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IGestion\Downloads\"/>
    </mc:Choice>
  </mc:AlternateContent>
  <xr:revisionPtr revIDLastSave="0" documentId="13_ncr:1_{F1C83395-4C4A-444B-A207-A77AE3142DB5}" xr6:coauthVersionLast="47" xr6:coauthVersionMax="47" xr10:uidLastSave="{00000000-0000-0000-0000-000000000000}"/>
  <bookViews>
    <workbookView xWindow="-120" yWindow="-120" windowWidth="29040" windowHeight="15720" xr2:uid="{00000000-000D-0000-FFFF-FFFF00000000}"/>
  </bookViews>
  <sheets>
    <sheet name="Matriz_riesg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1" i="1" l="1"/>
  <c r="AE181" i="1"/>
  <c r="Z181" i="1"/>
  <c r="S181" i="1"/>
  <c r="R181" i="1"/>
  <c r="AI180" i="1"/>
  <c r="AE180" i="1"/>
  <c r="Z180" i="1"/>
  <c r="S180" i="1"/>
  <c r="R180" i="1"/>
  <c r="AT179" i="1"/>
  <c r="AS179"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D179" i="1"/>
  <c r="AI178" i="1"/>
  <c r="AE178" i="1"/>
  <c r="Z178" i="1"/>
  <c r="S178" i="1"/>
  <c r="R178" i="1"/>
  <c r="AI177" i="1"/>
  <c r="AE177" i="1"/>
  <c r="Z177" i="1"/>
  <c r="S177" i="1"/>
  <c r="R177" i="1"/>
  <c r="AT176" i="1"/>
  <c r="AS176"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E176" i="1"/>
  <c r="D176" i="1"/>
  <c r="C176" i="1"/>
  <c r="AI175" i="1"/>
  <c r="AE175" i="1"/>
  <c r="Z175" i="1"/>
  <c r="S175" i="1"/>
  <c r="R175" i="1"/>
  <c r="AI174" i="1"/>
  <c r="AE174" i="1"/>
  <c r="Z174" i="1"/>
  <c r="S174" i="1"/>
  <c r="R174"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E173" i="1"/>
  <c r="D173" i="1"/>
  <c r="AI172" i="1"/>
  <c r="AE172" i="1"/>
  <c r="Z172" i="1"/>
  <c r="S172" i="1"/>
  <c r="R172" i="1"/>
  <c r="AI171" i="1"/>
  <c r="AE171" i="1"/>
  <c r="Z171" i="1"/>
  <c r="S171" i="1"/>
  <c r="R171"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AI169" i="1"/>
  <c r="AE169" i="1"/>
  <c r="Z169" i="1"/>
  <c r="S169" i="1"/>
  <c r="R169" i="1"/>
  <c r="AI168" i="1"/>
  <c r="AE168" i="1"/>
  <c r="Z168" i="1"/>
  <c r="S168" i="1"/>
  <c r="R168"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D167" i="1"/>
  <c r="AI166" i="1"/>
  <c r="AE166" i="1"/>
  <c r="Z166" i="1"/>
  <c r="S166" i="1"/>
  <c r="R166" i="1"/>
  <c r="AI165" i="1"/>
  <c r="AE165" i="1"/>
  <c r="Z165" i="1"/>
  <c r="S165" i="1"/>
  <c r="R165" i="1"/>
  <c r="AT164" i="1"/>
  <c r="AS164"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D164" i="1"/>
  <c r="C164" i="1"/>
  <c r="AI163" i="1"/>
  <c r="AE163" i="1"/>
  <c r="Z163" i="1"/>
  <c r="S163" i="1"/>
  <c r="R163" i="1"/>
  <c r="AI162" i="1"/>
  <c r="AE162" i="1"/>
  <c r="Z162" i="1"/>
  <c r="S162" i="1"/>
  <c r="R162" i="1"/>
  <c r="AT161" i="1"/>
  <c r="AS161"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D161" i="1"/>
  <c r="AI160" i="1"/>
  <c r="AE160" i="1"/>
  <c r="Z160" i="1"/>
  <c r="S160" i="1"/>
  <c r="R160" i="1"/>
  <c r="AI159" i="1"/>
  <c r="AE159" i="1"/>
  <c r="Z159" i="1"/>
  <c r="S159" i="1"/>
  <c r="R159"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AI157" i="1"/>
  <c r="AE157" i="1"/>
  <c r="Z157" i="1"/>
  <c r="S157" i="1"/>
  <c r="R157" i="1"/>
  <c r="AI156" i="1"/>
  <c r="AE156" i="1"/>
  <c r="Z156" i="1"/>
  <c r="U156" i="1"/>
  <c r="T156" i="1"/>
  <c r="S156" i="1"/>
  <c r="R156" i="1"/>
  <c r="AT155" i="1"/>
  <c r="AS155"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E155" i="1"/>
  <c r="D155" i="1"/>
  <c r="C155" i="1"/>
  <c r="AI154" i="1"/>
  <c r="AE154" i="1"/>
  <c r="Z154" i="1"/>
  <c r="S154" i="1"/>
  <c r="R154" i="1"/>
  <c r="AI153" i="1"/>
  <c r="AE153" i="1"/>
  <c r="Z153" i="1"/>
  <c r="S153" i="1"/>
  <c r="R153" i="1"/>
  <c r="AT152" i="1"/>
  <c r="AS152"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F152" i="1"/>
  <c r="E152" i="1"/>
  <c r="D152" i="1"/>
  <c r="C152" i="1"/>
  <c r="AI151" i="1"/>
  <c r="AE151" i="1"/>
  <c r="Z151" i="1"/>
  <c r="S151" i="1"/>
  <c r="R151" i="1"/>
  <c r="AI150" i="1"/>
  <c r="AE150" i="1"/>
  <c r="Z150" i="1"/>
  <c r="S150" i="1"/>
  <c r="R150" i="1"/>
  <c r="AT149" i="1"/>
  <c r="AS149" i="1"/>
  <c r="AR149"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E149" i="1"/>
  <c r="D149" i="1"/>
  <c r="AI148" i="1"/>
  <c r="AE148" i="1"/>
  <c r="Z148" i="1"/>
  <c r="S148" i="1"/>
  <c r="R148" i="1"/>
  <c r="AI147" i="1"/>
  <c r="AE147" i="1"/>
  <c r="Z147" i="1"/>
  <c r="S147" i="1"/>
  <c r="R147"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I145" i="1"/>
  <c r="AE145" i="1"/>
  <c r="Z145" i="1"/>
  <c r="S145" i="1"/>
  <c r="R145" i="1"/>
  <c r="AI144" i="1"/>
  <c r="AE144" i="1"/>
  <c r="Z144" i="1"/>
  <c r="S144" i="1"/>
  <c r="R144" i="1"/>
  <c r="AI143" i="1"/>
  <c r="AE143" i="1"/>
  <c r="Z143" i="1"/>
  <c r="Y143" i="1"/>
  <c r="X143" i="1"/>
  <c r="W143" i="1"/>
  <c r="V143" i="1"/>
  <c r="S143" i="1"/>
  <c r="R143" i="1"/>
  <c r="Q143" i="1"/>
  <c r="P143" i="1"/>
  <c r="O143" i="1"/>
  <c r="N143" i="1"/>
  <c r="M143" i="1"/>
  <c r="L143" i="1"/>
  <c r="K143" i="1"/>
  <c r="J143" i="1"/>
  <c r="I143" i="1"/>
  <c r="H143" i="1"/>
  <c r="G143" i="1"/>
  <c r="F143" i="1"/>
  <c r="E143" i="1"/>
  <c r="D143" i="1"/>
  <c r="AI142" i="1"/>
  <c r="AE142" i="1"/>
  <c r="Z142" i="1"/>
  <c r="S142" i="1"/>
  <c r="R142" i="1"/>
  <c r="AI141" i="1"/>
  <c r="AE141" i="1"/>
  <c r="Z141" i="1"/>
  <c r="S141" i="1"/>
  <c r="R141"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D140" i="1"/>
  <c r="AI139" i="1"/>
  <c r="AE139" i="1"/>
  <c r="Z139" i="1"/>
  <c r="S139" i="1"/>
  <c r="R139" i="1"/>
  <c r="AI138" i="1"/>
  <c r="AE138" i="1"/>
  <c r="Z138" i="1"/>
  <c r="S138" i="1"/>
  <c r="R138"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D137" i="1"/>
  <c r="C137" i="1"/>
  <c r="AI136" i="1"/>
  <c r="AE136" i="1"/>
  <c r="Z136" i="1"/>
  <c r="S136" i="1"/>
  <c r="R136" i="1"/>
  <c r="AI135" i="1"/>
  <c r="AE135" i="1"/>
  <c r="Z135" i="1"/>
  <c r="S135" i="1"/>
  <c r="R135"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AI133" i="1"/>
  <c r="AE133" i="1"/>
  <c r="Z133" i="1"/>
  <c r="S133" i="1"/>
  <c r="R133" i="1"/>
  <c r="AI132" i="1"/>
  <c r="AE132" i="1"/>
  <c r="Z132" i="1"/>
  <c r="S132" i="1"/>
  <c r="R132"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E131" i="1"/>
  <c r="D131" i="1"/>
  <c r="AI130" i="1"/>
  <c r="AE130" i="1"/>
  <c r="Z130" i="1"/>
  <c r="S130" i="1"/>
  <c r="R130" i="1"/>
  <c r="AI129" i="1"/>
  <c r="AE129" i="1"/>
  <c r="Z129" i="1"/>
  <c r="S129" i="1"/>
  <c r="R129"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E128" i="1"/>
  <c r="D128" i="1"/>
  <c r="AI127" i="1"/>
  <c r="AE127" i="1"/>
  <c r="Z127" i="1"/>
  <c r="S127" i="1"/>
  <c r="R127" i="1"/>
  <c r="AI126" i="1"/>
  <c r="AE126" i="1"/>
  <c r="Z126" i="1"/>
  <c r="U126" i="1"/>
  <c r="T126" i="1"/>
  <c r="S126" i="1"/>
  <c r="R126" i="1"/>
  <c r="AT125" i="1"/>
  <c r="AS125"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D125" i="1"/>
  <c r="AI124" i="1"/>
  <c r="Z124" i="1"/>
  <c r="S124" i="1"/>
  <c r="R124" i="1"/>
  <c r="AI123" i="1"/>
  <c r="AE123" i="1"/>
  <c r="Z123" i="1"/>
  <c r="S123" i="1"/>
  <c r="R123"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AI121" i="1"/>
  <c r="AE121" i="1"/>
  <c r="Z121" i="1"/>
  <c r="S121" i="1"/>
  <c r="R121" i="1"/>
  <c r="AI120" i="1"/>
  <c r="AE120" i="1"/>
  <c r="Z120" i="1"/>
  <c r="S120" i="1"/>
  <c r="R120" i="1"/>
  <c r="AT119" i="1"/>
  <c r="AS119"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K119" i="1"/>
  <c r="J119" i="1"/>
  <c r="I119" i="1"/>
  <c r="H119" i="1"/>
  <c r="G119" i="1"/>
  <c r="F119" i="1"/>
  <c r="E119" i="1"/>
  <c r="D119" i="1"/>
  <c r="AI118" i="1"/>
  <c r="AE118" i="1"/>
  <c r="Z118" i="1"/>
  <c r="S118" i="1"/>
  <c r="R118" i="1"/>
  <c r="AI117" i="1"/>
  <c r="AE117" i="1"/>
  <c r="Z117" i="1"/>
  <c r="S117" i="1"/>
  <c r="R117"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D116" i="1"/>
  <c r="AI115" i="1"/>
  <c r="AE115" i="1"/>
  <c r="Z115" i="1"/>
  <c r="S115" i="1"/>
  <c r="R115" i="1"/>
  <c r="AI114" i="1"/>
  <c r="AE114" i="1"/>
  <c r="Z114" i="1"/>
  <c r="S114" i="1"/>
  <c r="R114"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D113" i="1"/>
  <c r="C113" i="1"/>
  <c r="AI112" i="1"/>
  <c r="AE112" i="1"/>
  <c r="Z112" i="1"/>
  <c r="S112" i="1"/>
  <c r="R112" i="1"/>
  <c r="AI111" i="1"/>
  <c r="AE111" i="1"/>
  <c r="Z111" i="1"/>
  <c r="U111" i="1"/>
  <c r="T111" i="1"/>
  <c r="S111" i="1"/>
  <c r="R111"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AI109" i="1"/>
  <c r="AE109" i="1"/>
  <c r="Z109" i="1"/>
  <c r="S109" i="1"/>
  <c r="R109" i="1"/>
  <c r="AI108" i="1"/>
  <c r="AE108" i="1"/>
  <c r="Z108" i="1"/>
  <c r="S108" i="1"/>
  <c r="R108"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S107" i="1"/>
  <c r="R107" i="1"/>
  <c r="Q107" i="1"/>
  <c r="P107" i="1"/>
  <c r="O107" i="1"/>
  <c r="N107" i="1"/>
  <c r="M107" i="1"/>
  <c r="L107" i="1"/>
  <c r="K107" i="1"/>
  <c r="J107" i="1"/>
  <c r="I107" i="1"/>
  <c r="H107" i="1"/>
  <c r="G107" i="1"/>
  <c r="F107" i="1"/>
  <c r="E107" i="1"/>
  <c r="D107" i="1"/>
  <c r="AI106" i="1"/>
  <c r="AE106" i="1"/>
  <c r="Z106" i="1"/>
  <c r="S106" i="1"/>
  <c r="R106" i="1"/>
  <c r="AI105" i="1"/>
  <c r="AE105" i="1"/>
  <c r="Z105" i="1"/>
  <c r="S105" i="1"/>
  <c r="R105"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AI103" i="1"/>
  <c r="AE103" i="1"/>
  <c r="Z103" i="1"/>
  <c r="S103" i="1"/>
  <c r="R103" i="1"/>
  <c r="AI102" i="1"/>
  <c r="AE102" i="1"/>
  <c r="Z102" i="1"/>
  <c r="S102" i="1"/>
  <c r="R102"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D101" i="1"/>
  <c r="C101" i="1"/>
  <c r="AI100" i="1"/>
  <c r="AE100" i="1"/>
  <c r="Z100" i="1"/>
  <c r="S100" i="1"/>
  <c r="R100" i="1"/>
  <c r="AI99" i="1"/>
  <c r="AE99" i="1"/>
  <c r="Z99" i="1"/>
  <c r="S99" i="1"/>
  <c r="R99"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AI97" i="1"/>
  <c r="AE97" i="1"/>
  <c r="Z97" i="1"/>
  <c r="S97" i="1"/>
  <c r="R97" i="1"/>
  <c r="AI96" i="1"/>
  <c r="AE96" i="1"/>
  <c r="Z96" i="1"/>
  <c r="S96" i="1"/>
  <c r="R96"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D95" i="1"/>
  <c r="AI94" i="1"/>
  <c r="AE94" i="1"/>
  <c r="Z94" i="1"/>
  <c r="S94" i="1"/>
  <c r="R94" i="1"/>
  <c r="AI93" i="1"/>
  <c r="AE93" i="1"/>
  <c r="Z93" i="1"/>
  <c r="S93" i="1"/>
  <c r="R93"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I92" i="1"/>
  <c r="H92" i="1"/>
  <c r="G92" i="1"/>
  <c r="F92" i="1"/>
  <c r="E92" i="1"/>
  <c r="D92" i="1"/>
  <c r="AI91" i="1"/>
  <c r="AE91" i="1"/>
  <c r="Z91" i="1"/>
  <c r="S91" i="1"/>
  <c r="R91" i="1"/>
  <c r="AI90" i="1"/>
  <c r="AE90" i="1"/>
  <c r="Z90" i="1"/>
  <c r="S90" i="1"/>
  <c r="R90"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E89" i="1"/>
  <c r="D89" i="1"/>
  <c r="AI88" i="1"/>
  <c r="AE88" i="1"/>
  <c r="Z88" i="1"/>
  <c r="S88" i="1"/>
  <c r="R88" i="1"/>
  <c r="AI87" i="1"/>
  <c r="AE87" i="1"/>
  <c r="Z87" i="1"/>
  <c r="S87" i="1"/>
  <c r="R87" i="1"/>
  <c r="AT86" i="1"/>
  <c r="AS86" i="1"/>
  <c r="AR86" i="1"/>
  <c r="AQ86" i="1"/>
  <c r="AP86" i="1"/>
  <c r="AO86" i="1"/>
  <c r="AN86" i="1"/>
  <c r="AM86" i="1"/>
  <c r="AL86" i="1"/>
  <c r="AK86" i="1"/>
  <c r="AJ86" i="1"/>
  <c r="AI86" i="1"/>
  <c r="AH86" i="1"/>
  <c r="AG86" i="1"/>
  <c r="AF86" i="1"/>
  <c r="AE86" i="1"/>
  <c r="AD86" i="1"/>
  <c r="AC86" i="1"/>
  <c r="AA86" i="1"/>
  <c r="Z86" i="1"/>
  <c r="Y86" i="1"/>
  <c r="X86" i="1"/>
  <c r="W86" i="1"/>
  <c r="V86" i="1"/>
  <c r="U86" i="1"/>
  <c r="T86" i="1"/>
  <c r="S86" i="1"/>
  <c r="R86" i="1"/>
  <c r="Q86" i="1"/>
  <c r="P86" i="1"/>
  <c r="O86" i="1"/>
  <c r="N86" i="1"/>
  <c r="M86" i="1"/>
  <c r="L86" i="1"/>
  <c r="K86" i="1"/>
  <c r="J86" i="1"/>
  <c r="I86" i="1"/>
  <c r="H86" i="1"/>
  <c r="G86" i="1"/>
  <c r="F86" i="1"/>
  <c r="E86" i="1"/>
  <c r="D86" i="1"/>
  <c r="AI85" i="1"/>
  <c r="AE85" i="1"/>
  <c r="Z85" i="1"/>
  <c r="S85" i="1"/>
  <c r="R85" i="1"/>
  <c r="AI84" i="1"/>
  <c r="AE84" i="1"/>
  <c r="Z84" i="1"/>
  <c r="S84" i="1"/>
  <c r="R84" i="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K83" i="1"/>
  <c r="J83" i="1"/>
  <c r="I83" i="1"/>
  <c r="H83" i="1"/>
  <c r="G83" i="1"/>
  <c r="F83" i="1"/>
  <c r="E83" i="1"/>
  <c r="D83" i="1"/>
  <c r="C83" i="1"/>
  <c r="AI82" i="1"/>
  <c r="AE82" i="1"/>
  <c r="Z82" i="1"/>
  <c r="S82" i="1"/>
  <c r="R82" i="1"/>
  <c r="AI81" i="1"/>
  <c r="AE81" i="1"/>
  <c r="Z81" i="1"/>
  <c r="U81" i="1"/>
  <c r="T81" i="1"/>
  <c r="S81" i="1"/>
  <c r="R81"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D80" i="1"/>
  <c r="AI79" i="1"/>
  <c r="AE79" i="1"/>
  <c r="Z79" i="1"/>
  <c r="S79" i="1"/>
  <c r="R79" i="1"/>
  <c r="AI78" i="1"/>
  <c r="AE78" i="1"/>
  <c r="Z78" i="1"/>
  <c r="S78" i="1"/>
  <c r="R78"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I76" i="1"/>
  <c r="AE76" i="1"/>
  <c r="Z76" i="1"/>
  <c r="U76" i="1"/>
  <c r="T76" i="1"/>
  <c r="S76" i="1"/>
  <c r="R76" i="1"/>
  <c r="AI75" i="1"/>
  <c r="AE75" i="1"/>
  <c r="Z75" i="1"/>
  <c r="U75" i="1"/>
  <c r="T75" i="1"/>
  <c r="S75" i="1"/>
  <c r="R75" i="1"/>
  <c r="AT74" i="1"/>
  <c r="AS74"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AI73" i="1"/>
  <c r="AE73" i="1"/>
  <c r="Z73" i="1"/>
  <c r="S73" i="1"/>
  <c r="R73" i="1"/>
  <c r="AI72" i="1"/>
  <c r="AE72" i="1"/>
  <c r="Z72" i="1"/>
  <c r="S72" i="1"/>
  <c r="R72"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D71" i="1"/>
  <c r="C71" i="1"/>
  <c r="AI70" i="1"/>
  <c r="AE70" i="1"/>
  <c r="Z70" i="1"/>
  <c r="S70" i="1"/>
  <c r="R70" i="1"/>
  <c r="AI69" i="1"/>
  <c r="AE69" i="1"/>
  <c r="Z69" i="1"/>
  <c r="S69" i="1"/>
  <c r="R69"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D68" i="1"/>
  <c r="AI67" i="1"/>
  <c r="AE67" i="1"/>
  <c r="Z67" i="1"/>
  <c r="S67" i="1"/>
  <c r="R67" i="1"/>
  <c r="AI66" i="1"/>
  <c r="AE66" i="1"/>
  <c r="AC66" i="1"/>
  <c r="Z66" i="1"/>
  <c r="U66" i="1"/>
  <c r="T66" i="1"/>
  <c r="S66" i="1"/>
  <c r="R66"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D65" i="1"/>
  <c r="C65" i="1"/>
  <c r="AI64" i="1"/>
  <c r="AE64" i="1"/>
  <c r="Z64" i="1"/>
  <c r="S64" i="1"/>
  <c r="R64" i="1"/>
  <c r="AI63" i="1"/>
  <c r="AE63" i="1"/>
  <c r="Z63" i="1"/>
  <c r="S63" i="1"/>
  <c r="R63"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AI61" i="1"/>
  <c r="AE61" i="1"/>
  <c r="Z61" i="1"/>
  <c r="S61" i="1"/>
  <c r="R61" i="1"/>
  <c r="AI60" i="1"/>
  <c r="AE60" i="1"/>
  <c r="Z60" i="1"/>
  <c r="S60" i="1"/>
  <c r="R60"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AI58" i="1"/>
  <c r="AE58" i="1"/>
  <c r="Z58" i="1"/>
  <c r="S58" i="1"/>
  <c r="R58" i="1"/>
  <c r="AI57" i="1"/>
  <c r="AE57" i="1"/>
  <c r="Z57" i="1"/>
  <c r="S57" i="1"/>
  <c r="R57"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D56" i="1"/>
  <c r="AI55" i="1"/>
  <c r="AE55" i="1"/>
  <c r="Z55" i="1"/>
  <c r="S55" i="1"/>
  <c r="R55" i="1"/>
  <c r="AI54" i="1"/>
  <c r="AE54" i="1"/>
  <c r="Z54" i="1"/>
  <c r="S54" i="1"/>
  <c r="R54"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AI52" i="1"/>
  <c r="AE52" i="1"/>
  <c r="Z52" i="1"/>
  <c r="S52" i="1"/>
  <c r="R52" i="1"/>
  <c r="AI51" i="1"/>
  <c r="AE51" i="1"/>
  <c r="Z51" i="1"/>
  <c r="S51" i="1"/>
  <c r="R51"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I49" i="1"/>
  <c r="AE49" i="1"/>
  <c r="Z49" i="1"/>
  <c r="S49" i="1"/>
  <c r="R49" i="1"/>
  <c r="AI48" i="1"/>
  <c r="AE48" i="1"/>
  <c r="Z48" i="1"/>
  <c r="S48" i="1"/>
  <c r="R48"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AI46" i="1"/>
  <c r="AE46" i="1"/>
  <c r="Z46" i="1"/>
  <c r="S46" i="1"/>
  <c r="R46" i="1"/>
  <c r="AI45" i="1"/>
  <c r="AE45" i="1"/>
  <c r="Z45" i="1"/>
  <c r="S45" i="1"/>
  <c r="R45"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AI43" i="1"/>
  <c r="AE43" i="1"/>
  <c r="Z43" i="1"/>
  <c r="S43" i="1"/>
  <c r="R43" i="1"/>
  <c r="AI42" i="1"/>
  <c r="AE42" i="1"/>
  <c r="Z42" i="1"/>
  <c r="S42" i="1"/>
  <c r="R42"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I40" i="1"/>
  <c r="AE40" i="1"/>
  <c r="Z40" i="1"/>
  <c r="S40" i="1"/>
  <c r="R40" i="1"/>
  <c r="AI39" i="1"/>
  <c r="AE39" i="1"/>
  <c r="Z39" i="1"/>
  <c r="S39" i="1"/>
  <c r="R39"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D38" i="1"/>
  <c r="AI37" i="1"/>
  <c r="AE37" i="1"/>
  <c r="Z37" i="1"/>
  <c r="S37" i="1"/>
  <c r="R37" i="1"/>
  <c r="AI36" i="1"/>
  <c r="AE36" i="1"/>
  <c r="Z36" i="1"/>
  <c r="S36" i="1"/>
  <c r="R36" i="1"/>
  <c r="AT35" i="1"/>
  <c r="AS35" i="1"/>
  <c r="AR35" i="1"/>
  <c r="AQ35" i="1"/>
  <c r="AP35" i="1"/>
  <c r="AO35" i="1"/>
  <c r="AN35" i="1"/>
  <c r="AM35" i="1"/>
  <c r="AL35" i="1"/>
  <c r="AK35" i="1"/>
  <c r="AJ35" i="1"/>
  <c r="AI35" i="1"/>
  <c r="AH35" i="1"/>
  <c r="AG35" i="1"/>
  <c r="AF35" i="1"/>
  <c r="AE35" i="1"/>
  <c r="AD35" i="1"/>
  <c r="AC35" i="1"/>
  <c r="AB35" i="1"/>
  <c r="AA35" i="1"/>
  <c r="Z35" i="1"/>
  <c r="Y35" i="1"/>
  <c r="X35" i="1"/>
  <c r="W35" i="1"/>
  <c r="V35" i="1"/>
  <c r="S35" i="1"/>
  <c r="R35" i="1"/>
  <c r="Q35" i="1"/>
  <c r="P35" i="1"/>
  <c r="O35" i="1"/>
  <c r="N35" i="1"/>
  <c r="M35" i="1"/>
  <c r="L35" i="1"/>
  <c r="K35" i="1"/>
  <c r="J35" i="1"/>
  <c r="I35" i="1"/>
  <c r="H35" i="1"/>
  <c r="G35" i="1"/>
  <c r="F35" i="1"/>
  <c r="E35" i="1"/>
  <c r="D35" i="1"/>
  <c r="AI34" i="1"/>
  <c r="AE34" i="1"/>
  <c r="Z34" i="1"/>
  <c r="S34" i="1"/>
  <c r="R34" i="1"/>
  <c r="AI33" i="1"/>
  <c r="AE33" i="1"/>
  <c r="Z33" i="1"/>
  <c r="S33" i="1"/>
  <c r="R33"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C32" i="1"/>
  <c r="AI31" i="1"/>
  <c r="AE31" i="1"/>
  <c r="Z31" i="1"/>
  <c r="S31" i="1"/>
  <c r="R31" i="1"/>
  <c r="AI30" i="1"/>
  <c r="AE30" i="1"/>
  <c r="Z30" i="1"/>
  <c r="U30" i="1"/>
  <c r="T30" i="1"/>
  <c r="S30" i="1"/>
  <c r="R30" i="1"/>
  <c r="AT29" i="1"/>
  <c r="AS29" i="1"/>
  <c r="AR29" i="1"/>
  <c r="AQ29" i="1"/>
  <c r="AP29" i="1"/>
  <c r="AO29" i="1"/>
  <c r="AN29" i="1"/>
  <c r="AM29" i="1"/>
  <c r="AL29" i="1"/>
  <c r="AK29" i="1"/>
  <c r="AJ29" i="1"/>
  <c r="AI29" i="1"/>
  <c r="AH29" i="1"/>
  <c r="AG29" i="1"/>
  <c r="AF29" i="1"/>
  <c r="AE29" i="1"/>
  <c r="AC29" i="1"/>
  <c r="AA29" i="1"/>
  <c r="Z29" i="1"/>
  <c r="Y29" i="1"/>
  <c r="X29" i="1"/>
  <c r="W29" i="1"/>
  <c r="V29" i="1"/>
  <c r="U29" i="1"/>
  <c r="T29" i="1"/>
  <c r="S29" i="1"/>
  <c r="R29" i="1"/>
  <c r="Q29" i="1"/>
  <c r="P29" i="1"/>
  <c r="O29" i="1"/>
  <c r="N29" i="1"/>
  <c r="M29" i="1"/>
  <c r="L29" i="1"/>
  <c r="K29" i="1"/>
  <c r="J29" i="1"/>
  <c r="I29" i="1"/>
  <c r="H29" i="1"/>
  <c r="G29" i="1"/>
  <c r="F29" i="1"/>
  <c r="E29" i="1"/>
  <c r="D29" i="1"/>
  <c r="AI28" i="1"/>
  <c r="AE28" i="1"/>
  <c r="Z28" i="1"/>
  <c r="S28" i="1"/>
  <c r="R28" i="1"/>
  <c r="AI27" i="1"/>
  <c r="AE27" i="1"/>
  <c r="Z27" i="1"/>
  <c r="S27" i="1"/>
  <c r="R27"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Z25" i="1"/>
  <c r="S25" i="1"/>
  <c r="R25" i="1"/>
  <c r="Z24" i="1"/>
  <c r="S24" i="1"/>
  <c r="R24" i="1"/>
  <c r="AT23" i="1"/>
  <c r="AS23" i="1"/>
  <c r="AR23" i="1"/>
  <c r="AQ23" i="1"/>
  <c r="AP23" i="1"/>
  <c r="AO23" i="1"/>
  <c r="AN23" i="1"/>
  <c r="AM23" i="1"/>
  <c r="AL23" i="1"/>
  <c r="AK23" i="1"/>
  <c r="AJ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AI22" i="1"/>
  <c r="AE22" i="1"/>
  <c r="Z22" i="1"/>
  <c r="S22" i="1"/>
  <c r="R22" i="1"/>
  <c r="AI21" i="1"/>
  <c r="AE21" i="1"/>
  <c r="Z21" i="1"/>
  <c r="S21" i="1"/>
  <c r="R21"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AI19" i="1"/>
  <c r="AE19" i="1"/>
  <c r="Z19" i="1"/>
  <c r="S19" i="1"/>
  <c r="R19" i="1"/>
  <c r="AI18" i="1"/>
  <c r="AE18" i="1"/>
  <c r="Z18" i="1"/>
  <c r="S18" i="1"/>
  <c r="R18" i="1"/>
  <c r="AT17" i="1"/>
  <c r="AS17" i="1"/>
  <c r="AR17" i="1"/>
  <c r="AQ17" i="1"/>
  <c r="AP17" i="1"/>
  <c r="AO17" i="1"/>
  <c r="AN17" i="1"/>
  <c r="AM17" i="1"/>
  <c r="AL17" i="1"/>
  <c r="AK17" i="1"/>
  <c r="AJ17" i="1"/>
  <c r="AI17" i="1"/>
  <c r="AH17" i="1"/>
  <c r="AG17" i="1"/>
  <c r="AF17" i="1"/>
  <c r="AE17" i="1"/>
  <c r="AD17" i="1"/>
  <c r="AC17" i="1"/>
  <c r="AB17" i="1"/>
  <c r="AA17" i="1"/>
  <c r="Z17" i="1"/>
  <c r="Y17" i="1"/>
  <c r="X17" i="1"/>
  <c r="W17" i="1"/>
  <c r="V17" i="1"/>
  <c r="S17" i="1"/>
  <c r="R17" i="1"/>
  <c r="Q17" i="1"/>
  <c r="P17" i="1"/>
  <c r="O17" i="1"/>
  <c r="N17" i="1"/>
  <c r="M17" i="1"/>
  <c r="L17" i="1"/>
  <c r="K17" i="1"/>
  <c r="J17" i="1"/>
  <c r="I17" i="1"/>
  <c r="H17" i="1"/>
  <c r="G17" i="1"/>
  <c r="F17" i="1"/>
  <c r="E17" i="1"/>
  <c r="D17" i="1"/>
  <c r="AI16" i="1"/>
  <c r="AE16" i="1"/>
  <c r="Z16" i="1"/>
  <c r="S16" i="1"/>
  <c r="R16" i="1"/>
  <c r="AI15" i="1"/>
  <c r="AE15" i="1"/>
  <c r="Z15" i="1"/>
  <c r="S15" i="1"/>
  <c r="R15" i="1"/>
  <c r="AT14" i="1"/>
  <c r="AS14" i="1"/>
  <c r="AR14" i="1"/>
  <c r="AQ14" i="1"/>
  <c r="AP14" i="1"/>
  <c r="AO14" i="1"/>
  <c r="AN14" i="1"/>
  <c r="AM14" i="1"/>
  <c r="AL14" i="1"/>
  <c r="AK14" i="1"/>
  <c r="AJ14" i="1"/>
  <c r="AI14" i="1"/>
  <c r="AH14" i="1"/>
  <c r="AG14" i="1"/>
  <c r="AF14" i="1"/>
  <c r="AE14" i="1"/>
  <c r="AD14" i="1"/>
  <c r="AC14" i="1"/>
  <c r="AB14" i="1"/>
  <c r="Z14" i="1"/>
  <c r="Y14" i="1"/>
  <c r="X14" i="1"/>
  <c r="W14" i="1"/>
  <c r="V14" i="1"/>
  <c r="S14" i="1"/>
  <c r="R14" i="1"/>
  <c r="Q14" i="1"/>
  <c r="P14" i="1"/>
  <c r="O14" i="1"/>
  <c r="N14" i="1"/>
  <c r="M14" i="1"/>
  <c r="L14" i="1"/>
  <c r="K14" i="1"/>
  <c r="J14" i="1"/>
  <c r="I14" i="1"/>
  <c r="H14" i="1"/>
  <c r="G14" i="1"/>
  <c r="F14" i="1"/>
  <c r="E14" i="1"/>
  <c r="D14" i="1"/>
  <c r="AI13" i="1"/>
  <c r="AE13" i="1"/>
  <c r="Z13" i="1"/>
  <c r="S13" i="1"/>
  <c r="R13" i="1"/>
  <c r="AI12" i="1"/>
  <c r="AE12" i="1"/>
  <c r="Z12" i="1"/>
  <c r="S12" i="1"/>
  <c r="R12" i="1"/>
  <c r="AT11" i="1"/>
  <c r="AS11" i="1"/>
  <c r="AR11" i="1"/>
  <c r="AQ11" i="1"/>
  <c r="AP11" i="1"/>
  <c r="AO11" i="1"/>
  <c r="AN11" i="1"/>
  <c r="AM11" i="1"/>
  <c r="AL11" i="1"/>
  <c r="AK11" i="1"/>
  <c r="AJ11" i="1"/>
  <c r="AI11" i="1"/>
  <c r="AH11" i="1"/>
  <c r="AG11" i="1"/>
  <c r="AF11" i="1"/>
  <c r="AE11" i="1"/>
  <c r="AD11" i="1"/>
  <c r="AC11" i="1"/>
  <c r="AB11" i="1"/>
  <c r="AA11" i="1"/>
  <c r="Z11" i="1"/>
  <c r="Y11" i="1"/>
  <c r="X11" i="1"/>
  <c r="W11" i="1"/>
  <c r="V11" i="1"/>
  <c r="S11" i="1"/>
  <c r="R11" i="1"/>
  <c r="Q11" i="1"/>
  <c r="P11" i="1"/>
  <c r="O11" i="1"/>
  <c r="N11" i="1"/>
  <c r="M11" i="1"/>
  <c r="L11" i="1"/>
  <c r="K11" i="1"/>
  <c r="J11" i="1"/>
  <c r="I11" i="1"/>
  <c r="H11" i="1"/>
  <c r="G11" i="1"/>
  <c r="F11" i="1"/>
  <c r="E11" i="1"/>
  <c r="D11"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10" authorId="0" shapeId="0" xr:uid="{00000000-0006-0000-0000-000001000000}">
      <text>
        <r>
          <rPr>
            <sz val="11"/>
            <color rgb="FF000000"/>
            <rFont val="Calibri"/>
          </rPr>
          <t>Indique el estado de la actividad de acuerdo con lo siguiente:
Ejecutada: Cuando el proceso evidencie ejecución total de la actividad 
En proceso: Cuando el proceso evidencie ejecución parcial de la actividad dentro de los plazos establecidos
Vencida: Cuando el proceso no evidencie ejecución total o parcial de la actividad, dentro de los plazos establecidos
Pendiente: Cuando aún no se ha iniciado la actividad, pero los plazos no se han vencido</t>
        </r>
      </text>
    </comment>
  </commentList>
</comments>
</file>

<file path=xl/sharedStrings.xml><?xml version="1.0" encoding="utf-8"?>
<sst xmlns="http://schemas.openxmlformats.org/spreadsheetml/2006/main" count="82" uniqueCount="76">
  <si>
    <t>PROCESO DE DIRECCIONAMIENTO ESTRATÉTICO</t>
  </si>
  <si>
    <t>MATRIZ DE IDENTIFICACIÓN, ANÁLISIS, VALORACIÓN Y TRATAMIENTO DE RIESGOS</t>
  </si>
  <si>
    <r>
      <rPr>
        <b/>
        <i/>
        <sz val="10"/>
        <rFont val="Arial"/>
      </rPr>
      <t>Código:</t>
    </r>
    <r>
      <rPr>
        <i/>
        <sz val="10"/>
        <rFont val="Arial"/>
      </rPr>
      <t xml:space="preserve"> FO-DIE-01</t>
    </r>
  </si>
  <si>
    <r>
      <rPr>
        <b/>
        <i/>
        <sz val="10"/>
        <rFont val="Arial"/>
      </rPr>
      <t xml:space="preserve">Versión: </t>
    </r>
    <r>
      <rPr>
        <i/>
        <sz val="10"/>
        <rFont val="Arial"/>
      </rPr>
      <t>05</t>
    </r>
  </si>
  <si>
    <r>
      <rPr>
        <b/>
        <i/>
        <sz val="10"/>
        <rFont val="Arial"/>
      </rPr>
      <t>Fecha de aprobación:</t>
    </r>
    <r>
      <rPr>
        <i/>
        <sz val="10"/>
        <rFont val="Arial"/>
      </rPr>
      <t xml:space="preserve"> 10/04/2025</t>
    </r>
  </si>
  <si>
    <r>
      <rPr>
        <b/>
        <i/>
        <sz val="10"/>
        <rFont val="Arial"/>
      </rPr>
      <t>Página:</t>
    </r>
    <r>
      <rPr>
        <i/>
        <sz val="10"/>
        <rFont val="Arial"/>
      </rPr>
      <t xml:space="preserve"> 3 de 3</t>
    </r>
  </si>
  <si>
    <t>1. IDENTIFICACIÓN DEL RIESGO</t>
  </si>
  <si>
    <t>2. VALORACIÓN Y ANÁLISIS DEL RIESGO</t>
  </si>
  <si>
    <t>3. MONITOREO DEL RIESGO</t>
  </si>
  <si>
    <t>4. EVALUACIÓN Y SEGUIMIENTO</t>
  </si>
  <si>
    <t>Descripción del riesgo</t>
  </si>
  <si>
    <r>
      <rPr>
        <b/>
        <sz val="10"/>
        <rFont val="Arial"/>
      </rPr>
      <t xml:space="preserve">Análisis del riesgo inherente 
</t>
    </r>
    <r>
      <rPr>
        <i/>
        <sz val="10"/>
        <rFont val="Arial"/>
      </rPr>
      <t>(Antes de los controles)</t>
    </r>
  </si>
  <si>
    <t>Evaluación de los controles existentes</t>
  </si>
  <si>
    <r>
      <rPr>
        <b/>
        <sz val="10"/>
        <rFont val="Arial"/>
      </rPr>
      <t xml:space="preserve">Evaluación del riesgo residual 
</t>
    </r>
    <r>
      <rPr>
        <i/>
        <sz val="10"/>
        <rFont val="Arial"/>
      </rPr>
      <t>(Después de los controles)</t>
    </r>
  </si>
  <si>
    <t>Tratamiento del Riesgo</t>
  </si>
  <si>
    <r>
      <rPr>
        <b/>
        <sz val="11"/>
        <rFont val="Arial"/>
      </rPr>
      <t xml:space="preserve">MONITOREO A LOS CONTROLES Y ACCIONES DE TRATAMIENTO
</t>
    </r>
    <r>
      <rPr>
        <i/>
        <sz val="9"/>
        <rFont val="Arial"/>
      </rPr>
      <t>(1ra línea de defensa - Líder de proceso)</t>
    </r>
  </si>
  <si>
    <r>
      <rPr>
        <b/>
        <sz val="11"/>
        <rFont val="Arial"/>
      </rPr>
      <t xml:space="preserve">MONITOREO POR PARTE DE LA OFICINA DE PLANEACIÓN
</t>
    </r>
    <r>
      <rPr>
        <i/>
        <sz val="9"/>
        <rFont val="Arial"/>
      </rPr>
      <t xml:space="preserve">(2da línea de defensa - Oficina de Planeación) 
</t>
    </r>
    <r>
      <rPr>
        <i/>
        <sz val="8"/>
        <rFont val="Arial"/>
      </rPr>
      <t>En este espacio, la segunda línea de defensa  verifica que el riesgo está identificado adecuadamente conforme la metodología aplicada, que los controles están diseñados adecuadamente y enfocados hacia las causas, y que la ejecución de los controles están siendo efectivos en la mitigación del riesgo.</t>
    </r>
  </si>
  <si>
    <r>
      <rPr>
        <b/>
        <sz val="10"/>
        <rFont val="Arial"/>
      </rPr>
      <t xml:space="preserve"> EVALUACIÓN DE LA GESTIÓN DEL RIESGO 
</t>
    </r>
    <r>
      <rPr>
        <i/>
        <sz val="9"/>
        <rFont val="Arial"/>
      </rPr>
      <t>(3ra línea de defensa - Control Interno)</t>
    </r>
  </si>
  <si>
    <t>Acciones asociadas al tratamiento</t>
  </si>
  <si>
    <t>Acciones de contingencia en caso de  materialización del riesgo</t>
  </si>
  <si>
    <t>Proceso</t>
  </si>
  <si>
    <t xml:space="preserve">Objetivo del proceso </t>
  </si>
  <si>
    <t>Riesgo</t>
  </si>
  <si>
    <t>Área donde se ubica el riesgo</t>
  </si>
  <si>
    <t>Tipo de Riesgo</t>
  </si>
  <si>
    <t>Causas del riesgo</t>
  </si>
  <si>
    <t>Consecuencias de la materialización del riesgo</t>
  </si>
  <si>
    <t>Código</t>
  </si>
  <si>
    <t>Probabilidad</t>
  </si>
  <si>
    <t>Impacto</t>
  </si>
  <si>
    <t>Zona de 
riesgo</t>
  </si>
  <si>
    <t>Controles</t>
  </si>
  <si>
    <t>Opción de Manejo</t>
  </si>
  <si>
    <t>Acción de mejora o de control propuesta</t>
  </si>
  <si>
    <t>Fecha de ejecución o periodicidad</t>
  </si>
  <si>
    <t>Responsable de la ejecución</t>
  </si>
  <si>
    <t>Evidencias</t>
  </si>
  <si>
    <t>Acción a ejecutar</t>
  </si>
  <si>
    <t>Responsable</t>
  </si>
  <si>
    <t>Plazo de ejecución</t>
  </si>
  <si>
    <t>Corte de monitoreo</t>
  </si>
  <si>
    <t xml:space="preserve">Fecha de ejecución de la acción </t>
  </si>
  <si>
    <t>¿Se materializó el riesgo?</t>
  </si>
  <si>
    <r>
      <rPr>
        <b/>
        <sz val="10"/>
        <rFont val="Arial"/>
      </rPr>
      <t xml:space="preserve">Acciones realizadas
</t>
    </r>
    <r>
      <rPr>
        <i/>
        <sz val="9"/>
        <rFont val="Arial"/>
      </rPr>
      <t>(En esta celda, registre el resultado de la aplicación de los controles y de las acciones asociadas al tratamiento, así mismo, indique si se materializó o no el riesgo, y las acciones realizadas en caso de materialización)</t>
    </r>
  </si>
  <si>
    <r>
      <rPr>
        <b/>
        <sz val="10"/>
        <rFont val="Arial"/>
      </rPr>
      <t xml:space="preserve">Evidencia
</t>
    </r>
    <r>
      <rPr>
        <i/>
        <sz val="9"/>
        <rFont val="Arial"/>
      </rPr>
      <t>(Adjunte la evidencia en la carpeta)</t>
    </r>
  </si>
  <si>
    <t>Corte de evaluación</t>
  </si>
  <si>
    <t>¿Se analizaron los controles?</t>
  </si>
  <si>
    <t>¿Los controles previenen  o detectan  las causas, son  confiables para la mitigación del riesgo?</t>
  </si>
  <si>
    <t>¿Los controles cuentan con responsables para ejercer la actividad?</t>
  </si>
  <si>
    <t>¿Los controles son  oportunos para la mitigación del riesgo?</t>
  </si>
  <si>
    <t>¿Se cuenta con evidencias del control?</t>
  </si>
  <si>
    <t>¿Se enunciaron acciones de mejora?</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</si>
  <si>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</si>
  <si>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</si>
  <si>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</si>
  <si>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</si>
  <si>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</si>
  <si>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Eficacia</t>
  </si>
  <si>
    <t>Estado</t>
  </si>
  <si>
    <t>Direccionamiento Estratégico</t>
  </si>
  <si>
    <t>Comunicación Institucional</t>
  </si>
  <si>
    <t>Aseguramiento de la Calidad Institucional</t>
  </si>
  <si>
    <t>Gestión de las Relaciones Interinstitucionales e Internacionales</t>
  </si>
  <si>
    <t>Docencia</t>
  </si>
  <si>
    <t>Investigación</t>
  </si>
  <si>
    <t>Extensión y Proyección Social</t>
  </si>
  <si>
    <t>Bienestar Institucional</t>
  </si>
  <si>
    <t>Gestión de Talento Humano</t>
  </si>
  <si>
    <t>Gestión de Bienes y Servicios</t>
  </si>
  <si>
    <t>Gestión de Apoyo a la Academia</t>
  </si>
  <si>
    <t>Gestión Financiera</t>
  </si>
  <si>
    <t>Gestión de TIC</t>
  </si>
  <si>
    <t>Gestión Documental y de Relacionamiento con la Comunidad</t>
  </si>
  <si>
    <t>Gestión Jurídica</t>
  </si>
  <si>
    <t>Evaluación Control y Seguimiento Institucional</t>
  </si>
  <si>
    <t>Control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</si>
</sst>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quot; de &quot;mmmm&quot; de &quot;yyyy"/>
    <numFmt numFmtId="165" formatCode="dd/mm/yyyy"/>
    <numFmt numFmtId="166" formatCode="d&quot; de &quot;mmmm"/>
  </numFmts>
  <fonts count="21" x14ac:knownFonts="1">
    <font>
      <sz val="11"/>
      <color rgb="FF000000"/>
      <name val="Calibri"/>
    </font>
    <font>
      <sz val="10"/>
      <name val="Arial"/>
    </font>
    <font>
      <sz val="11"/>
      <name val="Calibri"/>
    </font>
    <font>
      <b/>
      <sz val="12"/>
      <name val="Arial"/>
    </font>
    <font>
      <b/>
      <sz val="10"/>
      <name val="Arial"/>
    </font>
    <font>
      <b/>
      <i/>
      <sz val="10"/>
      <name val="Arial"/>
    </font>
    <font>
      <i/>
      <sz val="10"/>
      <name val="Arial"/>
    </font>
    <font>
      <b/>
      <sz val="11"/>
      <name val="Arial"/>
    </font>
    <font>
      <b/>
      <sz val="11"/>
      <name val="Arial"/>
    </font>
    <font>
      <b/>
      <sz val="9"/>
      <name val="Arial"/>
    </font>
    <font>
      <b/>
      <sz val="10"/>
      <color rgb="FF000000"/>
      <name val="Arial"/>
    </font>
    <font>
      <sz val="8"/>
      <name val="Arial"/>
    </font>
    <font>
      <sz val="7"/>
      <name val="Arial"/>
    </font>
    <font>
      <sz val="9"/>
      <name val="Arial"/>
    </font>
    <font>
      <u/>
      <sz val="9"/>
      <color rgb="FF0000FF"/>
      <name val="Arial"/>
    </font>
    <font>
      <sz val="9"/>
      <color rgb="FF000000"/>
      <name val="Arial"/>
    </font>
    <font>
      <u/>
      <sz val="9"/>
      <color rgb="FF0000FF"/>
      <name val="Arial"/>
    </font>
    <font>
      <u/>
      <sz val="9"/>
      <color rgb="FF0000FF"/>
      <name val="Arial"/>
    </font>
    <font>
      <u/>
      <sz val="9"/>
      <color rgb="FF0000FF"/>
      <name val="Arial"/>
    </font>
    <font>
      <i/>
      <sz val="9"/>
      <name val="Arial"/>
    </font>
    <font>
      <i/>
      <sz val="8"/>
      <name val="Arial"/>
    </font>
  </fonts>
  <fills count="16">
    <fill>
      <patternFill patternType="none"/>
    </fill>
    <fill>
      <patternFill patternType="gray125"/>
    </fill>
    <fill>
      <patternFill patternType="solid">
        <fgColor rgb="FF50B1C8"/>
        <bgColor rgb="FF50B1C8"/>
      </patternFill>
    </fill>
    <fill>
      <patternFill patternType="solid">
        <fgColor rgb="FF29FFFF"/>
        <bgColor rgb="FF29FFFF"/>
      </patternFill>
    </fill>
    <fill>
      <patternFill patternType="solid">
        <fgColor rgb="FFD99594"/>
        <bgColor rgb="FFD99594"/>
      </patternFill>
    </fill>
    <fill>
      <patternFill patternType="solid">
        <fgColor rgb="FF93C47D"/>
        <bgColor rgb="FF93C47D"/>
      </patternFill>
    </fill>
    <fill>
      <patternFill patternType="solid">
        <fgColor rgb="FF92CDDC"/>
        <bgColor rgb="FF92CDDC"/>
      </patternFill>
    </fill>
    <fill>
      <patternFill patternType="solid">
        <fgColor rgb="FFFABF8F"/>
        <bgColor rgb="FFFABF8F"/>
      </patternFill>
    </fill>
    <fill>
      <patternFill patternType="solid">
        <fgColor rgb="FFB2A1C7"/>
        <bgColor rgb="FFB2A1C7"/>
      </patternFill>
    </fill>
    <fill>
      <patternFill patternType="solid">
        <fgColor rgb="FFC2D69B"/>
        <bgColor rgb="FFC2D69B"/>
      </patternFill>
    </fill>
    <fill>
      <patternFill patternType="solid">
        <fgColor rgb="FF8DB3E2"/>
        <bgColor rgb="FF8DB3E2"/>
      </patternFill>
    </fill>
    <fill>
      <patternFill patternType="solid">
        <fgColor rgb="FFE5B8B7"/>
        <bgColor rgb="FFE5B8B7"/>
      </patternFill>
    </fill>
    <fill>
      <patternFill patternType="solid">
        <fgColor rgb="FFFFE599"/>
        <bgColor rgb="FFFFE599"/>
      </patternFill>
    </fill>
    <fill>
      <patternFill patternType="solid">
        <fgColor rgb="FFD6E3BC"/>
        <bgColor rgb="FFD6E3BC"/>
      </patternFill>
    </fill>
    <fill>
      <patternFill patternType="solid">
        <fgColor rgb="FFDAEEF3"/>
        <bgColor rgb="FFDAEEF3"/>
      </patternFill>
    </fill>
    <fill>
      <patternFill patternType="solid">
        <fgColor rgb="FFB6DDE8"/>
        <bgColor rgb="FFB6DDE8"/>
      </patternFill>
    </fill>
  </fills>
  <borders count="39">
    <border>
      <left/>
      <right/>
      <top/>
      <bottom/>
      <diagonal/>
    </border>
    <border>
      <left style="thin">
        <color rgb="FF595959"/>
      </left>
      <right/>
      <top style="thin">
        <color rgb="FF595959"/>
      </top>
      <bottom/>
      <diagonal/>
    </border>
    <border>
      <left/>
      <right style="thin">
        <color rgb="FF595959"/>
      </right>
      <top style="thin">
        <color rgb="FF595959"/>
      </top>
      <bottom/>
      <diagonal/>
    </border>
    <border>
      <left style="thin">
        <color rgb="FF595959"/>
      </left>
      <right/>
      <top style="thin">
        <color rgb="FF595959"/>
      </top>
      <bottom style="thin">
        <color rgb="FF595959"/>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top/>
      <bottom/>
      <diagonal/>
    </border>
    <border>
      <left/>
      <right style="thin">
        <color rgb="FF595959"/>
      </right>
      <top/>
      <bottom/>
      <diagonal/>
    </border>
    <border>
      <left style="thin">
        <color rgb="FF595959"/>
      </left>
      <right/>
      <top/>
      <bottom style="thin">
        <color rgb="FF595959"/>
      </bottom>
      <diagonal/>
    </border>
    <border>
      <left/>
      <right style="thin">
        <color rgb="FF595959"/>
      </right>
      <top/>
      <bottom style="thin">
        <color rgb="FF595959"/>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right/>
      <top style="thin">
        <color rgb="FF595959"/>
      </top>
      <bottom style="thin">
        <color rgb="FF595959"/>
      </bottom>
      <diagonal/>
    </border>
    <border>
      <left/>
      <right/>
      <top style="thin">
        <color rgb="FF595959"/>
      </top>
      <bottom/>
      <diagonal/>
    </border>
    <border>
      <left style="thin">
        <color rgb="FF595959"/>
      </left>
      <right style="thin">
        <color rgb="FF595959"/>
      </right>
      <top style="thin">
        <color rgb="FF595959"/>
      </top>
      <bottom/>
      <diagonal/>
    </border>
    <border>
      <left/>
      <right/>
      <top/>
      <bottom style="thin">
        <color rgb="FF595959"/>
      </bottom>
      <diagonal/>
    </border>
    <border>
      <left style="thin">
        <color rgb="FF595959"/>
      </left>
      <right style="thin">
        <color rgb="FF595959"/>
      </right>
      <top/>
      <bottom style="thin">
        <color rgb="FF595959"/>
      </bottom>
      <diagonal/>
    </border>
    <border>
      <left style="thin">
        <color rgb="FF666666"/>
      </left>
      <right style="thin">
        <color rgb="FF666666"/>
      </right>
      <top style="thin">
        <color rgb="FF666666"/>
      </top>
      <bottom/>
      <diagonal/>
    </border>
    <border>
      <left style="thin">
        <color rgb="FF595959"/>
      </left>
      <right style="thin">
        <color rgb="FF595959"/>
      </right>
      <top/>
      <bottom/>
      <diagonal/>
    </border>
    <border>
      <left style="thin">
        <color rgb="FF666666"/>
      </left>
      <right style="thin">
        <color rgb="FF666666"/>
      </right>
      <top/>
      <bottom style="thin">
        <color rgb="FF666666"/>
      </bottom>
      <diagonal/>
    </border>
    <border>
      <left style="thin">
        <color rgb="FF595959"/>
      </left>
      <right style="thin">
        <color rgb="FF666666"/>
      </right>
      <top style="thin">
        <color rgb="FF595959"/>
      </top>
      <bottom/>
      <diagonal/>
    </border>
    <border>
      <left/>
      <right style="thin">
        <color rgb="FF666666"/>
      </right>
      <top style="thin">
        <color rgb="FF595959"/>
      </top>
      <bottom/>
      <diagonal/>
    </border>
    <border>
      <left style="thin">
        <color rgb="FF666666"/>
      </left>
      <right/>
      <top style="thin">
        <color rgb="FF666666"/>
      </top>
      <bottom/>
      <diagonal/>
    </border>
    <border>
      <left style="thin">
        <color rgb="FF595959"/>
      </left>
      <right style="thin">
        <color rgb="FF595959"/>
      </right>
      <top style="thin">
        <color rgb="FF595959"/>
      </top>
      <bottom style="thin">
        <color rgb="FF595959"/>
      </bottom>
      <diagonal/>
    </border>
    <border>
      <left style="thin">
        <color rgb="FF666666"/>
      </left>
      <right style="thin">
        <color rgb="FF666666"/>
      </right>
      <top/>
      <bottom/>
      <diagonal/>
    </border>
    <border>
      <left style="thin">
        <color rgb="FF595959"/>
      </left>
      <right style="thin">
        <color rgb="FF666666"/>
      </right>
      <top/>
      <bottom/>
      <diagonal/>
    </border>
    <border>
      <left/>
      <right style="thin">
        <color rgb="FF666666"/>
      </right>
      <top/>
      <bottom/>
      <diagonal/>
    </border>
    <border>
      <left style="thin">
        <color rgb="FF666666"/>
      </left>
      <right/>
      <top/>
      <bottom/>
      <diagonal/>
    </border>
    <border>
      <left style="thin">
        <color rgb="FF595959"/>
      </left>
      <right style="thin">
        <color rgb="FF666666"/>
      </right>
      <top/>
      <bottom style="thin">
        <color rgb="FF595959"/>
      </bottom>
      <diagonal/>
    </border>
    <border>
      <left/>
      <right style="thin">
        <color rgb="FF666666"/>
      </right>
      <top/>
      <bottom style="thin">
        <color rgb="FF666666"/>
      </bottom>
      <diagonal/>
    </border>
    <border>
      <left/>
      <right/>
      <top/>
      <bottom style="thin">
        <color rgb="FF666666"/>
      </bottom>
      <diagonal/>
    </border>
    <border>
      <left style="thin">
        <color rgb="FF666666"/>
      </left>
      <right/>
      <top/>
      <bottom style="thin">
        <color rgb="FF666666"/>
      </bottom>
      <diagonal/>
    </border>
    <border>
      <left/>
      <right style="thin">
        <color rgb="FF595959"/>
      </right>
      <top/>
      <bottom style="thin">
        <color rgb="FF666666"/>
      </bottom>
      <diagonal/>
    </border>
    <border>
      <left/>
      <right style="thin">
        <color rgb="FF666666"/>
      </right>
      <top style="thin">
        <color rgb="FF666666"/>
      </top>
      <bottom/>
      <diagonal/>
    </border>
    <border>
      <left style="thin">
        <color rgb="FF666666"/>
      </left>
      <right style="thin">
        <color rgb="FF595959"/>
      </right>
      <top style="thin">
        <color rgb="FF666666"/>
      </top>
      <bottom/>
      <diagonal/>
    </border>
    <border>
      <left style="thin">
        <color rgb="FF666666"/>
      </left>
      <right style="thin">
        <color rgb="FF595959"/>
      </right>
      <top/>
      <bottom/>
      <diagonal/>
    </border>
    <border>
      <left style="thin">
        <color rgb="FF666666"/>
      </left>
      <right style="thin">
        <color rgb="FF595959"/>
      </right>
      <top/>
      <bottom style="thin">
        <color rgb="FF666666"/>
      </bottom>
      <diagonal/>
    </border>
    <border>
      <left style="thin">
        <color rgb="FF666666"/>
      </left>
      <right style="thin">
        <color rgb="FF666666"/>
      </right>
      <top style="thin">
        <color rgb="FF666666"/>
      </top>
      <bottom style="thin">
        <color rgb="FF666666"/>
      </bottom>
      <diagonal/>
    </border>
  </borders>
  <cellStyleXfs count="1">
    <xf numFmtId="0" fontId="0" fillId="0" borderId="0"/>
  </cellStyleXfs>
  <cellXfs count="124">
    <xf numFmtId="0" fontId="0" fillId="0" borderId="0" xfId="0" applyFont="1" applyAlignment="1"/>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4" fillId="12" borderId="19"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13" fillId="0" borderId="0" xfId="0" applyFont="1" applyAlignment="1">
      <alignment horizontal="left" vertical="center" wrapText="1"/>
    </xf>
    <xf numFmtId="0" fontId="13" fillId="0" borderId="22" xfId="0" applyFont="1" applyBorder="1" applyAlignment="1">
      <alignment vertical="center" wrapText="1"/>
    </xf>
    <xf numFmtId="14" fontId="13" fillId="0" borderId="14" xfId="0" applyNumberFormat="1" applyFont="1" applyBorder="1" applyAlignment="1">
      <alignment horizontal="center" vertical="center" wrapText="1"/>
    </xf>
    <xf numFmtId="14" fontId="13" fillId="0" borderId="23"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0" fontId="13" fillId="0" borderId="24" xfId="0" applyFont="1" applyBorder="1" applyAlignment="1">
      <alignment horizontal="left" vertical="center" wrapText="1"/>
    </xf>
    <xf numFmtId="164" fontId="13" fillId="0" borderId="24" xfId="0" applyNumberFormat="1" applyFont="1" applyBorder="1" applyAlignment="1">
      <alignment horizontal="center" vertical="center" wrapText="1"/>
    </xf>
    <xf numFmtId="0" fontId="13" fillId="0" borderId="24" xfId="0" applyFont="1" applyBorder="1" applyAlignment="1">
      <alignment horizontal="center" vertical="center" wrapText="1"/>
    </xf>
    <xf numFmtId="0" fontId="16" fillId="0" borderId="24"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27" xfId="0" applyFont="1" applyBorder="1" applyAlignment="1">
      <alignment vertical="center" wrapText="1"/>
    </xf>
    <xf numFmtId="14" fontId="13" fillId="0" borderId="0" xfId="0" applyNumberFormat="1" applyFont="1" applyAlignment="1">
      <alignment vertical="center" wrapText="1"/>
    </xf>
    <xf numFmtId="14" fontId="13" fillId="0" borderId="28" xfId="0" applyNumberFormat="1" applyFont="1" applyBorder="1" applyAlignment="1">
      <alignment horizontal="center" vertical="center" wrapText="1"/>
    </xf>
    <xf numFmtId="14" fontId="13" fillId="0" borderId="25" xfId="0" applyNumberFormat="1" applyFont="1" applyBorder="1" applyAlignment="1">
      <alignment horizontal="center" vertical="center" wrapText="1"/>
    </xf>
    <xf numFmtId="0" fontId="13" fillId="0" borderId="24" xfId="0" applyFont="1" applyBorder="1" applyAlignment="1">
      <alignment horizontal="left" vertical="center" wrapText="1"/>
    </xf>
    <xf numFmtId="0" fontId="13" fillId="0" borderId="0" xfId="0" applyFont="1" applyAlignment="1">
      <alignment vertical="center" wrapText="1"/>
    </xf>
    <xf numFmtId="0" fontId="13" fillId="0" borderId="30" xfId="0" applyFont="1" applyBorder="1" applyAlignment="1">
      <alignment vertical="center" wrapText="1"/>
    </xf>
    <xf numFmtId="14" fontId="13" fillId="0" borderId="31" xfId="0" applyNumberFormat="1" applyFont="1" applyBorder="1" applyAlignment="1">
      <alignment vertical="center" wrapText="1"/>
    </xf>
    <xf numFmtId="14" fontId="13" fillId="0" borderId="32" xfId="0" applyNumberFormat="1" applyFont="1" applyBorder="1" applyAlignment="1">
      <alignment horizontal="center" vertical="center" wrapText="1"/>
    </xf>
    <xf numFmtId="14" fontId="13" fillId="0" borderId="20" xfId="0" applyNumberFormat="1" applyFont="1" applyBorder="1" applyAlignment="1">
      <alignment horizontal="center" vertical="center" wrapText="1"/>
    </xf>
    <xf numFmtId="0" fontId="13" fillId="0" borderId="7" xfId="0" applyFont="1" applyBorder="1" applyAlignment="1">
      <alignment vertical="center" wrapText="1"/>
    </xf>
    <xf numFmtId="14" fontId="13" fillId="0" borderId="0" xfId="0" applyNumberFormat="1" applyFont="1" applyAlignment="1">
      <alignment horizontal="center"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0" fontId="13" fillId="0" borderId="25" xfId="0" applyFont="1" applyBorder="1" applyAlignment="1">
      <alignment horizontal="center" vertical="center" wrapText="1"/>
    </xf>
    <xf numFmtId="0" fontId="13" fillId="0" borderId="25" xfId="0" applyFont="1" applyBorder="1" applyAlignment="1">
      <alignment vertical="center" wrapText="1"/>
    </xf>
    <xf numFmtId="0" fontId="13" fillId="0" borderId="33" xfId="0" applyFont="1" applyBorder="1" applyAlignment="1">
      <alignment vertical="center" wrapText="1"/>
    </xf>
    <xf numFmtId="14" fontId="13" fillId="0" borderId="31"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14" fontId="13" fillId="0" borderId="27" xfId="0" applyNumberFormat="1" applyFont="1" applyBorder="1" applyAlignment="1">
      <alignment horizontal="center" vertical="center" wrapText="1"/>
    </xf>
    <xf numFmtId="0" fontId="13" fillId="0" borderId="34" xfId="0" applyFont="1" applyBorder="1" applyAlignment="1">
      <alignment vertical="center" wrapText="1"/>
    </xf>
    <xf numFmtId="14" fontId="13" fillId="0" borderId="27" xfId="0" applyNumberFormat="1" applyFont="1" applyBorder="1" applyAlignment="1">
      <alignment vertical="center" wrapText="1"/>
    </xf>
    <xf numFmtId="14" fontId="13" fillId="0" borderId="30" xfId="0" applyNumberFormat="1" applyFont="1" applyBorder="1" applyAlignment="1">
      <alignment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8" xfId="0" applyFont="1" applyBorder="1" applyAlignment="1">
      <alignment vertical="center" wrapText="1"/>
    </xf>
    <xf numFmtId="14" fontId="13" fillId="0" borderId="38"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24" xfId="0" applyFont="1" applyBorder="1" applyAlignment="1">
      <alignment horizontal="center" vertical="center" wrapText="1"/>
    </xf>
    <xf numFmtId="14" fontId="13" fillId="0" borderId="34" xfId="0" applyNumberFormat="1" applyFont="1" applyBorder="1" applyAlignment="1">
      <alignment vertical="center" wrapText="1"/>
    </xf>
    <xf numFmtId="165" fontId="13" fillId="0" borderId="24" xfId="0" applyNumberFormat="1" applyFont="1" applyBorder="1" applyAlignment="1">
      <alignment horizontal="center" vertical="center" wrapText="1"/>
    </xf>
    <xf numFmtId="0" fontId="17" fillId="0" borderId="24" xfId="0" applyFont="1" applyBorder="1" applyAlignment="1">
      <alignment horizontal="left" vertical="center" wrapText="1"/>
    </xf>
    <xf numFmtId="0" fontId="13" fillId="0" borderId="24" xfId="0" applyFont="1" applyBorder="1" applyAlignment="1">
      <alignment horizontal="left" vertical="top" wrapText="1"/>
    </xf>
    <xf numFmtId="166" fontId="13" fillId="0" borderId="24" xfId="0" applyNumberFormat="1" applyFont="1" applyBorder="1" applyAlignment="1">
      <alignment horizontal="center" vertical="center" wrapText="1"/>
    </xf>
    <xf numFmtId="0" fontId="4" fillId="15" borderId="15" xfId="0" applyFont="1" applyFill="1" applyBorder="1" applyAlignment="1">
      <alignment horizontal="center" vertical="center" wrapText="1"/>
    </xf>
    <xf numFmtId="0" fontId="2" fillId="0" borderId="17" xfId="0" applyFont="1" applyBorder="1"/>
    <xf numFmtId="0" fontId="9" fillId="15" borderId="15" xfId="0" applyFont="1" applyFill="1" applyBorder="1" applyAlignment="1">
      <alignment horizontal="center" vertical="center" wrapText="1"/>
    </xf>
    <xf numFmtId="0" fontId="13" fillId="0" borderId="15" xfId="0" applyFont="1" applyBorder="1" applyAlignment="1">
      <alignment horizontal="left" vertical="center" wrapText="1"/>
    </xf>
    <xf numFmtId="0" fontId="2" fillId="0" borderId="19" xfId="0" applyFont="1" applyBorder="1"/>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5" fillId="0" borderId="3" xfId="0" applyFont="1" applyBorder="1" applyAlignment="1">
      <alignment horizontal="left" vertical="center" wrapText="1"/>
    </xf>
    <xf numFmtId="0" fontId="2" fillId="0" borderId="4" xfId="0" applyFont="1" applyBorder="1"/>
    <xf numFmtId="0" fontId="2" fillId="0" borderId="5" xfId="0" applyFont="1" applyBorder="1"/>
    <xf numFmtId="0" fontId="4"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14" xfId="0" applyFont="1" applyBorder="1"/>
    <xf numFmtId="0" fontId="2" fillId="0" borderId="2" xfId="0" applyFont="1" applyBorder="1"/>
    <xf numFmtId="0" fontId="2" fillId="0" borderId="8" xfId="0" applyFont="1" applyBorder="1"/>
    <xf numFmtId="0" fontId="2" fillId="0" borderId="16" xfId="0" applyFont="1" applyBorder="1"/>
    <xf numFmtId="0" fontId="2" fillId="0" borderId="9" xfId="0" applyFont="1" applyBorder="1"/>
    <xf numFmtId="0" fontId="4" fillId="7" borderId="1"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4" borderId="15" xfId="0" applyFont="1" applyFill="1" applyBorder="1" applyAlignment="1">
      <alignment horizontal="center" vertical="center" wrapText="1"/>
    </xf>
    <xf numFmtId="0" fontId="15" fillId="0" borderId="15" xfId="0" applyFont="1" applyBorder="1" applyAlignment="1">
      <alignment horizontal="left" vertical="center" wrapText="1"/>
    </xf>
    <xf numFmtId="0" fontId="13" fillId="0" borderId="21" xfId="0" applyFont="1" applyBorder="1" applyAlignment="1">
      <alignment horizontal="center" vertical="center" wrapText="1"/>
    </xf>
    <xf numFmtId="0" fontId="2" fillId="0" borderId="26" xfId="0" applyFont="1" applyBorder="1"/>
    <xf numFmtId="0" fontId="2" fillId="0" borderId="29" xfId="0" applyFont="1" applyBorder="1"/>
    <xf numFmtId="0" fontId="13" fillId="0" borderId="18" xfId="0" applyFont="1" applyBorder="1" applyAlignment="1">
      <alignment horizontal="left" vertical="center" wrapText="1"/>
    </xf>
    <xf numFmtId="0" fontId="2" fillId="0" borderId="25" xfId="0" applyFont="1" applyBorder="1"/>
    <xf numFmtId="0" fontId="2" fillId="0" borderId="20" xfId="0" applyFont="1" applyBorder="1"/>
    <xf numFmtId="0" fontId="13" fillId="0" borderId="2" xfId="0" applyFont="1" applyBorder="1" applyAlignment="1">
      <alignment horizontal="left" vertical="center" wrapText="1"/>
    </xf>
    <xf numFmtId="0" fontId="2" fillId="0" borderId="7" xfId="0" applyFont="1" applyBorder="1"/>
    <xf numFmtId="0" fontId="14"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7" xfId="0" applyFont="1" applyBorder="1" applyAlignment="1">
      <alignment horizontal="left" vertical="center" wrapText="1"/>
    </xf>
    <xf numFmtId="0" fontId="4" fillId="11" borderId="15"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1" fillId="13" borderId="15"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12" fillId="13"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6" xfId="0" applyFont="1" applyBorder="1"/>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0" xfId="0" applyFont="1" applyBorder="1" applyAlignment="1">
      <alignment horizontal="left" vertical="center" wrapText="1"/>
    </xf>
    <xf numFmtId="0" fontId="2" fillId="0" borderId="11" xfId="0" applyFont="1" applyBorder="1"/>
    <xf numFmtId="0" fontId="2" fillId="0" borderId="12" xfId="0" applyFont="1" applyBorder="1"/>
    <xf numFmtId="0" fontId="6" fillId="0" borderId="11" xfId="0" applyFont="1" applyBorder="1" applyAlignment="1">
      <alignment horizontal="left" vertical="center" wrapText="1"/>
    </xf>
    <xf numFmtId="0" fontId="4" fillId="0" borderId="0" xfId="0" applyFont="1" applyAlignment="1">
      <alignment horizontal="center" vertical="center" wrapText="1"/>
    </xf>
    <xf numFmtId="0" fontId="0" fillId="0" borderId="0" xfId="0" applyFont="1" applyAlignment="1"/>
    <xf numFmtId="0" fontId="4" fillId="10" borderId="3"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13" fillId="0" borderId="18" xfId="0" applyFont="1" applyBorder="1" applyAlignment="1">
      <alignment horizontal="center" vertical="center" wrapText="1"/>
    </xf>
    <xf numFmtId="0" fontId="18" fillId="0" borderId="35" xfId="0" applyFont="1" applyBorder="1" applyAlignment="1">
      <alignment horizontal="center" vertical="center" wrapText="1"/>
    </xf>
    <xf numFmtId="0" fontId="2" fillId="0" borderId="36" xfId="0" applyFont="1" applyBorder="1"/>
    <xf numFmtId="0" fontId="2" fillId="0" borderId="37" xfId="0" applyFont="1" applyBorder="1"/>
    <xf numFmtId="0" fontId="13" fillId="0" borderId="35" xfId="0" applyFont="1" applyBorder="1" applyAlignment="1">
      <alignment horizontal="left" vertical="center" wrapText="1"/>
    </xf>
  </cellXfs>
  <cellStyles count="1">
    <cellStyle name="Normal" xfId="0" builtinId="0"/>
  </cellStyles>
  <dxfs count="5">
    <dxf>
      <font>
        <b/>
        <color rgb="FFFFFFFF"/>
      </font>
      <fill>
        <patternFill patternType="solid">
          <fgColor rgb="FFFF0000"/>
          <bgColor rgb="FFFF0000"/>
        </patternFill>
      </fill>
    </dxf>
    <dxf>
      <font>
        <b/>
      </font>
      <fill>
        <patternFill patternType="solid">
          <fgColor rgb="FFE26B0A"/>
          <bgColor rgb="FFE26B0A"/>
        </patternFill>
      </fill>
    </dxf>
    <dxf>
      <fill>
        <patternFill patternType="solid">
          <fgColor rgb="FFFFFF66"/>
          <bgColor rgb="FFFFFF66"/>
        </patternFill>
      </fill>
    </dxf>
    <dxf>
      <font>
        <b/>
      </font>
      <fill>
        <patternFill patternType="solid">
          <fgColor rgb="FF33CC33"/>
          <bgColor rgb="FF33CC33"/>
        </patternFill>
      </fill>
    </dxf>
    <dxf>
      <font>
        <color rgb="FFDAEEF3"/>
        <name val="Cambria"/>
      </font>
      <fill>
        <patternFill patternType="solid">
          <fgColor rgb="FFDAEEF3"/>
          <bgColor rgb="FFDAEE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561975" cy="180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GpIfKchAP9Q5NxpWvJG334r4dXZMak3n?usp=drive_link" TargetMode="External"/><Relationship Id="rId21" Type="http://schemas.openxmlformats.org/officeDocument/2006/relationships/hyperlink" Target="https://drive.google.com/drive/folders/1CpW1pe1Gs97X2q4q9rE_VYs9I_sDLuFE?usp=drive_link" TargetMode="External"/><Relationship Id="rId42" Type="http://schemas.openxmlformats.org/officeDocument/2006/relationships/hyperlink" Target="https://drive.google.com/drive/folders/1AOLqBZ5n1XldLr7mx5eoFd6N-S8sdhW3?usp=drive_link" TargetMode="External"/><Relationship Id="rId63" Type="http://schemas.openxmlformats.org/officeDocument/2006/relationships/hyperlink" Target="https://drive.google.com/drive/folders/1laV9j3FAm1Mzrq_aDri4qS1QMQP0rkrz?usp=drive_link" TargetMode="External"/><Relationship Id="rId84" Type="http://schemas.openxmlformats.org/officeDocument/2006/relationships/hyperlink" Target="https://drive.google.com/drive/folders/1a3Rm_bdiyLCHTQba56zwtP3sI0NumJkP?usp=drive_link" TargetMode="External"/><Relationship Id="rId138" Type="http://schemas.openxmlformats.org/officeDocument/2006/relationships/hyperlink" Target="https://drive.google.com/drive/folders/1AJVGe-Kl7U2VUoi8C5PgEeuIZdXAE_nD?usp=drive_link" TargetMode="External"/><Relationship Id="rId159" Type="http://schemas.openxmlformats.org/officeDocument/2006/relationships/hyperlink" Target="https://drive.google.com/drive/folders/1sKRZ2P-UpnwjISnYL-hJvIL1cmKRdncG?usp=drive_link" TargetMode="External"/><Relationship Id="rId170" Type="http://schemas.openxmlformats.org/officeDocument/2006/relationships/hyperlink" Target="https://drive.google.com/drive/folders/1UFOPmupqhgrIk9FjR7y9uOleW0INJIFv?usp=drive_link" TargetMode="External"/><Relationship Id="rId107" Type="http://schemas.openxmlformats.org/officeDocument/2006/relationships/hyperlink" Target="https://drive.google.com/drive/folders/1O0NruEOo11BBJpeEq8D0I5ONskgPJuyx?usp=drive_link" TargetMode="External"/><Relationship Id="rId11" Type="http://schemas.openxmlformats.org/officeDocument/2006/relationships/hyperlink" Target="https://drive.google.com/drive/folders/1Z8WNNh7tGJwzAyhXy2HccIgjVU5eVCn0?usp=drive_link" TargetMode="External"/><Relationship Id="rId32" Type="http://schemas.openxmlformats.org/officeDocument/2006/relationships/hyperlink" Target="https://docs.google.com/spreadsheets/d/1by65pVb79UtkE0uIlCg6i3wEhuH4NxSa89Ro2DogxYA/edit?gid=2098233099" TargetMode="External"/><Relationship Id="rId53" Type="http://schemas.openxmlformats.org/officeDocument/2006/relationships/hyperlink" Target="https://drive.google.com/drive/folders/1L8XcYuoEwXtxeMZiCOxLb-R_FgVECxmv?usp=drive_link" TargetMode="External"/><Relationship Id="rId74" Type="http://schemas.openxmlformats.org/officeDocument/2006/relationships/hyperlink" Target="https://drive.google.com/drive/folders/1aHBvisKl8xAAsU6vBVvSa0LIbZxJ4PrB?usp=drive_link" TargetMode="External"/><Relationship Id="rId128" Type="http://schemas.openxmlformats.org/officeDocument/2006/relationships/hyperlink" Target="https://drive.google.com/drive/folders/1GpIfKchAP9Q5NxpWvJG334r4dXZMak3n?usp=drive_link" TargetMode="External"/><Relationship Id="rId149" Type="http://schemas.openxmlformats.org/officeDocument/2006/relationships/hyperlink" Target="https://drive.google.com/drive/folders/1gsy1aMXrvcB_kEupV_pEh3uxiW-_iRKM?usp=drive_link" TargetMode="External"/><Relationship Id="rId5" Type="http://schemas.openxmlformats.org/officeDocument/2006/relationships/hyperlink" Target="https://drive.google.com/drive/folders/1Z8WNNh7tGJwzAyhXy2HccIgjVU5eVCn0?usp=drive_link" TargetMode="External"/><Relationship Id="rId95" Type="http://schemas.openxmlformats.org/officeDocument/2006/relationships/hyperlink" Target="https://drive.google.com/drive/folders/1a3Rm_bdiyLCHTQba56zwtP3sI0NumJkP?usp=drive_link" TargetMode="External"/><Relationship Id="rId160" Type="http://schemas.openxmlformats.org/officeDocument/2006/relationships/hyperlink" Target="https://drive.google.com/drive/folders/1sKRZ2P-UpnwjISnYL-hJvIL1cmKRdncG?usp=drive_link" TargetMode="External"/><Relationship Id="rId181" Type="http://schemas.openxmlformats.org/officeDocument/2006/relationships/hyperlink" Target="https://drive.google.com/drive/folders/13IWV_AC2OsnM9zC0gAP2yyKGKT-hRJMb?usp=drive_link" TargetMode="External"/><Relationship Id="rId22" Type="http://schemas.openxmlformats.org/officeDocument/2006/relationships/hyperlink" Target="https://docs.google.com/spreadsheets/d/1hlsSAaRqCJ5gcOPuquIXISxBXE7PYxAv-BqndaJ0ocE/edit?gid=2098233099" TargetMode="External"/><Relationship Id="rId43" Type="http://schemas.openxmlformats.org/officeDocument/2006/relationships/hyperlink" Target="https://docs.google.com/spreadsheets/d/14-pTONUvOB2Wlzcqxsk28ez7o8jgCBc5-ROM5FAZlgE/edit?gid=2098233099" TargetMode="External"/><Relationship Id="rId64" Type="http://schemas.openxmlformats.org/officeDocument/2006/relationships/hyperlink" Target="https://drive.google.com/drive/folders/1laV9j3FAm1Mzrq_aDri4qS1QMQP0rkrz?usp=drive_link" TargetMode="External"/><Relationship Id="rId118" Type="http://schemas.openxmlformats.org/officeDocument/2006/relationships/hyperlink" Target="https://drive.google.com/drive/folders/1GpIfKchAP9Q5NxpWvJG334r4dXZMak3n?usp=drive_link" TargetMode="External"/><Relationship Id="rId139" Type="http://schemas.openxmlformats.org/officeDocument/2006/relationships/hyperlink" Target="https://drive.google.com/drive/folders/1AJVGe-Kl7U2VUoi8C5PgEeuIZdXAE_nD?usp=drive_link" TargetMode="External"/><Relationship Id="rId85" Type="http://schemas.openxmlformats.org/officeDocument/2006/relationships/hyperlink" Target="https://drive.google.com/drive/folders/1a3Rm_bdiyLCHTQba56zwtP3sI0NumJkP?usp=drive_link" TargetMode="External"/><Relationship Id="rId150" Type="http://schemas.openxmlformats.org/officeDocument/2006/relationships/hyperlink" Target="https://docs.google.com/spreadsheets/d/1yl6EDyBXX041oC7mZHcmU72XFYXVHEArcbiEGYtq8bk/edit?gid=2098233099" TargetMode="External"/><Relationship Id="rId171" Type="http://schemas.openxmlformats.org/officeDocument/2006/relationships/hyperlink" Target="https://drive.google.com/drive/folders/1UFOPmupqhgrIk9FjR7y9uOleW0INJIFv?usp=drive_link" TargetMode="External"/><Relationship Id="rId12" Type="http://schemas.openxmlformats.org/officeDocument/2006/relationships/hyperlink" Target="https://drive.google.com/drive/folders/1Z8WNNh7tGJwzAyhXy2HccIgjVU5eVCn0?usp=drive_link" TargetMode="External"/><Relationship Id="rId33" Type="http://schemas.openxmlformats.org/officeDocument/2006/relationships/hyperlink" Target="https://docs.google.com/spreadsheets/d/1KhHVCNqFSrclU33O0CBGgqTgWqUwFzaI/edit?gid=154262260" TargetMode="External"/><Relationship Id="rId108" Type="http://schemas.openxmlformats.org/officeDocument/2006/relationships/hyperlink" Target="https://drive.google.com/drive/folders/1O0NruEOo11BBJpeEq8D0I5ONskgPJuyx?usp=drive_link" TargetMode="External"/><Relationship Id="rId129" Type="http://schemas.openxmlformats.org/officeDocument/2006/relationships/hyperlink" Target="https://drive.google.com/drive/folders/1GpIfKchAP9Q5NxpWvJG334r4dXZMak3n?usp=drive_link" TargetMode="External"/><Relationship Id="rId54" Type="http://schemas.openxmlformats.org/officeDocument/2006/relationships/hyperlink" Target="https://drive.google.com/drive/folders/1L8XcYuoEwXtxeMZiCOxLb-R_FgVECxmv?usp=drive_link" TargetMode="External"/><Relationship Id="rId75" Type="http://schemas.openxmlformats.org/officeDocument/2006/relationships/hyperlink" Target="https://drive.google.com/drive/folders/1aHBvisKl8xAAsU6vBVvSa0LIbZxJ4PrB?usp=drive_link" TargetMode="External"/><Relationship Id="rId96" Type="http://schemas.openxmlformats.org/officeDocument/2006/relationships/hyperlink" Target="https://drive.google.com/drive/folders/1a3Rm_bdiyLCHTQba56zwtP3sI0NumJkP?usp=drive_link" TargetMode="External"/><Relationship Id="rId140" Type="http://schemas.openxmlformats.org/officeDocument/2006/relationships/hyperlink" Target="https://drive.google.com/drive/folders/1AJVGe-Kl7U2VUoi8C5PgEeuIZdXAE_nD?usp=drive_link" TargetMode="External"/><Relationship Id="rId161" Type="http://schemas.openxmlformats.org/officeDocument/2006/relationships/hyperlink" Target="https://drive.google.com/drive/folders/1sKRZ2P-UpnwjISnYL-hJvIL1cmKRdncG?usp=drive_link" TargetMode="External"/><Relationship Id="rId182" Type="http://schemas.openxmlformats.org/officeDocument/2006/relationships/hyperlink" Target="https://drive.google.com/drive/folders/13IWV_AC2OsnM9zC0gAP2yyKGKT-hRJMb?usp=drive_link" TargetMode="External"/><Relationship Id="rId6" Type="http://schemas.openxmlformats.org/officeDocument/2006/relationships/hyperlink" Target="https://drive.google.com/drive/folders/1Z8WNNh7tGJwzAyhXy2HccIgjVU5eVCn0?usp=drive_link" TargetMode="External"/><Relationship Id="rId23" Type="http://schemas.openxmlformats.org/officeDocument/2006/relationships/hyperlink" Target="https://drive.google.com/drive/folders/1tn5n_1Id2mQrOewq5FOoseJklh6zZPiJ?usp=drive_link" TargetMode="External"/><Relationship Id="rId119" Type="http://schemas.openxmlformats.org/officeDocument/2006/relationships/hyperlink" Target="https://drive.google.com/drive/folders/1GpIfKchAP9Q5NxpWvJG334r4dXZMak3n?usp=drive_link" TargetMode="External"/><Relationship Id="rId44" Type="http://schemas.openxmlformats.org/officeDocument/2006/relationships/hyperlink" Target="https://drive.google.com/drive/folders/1L8XcYuoEwXtxeMZiCOxLb-R_FgVECxmv?usp=drive_link" TargetMode="External"/><Relationship Id="rId65" Type="http://schemas.openxmlformats.org/officeDocument/2006/relationships/hyperlink" Target="https://drive.google.com/drive/folders/1laV9j3FAm1Mzrq_aDri4qS1QMQP0rkrz?usp=drive_link" TargetMode="External"/><Relationship Id="rId86" Type="http://schemas.openxmlformats.org/officeDocument/2006/relationships/hyperlink" Target="https://drive.google.com/drive/folders/1a3Rm_bdiyLCHTQba56zwtP3sI0NumJkP?usp=drive_link" TargetMode="External"/><Relationship Id="rId130" Type="http://schemas.openxmlformats.org/officeDocument/2006/relationships/hyperlink" Target="https://drive.google.com/drive/folders/1GpIfKchAP9Q5NxpWvJG334r4dXZMak3n?usp=drive_link" TargetMode="External"/><Relationship Id="rId151" Type="http://schemas.openxmlformats.org/officeDocument/2006/relationships/hyperlink" Target="https://drive.google.com/drive/folders/1P5QPkuJMZNn25lRdqm6byzH0osruiIqI?usp=drive_link" TargetMode="External"/><Relationship Id="rId172" Type="http://schemas.openxmlformats.org/officeDocument/2006/relationships/hyperlink" Target="https://drive.google.com/drive/folders/1UFOPmupqhgrIk9FjR7y9uOleW0INJIFv?usp=drive_link" TargetMode="External"/><Relationship Id="rId13" Type="http://schemas.openxmlformats.org/officeDocument/2006/relationships/hyperlink" Target="https://drive.google.com/drive/folders/1Z8WNNh7tGJwzAyhXy2HccIgjVU5eVCn0?usp=drive_link" TargetMode="External"/><Relationship Id="rId18" Type="http://schemas.openxmlformats.org/officeDocument/2006/relationships/hyperlink" Target="https://drive.google.com/drive/folders/1CpW1pe1Gs97X2q4q9rE_VYs9I_sDLuFE?usp=drive_link" TargetMode="External"/><Relationship Id="rId39" Type="http://schemas.openxmlformats.org/officeDocument/2006/relationships/hyperlink" Target="https://drive.google.com/drive/folders/1AOLqBZ5n1XldLr7mx5eoFd6N-S8sdhW3?usp=drive_link" TargetMode="External"/><Relationship Id="rId109" Type="http://schemas.openxmlformats.org/officeDocument/2006/relationships/hyperlink" Target="https://drive.google.com/drive/folders/1O0NruEOo11BBJpeEq8D0I5ONskgPJuyx?usp=drive_link" TargetMode="External"/><Relationship Id="rId34" Type="http://schemas.openxmlformats.org/officeDocument/2006/relationships/hyperlink" Target="https://drive.google.com/drive/folders/1AOLqBZ5n1XldLr7mx5eoFd6N-S8sdhW3?usp=drive_link" TargetMode="External"/><Relationship Id="rId50" Type="http://schemas.openxmlformats.org/officeDocument/2006/relationships/hyperlink" Target="https://drive.google.com/drive/folders/1L8XcYuoEwXtxeMZiCOxLb-R_FgVECxmv?usp=drive_link" TargetMode="External"/><Relationship Id="rId55" Type="http://schemas.openxmlformats.org/officeDocument/2006/relationships/hyperlink" Target="https://drive.google.com/drive/folders/1L8XcYuoEwXtxeMZiCOxLb-R_FgVECxmv?usp=drive_link" TargetMode="External"/><Relationship Id="rId76" Type="http://schemas.openxmlformats.org/officeDocument/2006/relationships/hyperlink" Target="https://drive.google.com/drive/folders/1aHBvisKl8xAAsU6vBVvSa0LIbZxJ4PrB?usp=drive_link" TargetMode="External"/><Relationship Id="rId97" Type="http://schemas.openxmlformats.org/officeDocument/2006/relationships/hyperlink" Target="https://drive.google.com/drive/folders/1a3Rm_bdiyLCHTQba56zwtP3sI0NumJkP?usp=drive_link" TargetMode="External"/><Relationship Id="rId104" Type="http://schemas.openxmlformats.org/officeDocument/2006/relationships/hyperlink" Target="https://drive.google.com/drive/folders/1O0NruEOo11BBJpeEq8D0I5ONskgPJuyx?usp=drive_link" TargetMode="External"/><Relationship Id="rId120" Type="http://schemas.openxmlformats.org/officeDocument/2006/relationships/hyperlink" Target="https://drive.google.com/drive/folders/1GpIfKchAP9Q5NxpWvJG334r4dXZMak3n?usp=drive_link" TargetMode="External"/><Relationship Id="rId125" Type="http://schemas.openxmlformats.org/officeDocument/2006/relationships/hyperlink" Target="https://drive.google.com/drive/folders/1GpIfKchAP9Q5NxpWvJG334r4dXZMak3n?usp=drive_link" TargetMode="External"/><Relationship Id="rId141" Type="http://schemas.openxmlformats.org/officeDocument/2006/relationships/hyperlink" Target="https://drive.google.com/drive/folders/1AJVGe-Kl7U2VUoi8C5PgEeuIZdXAE_nD?usp=drive_link" TargetMode="External"/><Relationship Id="rId146" Type="http://schemas.openxmlformats.org/officeDocument/2006/relationships/hyperlink" Target="https://drive.google.com/drive/folders/1gsy1aMXrvcB_kEupV_pEh3uxiW-_iRKM?usp=drive_link" TargetMode="External"/><Relationship Id="rId167" Type="http://schemas.openxmlformats.org/officeDocument/2006/relationships/hyperlink" Target="https://drive.google.com/drive/folders/1UFOPmupqhgrIk9FjR7y9uOleW0INJIFv?usp=drive_link" TargetMode="External"/><Relationship Id="rId7" Type="http://schemas.openxmlformats.org/officeDocument/2006/relationships/hyperlink" Target="https://drive.google.com/drive/folders/1Z8WNNh7tGJwzAyhXy2HccIgjVU5eVCn0?usp=drive_link" TargetMode="External"/><Relationship Id="rId71" Type="http://schemas.openxmlformats.org/officeDocument/2006/relationships/hyperlink" Target="https://drive.google.com/drive/folders/1c_sHXQmVRkYwmk4ALaeZd4X5Ars2U0_9?usp=drive_link" TargetMode="External"/><Relationship Id="rId92" Type="http://schemas.openxmlformats.org/officeDocument/2006/relationships/hyperlink" Target="https://drive.google.com/drive/folders/1a3Rm_bdiyLCHTQba56zwtP3sI0NumJkP?usp=drive_link" TargetMode="External"/><Relationship Id="rId162" Type="http://schemas.openxmlformats.org/officeDocument/2006/relationships/hyperlink" Target="https://drive.google.com/drive/folders/1sKRZ2P-UpnwjISnYL-hJvIL1cmKRdncG?usp=drive_link" TargetMode="External"/><Relationship Id="rId183" Type="http://schemas.openxmlformats.org/officeDocument/2006/relationships/hyperlink" Target="https://drive.google.com/drive/folders/13IWV_AC2OsnM9zC0gAP2yyKGKT-hRJMb?usp=drive_link" TargetMode="External"/><Relationship Id="rId2" Type="http://schemas.openxmlformats.org/officeDocument/2006/relationships/hyperlink" Target="https://drive.google.com/drive/folders/1Z8WNNh7tGJwzAyhXy2HccIgjVU5eVCn0?usp=drive_link" TargetMode="External"/><Relationship Id="rId29" Type="http://schemas.openxmlformats.org/officeDocument/2006/relationships/hyperlink" Target="https://drive.google.com/drive/folders/1tn5n_1Id2mQrOewq5FOoseJklh6zZPiJ?usp=drive_link" TargetMode="External"/><Relationship Id="rId24" Type="http://schemas.openxmlformats.org/officeDocument/2006/relationships/hyperlink" Target="https://drive.google.com/drive/folders/1tn5n_1Id2mQrOewq5FOoseJklh6zZPiJ?usp=drive_link" TargetMode="External"/><Relationship Id="rId40" Type="http://schemas.openxmlformats.org/officeDocument/2006/relationships/hyperlink" Target="https://drive.google.com/drive/folders/1AOLqBZ5n1XldLr7mx5eoFd6N-S8sdhW3?usp=drive_link" TargetMode="External"/><Relationship Id="rId45" Type="http://schemas.openxmlformats.org/officeDocument/2006/relationships/hyperlink" Target="https://drive.google.com/drive/folders/1L8XcYuoEwXtxeMZiCOxLb-R_FgVECxmv?usp=drive_link" TargetMode="External"/><Relationship Id="rId66" Type="http://schemas.openxmlformats.org/officeDocument/2006/relationships/hyperlink" Target="https://docs.google.com/spreadsheets/d/1Nc6v25C8FDm4kqHAShzhpPbQWD8WnYcHU5PshZTqaeA/edit?gid=2098233099" TargetMode="External"/><Relationship Id="rId87" Type="http://schemas.openxmlformats.org/officeDocument/2006/relationships/hyperlink" Target="https://drive.google.com/drive/folders/1a3Rm_bdiyLCHTQba56zwtP3sI0NumJkP?usp=drive_link" TargetMode="External"/><Relationship Id="rId110" Type="http://schemas.openxmlformats.org/officeDocument/2006/relationships/hyperlink" Target="https://drive.google.com/drive/folders/1O0NruEOo11BBJpeEq8D0I5ONskgPJuyx?usp=drive_link" TargetMode="External"/><Relationship Id="rId115" Type="http://schemas.openxmlformats.org/officeDocument/2006/relationships/hyperlink" Target="https://drive.google.com/drive/folders/1GpIfKchAP9Q5NxpWvJG334r4dXZMak3n?usp=drive_link" TargetMode="External"/><Relationship Id="rId131" Type="http://schemas.openxmlformats.org/officeDocument/2006/relationships/hyperlink" Target="https://drive.google.com/drive/folders/1GpIfKchAP9Q5NxpWvJG334r4dXZMak3n?usp=drive_link" TargetMode="External"/><Relationship Id="rId136" Type="http://schemas.openxmlformats.org/officeDocument/2006/relationships/hyperlink" Target="https://docs.google.com/spreadsheets/d/1Tc7m7r2oOdMPmN2qPi8x-h__AwLwZMRblgnn3cv3CNQ/edit?gid=2098233099" TargetMode="External"/><Relationship Id="rId157" Type="http://schemas.openxmlformats.org/officeDocument/2006/relationships/hyperlink" Target="https://drive.google.com/drive/folders/1sKRZ2P-UpnwjISnYL-hJvIL1cmKRdncG?usp=drive_link" TargetMode="External"/><Relationship Id="rId178" Type="http://schemas.openxmlformats.org/officeDocument/2006/relationships/hyperlink" Target="https://drive.google.com/drive/folders/13IWV_AC2OsnM9zC0gAP2yyKGKT-hRJMb?usp=drive_link" TargetMode="External"/><Relationship Id="rId61" Type="http://schemas.openxmlformats.org/officeDocument/2006/relationships/hyperlink" Target="https://drive.google.com/drive/folders/1laV9j3FAm1Mzrq_aDri4qS1QMQP0rkrz?usp=drive_link" TargetMode="External"/><Relationship Id="rId82" Type="http://schemas.openxmlformats.org/officeDocument/2006/relationships/hyperlink" Target="https://drive.google.com/drive/folders/1a3Rm_bdiyLCHTQba56zwtP3sI0NumJkP?usp=drive_link" TargetMode="External"/><Relationship Id="rId152" Type="http://schemas.openxmlformats.org/officeDocument/2006/relationships/hyperlink" Target="https://drive.google.com/drive/folders/1P5QPkuJMZNn25lRdqm6byzH0osruiIqI?usp=drive_link" TargetMode="External"/><Relationship Id="rId173" Type="http://schemas.openxmlformats.org/officeDocument/2006/relationships/hyperlink" Target="https://drive.google.com/drive/folders/1UFOPmupqhgrIk9FjR7y9uOleW0INJIFv?usp=drive_link" TargetMode="External"/><Relationship Id="rId19" Type="http://schemas.openxmlformats.org/officeDocument/2006/relationships/hyperlink" Target="https://drive.google.com/drive/folders/1CpW1pe1Gs97X2q4q9rE_VYs9I_sDLuFE?usp=drive_link" TargetMode="External"/><Relationship Id="rId14" Type="http://schemas.openxmlformats.org/officeDocument/2006/relationships/hyperlink" Target="https://drive.google.com/drive/folders/1Z8WNNh7tGJwzAyhXy2HccIgjVU5eVCn0?usp=drive_link" TargetMode="External"/><Relationship Id="rId30" Type="http://schemas.openxmlformats.org/officeDocument/2006/relationships/hyperlink" Target="https://drive.google.com/drive/folders/1tn5n_1Id2mQrOewq5FOoseJklh6zZPiJ?usp=drive_link" TargetMode="External"/><Relationship Id="rId35" Type="http://schemas.openxmlformats.org/officeDocument/2006/relationships/hyperlink" Target="https://drive.google.com/drive/folders/1AOLqBZ5n1XldLr7mx5eoFd6N-S8sdhW3?usp=drive_link" TargetMode="External"/><Relationship Id="rId56" Type="http://schemas.openxmlformats.org/officeDocument/2006/relationships/hyperlink" Target="https://drive.google.com/drive/folders/1L8XcYuoEwXtxeMZiCOxLb-R_FgVECxmv?usp=drive_link" TargetMode="External"/><Relationship Id="rId77" Type="http://schemas.openxmlformats.org/officeDocument/2006/relationships/hyperlink" Target="https://drive.google.com/drive/folders/1aHBvisKl8xAAsU6vBVvSa0LIbZxJ4PrB?usp=drive_link" TargetMode="External"/><Relationship Id="rId100" Type="http://schemas.openxmlformats.org/officeDocument/2006/relationships/hyperlink" Target="https://drive.google.com/drive/folders/1O0NruEOo11BBJpeEq8D0I5ONskgPJuyx?usp=drive_link" TargetMode="External"/><Relationship Id="rId105" Type="http://schemas.openxmlformats.org/officeDocument/2006/relationships/hyperlink" Target="https://drive.google.com/drive/folders/1O0NruEOo11BBJpeEq8D0I5ONskgPJuyx?usp=drive_link" TargetMode="External"/><Relationship Id="rId126" Type="http://schemas.openxmlformats.org/officeDocument/2006/relationships/hyperlink" Target="https://drive.google.com/drive/folders/1GpIfKchAP9Q5NxpWvJG334r4dXZMak3n?usp=drive_link" TargetMode="External"/><Relationship Id="rId147" Type="http://schemas.openxmlformats.org/officeDocument/2006/relationships/hyperlink" Target="https://drive.google.com/drive/folders/1gsy1aMXrvcB_kEupV_pEh3uxiW-_iRKM?usp=drive_link" TargetMode="External"/><Relationship Id="rId168" Type="http://schemas.openxmlformats.org/officeDocument/2006/relationships/hyperlink" Target="https://drive.google.com/drive/folders/1UFOPmupqhgrIk9FjR7y9uOleW0INJIFv?usp=drive_link" TargetMode="External"/><Relationship Id="rId8" Type="http://schemas.openxmlformats.org/officeDocument/2006/relationships/hyperlink" Target="https://drive.google.com/drive/folders/1Z8WNNh7tGJwzAyhXy2HccIgjVU5eVCn0?usp=drive_link" TargetMode="External"/><Relationship Id="rId51" Type="http://schemas.openxmlformats.org/officeDocument/2006/relationships/hyperlink" Target="https://drive.google.com/drive/folders/1L8XcYuoEwXtxeMZiCOxLb-R_FgVECxmv?usp=drive_link" TargetMode="External"/><Relationship Id="rId72" Type="http://schemas.openxmlformats.org/officeDocument/2006/relationships/hyperlink" Target="https://drive.google.com/drive/folders/1c_sHXQmVRkYwmk4ALaeZd4X5Ars2U0_9?usp=drive_link" TargetMode="External"/><Relationship Id="rId93" Type="http://schemas.openxmlformats.org/officeDocument/2006/relationships/hyperlink" Target="https://drive.google.com/drive/folders/1a3Rm_bdiyLCHTQba56zwtP3sI0NumJkP?usp=drive_link" TargetMode="External"/><Relationship Id="rId98" Type="http://schemas.openxmlformats.org/officeDocument/2006/relationships/hyperlink" Target="https://drive.google.com/drive/folders/1a3Rm_bdiyLCHTQba56zwtP3sI0NumJkP?usp=drive_link" TargetMode="External"/><Relationship Id="rId121" Type="http://schemas.openxmlformats.org/officeDocument/2006/relationships/hyperlink" Target="https://drive.google.com/drive/folders/1GpIfKchAP9Q5NxpWvJG334r4dXZMak3n?usp=drive_link" TargetMode="External"/><Relationship Id="rId142" Type="http://schemas.openxmlformats.org/officeDocument/2006/relationships/hyperlink" Target="https://drive.google.com/drive/folders/1AJVGe-Kl7U2VUoi8C5PgEeuIZdXAE_nD?usp=drive_link" TargetMode="External"/><Relationship Id="rId163" Type="http://schemas.openxmlformats.org/officeDocument/2006/relationships/hyperlink" Target="https://drive.google.com/drive/folders/1sKRZ2P-UpnwjISnYL-hJvIL1cmKRdncG?usp=drive_link" TargetMode="External"/><Relationship Id="rId184" Type="http://schemas.openxmlformats.org/officeDocument/2006/relationships/drawing" Target="../drawings/drawing1.xml"/><Relationship Id="rId3" Type="http://schemas.openxmlformats.org/officeDocument/2006/relationships/hyperlink" Target="https://drive.google.com/drive/folders/1Z8WNNh7tGJwzAyhXy2HccIgjVU5eVCn0?usp=drive_link" TargetMode="External"/><Relationship Id="rId25" Type="http://schemas.openxmlformats.org/officeDocument/2006/relationships/hyperlink" Target="https://drive.google.com/drive/folders/1tn5n_1Id2mQrOewq5FOoseJklh6zZPiJ?usp=drive_link" TargetMode="External"/><Relationship Id="rId46" Type="http://schemas.openxmlformats.org/officeDocument/2006/relationships/hyperlink" Target="https://drive.google.com/drive/folders/1L8XcYuoEwXtxeMZiCOxLb-R_FgVECxmv?usp=drive_link" TargetMode="External"/><Relationship Id="rId67" Type="http://schemas.openxmlformats.org/officeDocument/2006/relationships/hyperlink" Target="https://drive.google.com/drive/folders/1c_sHXQmVRkYwmk4ALaeZd4X5Ars2U0_9?usp=drive_link" TargetMode="External"/><Relationship Id="rId116" Type="http://schemas.openxmlformats.org/officeDocument/2006/relationships/hyperlink" Target="https://drive.google.com/drive/folders/1GpIfKchAP9Q5NxpWvJG334r4dXZMak3n?usp=drive_link" TargetMode="External"/><Relationship Id="rId137" Type="http://schemas.openxmlformats.org/officeDocument/2006/relationships/hyperlink" Target="https://drive.google.com/drive/folders/1AJVGe-Kl7U2VUoi8C5PgEeuIZdXAE_nD?usp=drive_link" TargetMode="External"/><Relationship Id="rId158" Type="http://schemas.openxmlformats.org/officeDocument/2006/relationships/hyperlink" Target="https://drive.google.com/drive/folders/1sKRZ2P-UpnwjISnYL-hJvIL1cmKRdncG?usp=drive_link" TargetMode="External"/><Relationship Id="rId20" Type="http://schemas.openxmlformats.org/officeDocument/2006/relationships/hyperlink" Target="https://drive.google.com/drive/folders/1CpW1pe1Gs97X2q4q9rE_VYs9I_sDLuFE?usp=drive_link" TargetMode="External"/><Relationship Id="rId41" Type="http://schemas.openxmlformats.org/officeDocument/2006/relationships/hyperlink" Target="https://drive.google.com/drive/folders/1AOLqBZ5n1XldLr7mx5eoFd6N-S8sdhW3?usp=drive_link" TargetMode="External"/><Relationship Id="rId62" Type="http://schemas.openxmlformats.org/officeDocument/2006/relationships/hyperlink" Target="https://drive.google.com/drive/folders/1laV9j3FAm1Mzrq_aDri4qS1QMQP0rkrz?usp=drive_link" TargetMode="External"/><Relationship Id="rId83" Type="http://schemas.openxmlformats.org/officeDocument/2006/relationships/hyperlink" Target="https://drive.google.com/drive/folders/1a3Rm_bdiyLCHTQba56zwtP3sI0NumJkP?usp=drive_link" TargetMode="External"/><Relationship Id="rId88" Type="http://schemas.openxmlformats.org/officeDocument/2006/relationships/hyperlink" Target="https://drive.google.com/drive/folders/1a3Rm_bdiyLCHTQba56zwtP3sI0NumJkP?usp=drive_link" TargetMode="External"/><Relationship Id="rId111" Type="http://schemas.openxmlformats.org/officeDocument/2006/relationships/hyperlink" Target="https://drive.google.com/drive/folders/1O0NruEOo11BBJpeEq8D0I5ONskgPJuyx?usp=drive_link" TargetMode="External"/><Relationship Id="rId132" Type="http://schemas.openxmlformats.org/officeDocument/2006/relationships/hyperlink" Target="https://drive.google.com/drive/folders/1GpIfKchAP9Q5NxpWvJG334r4dXZMak3n?usp=drive_link" TargetMode="External"/><Relationship Id="rId153" Type="http://schemas.openxmlformats.org/officeDocument/2006/relationships/hyperlink" Target="https://drive.google.com/drive/folders/1P5QPkuJMZNn25lRdqm6byzH0osruiIqI?usp=drive_link" TargetMode="External"/><Relationship Id="rId174" Type="http://schemas.openxmlformats.org/officeDocument/2006/relationships/hyperlink" Target="https://drive.google.com/drive/folders/1UFOPmupqhgrIk9FjR7y9uOleW0INJIFv?usp=drive_link" TargetMode="External"/><Relationship Id="rId179" Type="http://schemas.openxmlformats.org/officeDocument/2006/relationships/hyperlink" Target="https://drive.google.com/drive/folders/13IWV_AC2OsnM9zC0gAP2yyKGKT-hRJMb?usp=drive_link" TargetMode="External"/><Relationship Id="rId15" Type="http://schemas.openxmlformats.org/officeDocument/2006/relationships/hyperlink" Target="https://docs.google.com/spreadsheets/d/1xU66e8UA38blszsDSTBM41Z_RAIr0zQxjTmTsI0OqUQ/edit?gid=2098233099" TargetMode="External"/><Relationship Id="rId36" Type="http://schemas.openxmlformats.org/officeDocument/2006/relationships/hyperlink" Target="https://drive.google.com/drive/folders/1AOLqBZ5n1XldLr7mx5eoFd6N-S8sdhW3?usp=drive_link" TargetMode="External"/><Relationship Id="rId57" Type="http://schemas.openxmlformats.org/officeDocument/2006/relationships/hyperlink" Target="https://drive.google.com/drive/folders/1L8XcYuoEwXtxeMZiCOxLb-R_FgVECxmv?usp=drive_link" TargetMode="External"/><Relationship Id="rId106" Type="http://schemas.openxmlformats.org/officeDocument/2006/relationships/hyperlink" Target="https://drive.google.com/drive/folders/1O0NruEOo11BBJpeEq8D0I5ONskgPJuyx?usp=drive_link" TargetMode="External"/><Relationship Id="rId127" Type="http://schemas.openxmlformats.org/officeDocument/2006/relationships/hyperlink" Target="https://drive.google.com/drive/folders/1GpIfKchAP9Q5NxpWvJG334r4dXZMak3n?usp=drive_link" TargetMode="External"/><Relationship Id="rId10" Type="http://schemas.openxmlformats.org/officeDocument/2006/relationships/hyperlink" Target="https://drive.google.com/drive/folders/1Z8WNNh7tGJwzAyhXy2HccIgjVU5eVCn0?usp=drive_link" TargetMode="External"/><Relationship Id="rId31" Type="http://schemas.openxmlformats.org/officeDocument/2006/relationships/hyperlink" Target="https://drive.google.com/drive/folders/1tn5n_1Id2mQrOewq5FOoseJklh6zZPiJ?usp=drive_link" TargetMode="External"/><Relationship Id="rId52" Type="http://schemas.openxmlformats.org/officeDocument/2006/relationships/hyperlink" Target="https://drive.google.com/drive/folders/1L8XcYuoEwXtxeMZiCOxLb-R_FgVECxmv?usp=drive_link" TargetMode="External"/><Relationship Id="rId73" Type="http://schemas.openxmlformats.org/officeDocument/2006/relationships/hyperlink" Target="https://docs.google.com/spreadsheets/d/13OzqGU_-_fHV5Qq7eXWVMz1UMzC3_KYwhmVKDK1CdoQ/edit?gid=2098233099" TargetMode="External"/><Relationship Id="rId78" Type="http://schemas.openxmlformats.org/officeDocument/2006/relationships/hyperlink" Target="https://drive.google.com/drive/folders/1aHBvisKl8xAAsU6vBVvSa0LIbZxJ4PrB?usp=drive_link" TargetMode="External"/><Relationship Id="rId94" Type="http://schemas.openxmlformats.org/officeDocument/2006/relationships/hyperlink" Target="https://drive.google.com/drive/folders/1a3Rm_bdiyLCHTQba56zwtP3sI0NumJkP?usp=drive_link" TargetMode="External"/><Relationship Id="rId99" Type="http://schemas.openxmlformats.org/officeDocument/2006/relationships/hyperlink" Target="https://docs.google.com/spreadsheets/d/13GiQCPLtLYQMMXCufLdo8k8qjsvC-kI3Nqz83k2Lv1g/edit?gid=2098233099" TargetMode="External"/><Relationship Id="rId101" Type="http://schemas.openxmlformats.org/officeDocument/2006/relationships/hyperlink" Target="https://drive.google.com/drive/folders/1O0NruEOo11BBJpeEq8D0I5ONskgPJuyx?usp=drive_link" TargetMode="External"/><Relationship Id="rId122" Type="http://schemas.openxmlformats.org/officeDocument/2006/relationships/hyperlink" Target="https://drive.google.com/drive/folders/1GpIfKchAP9Q5NxpWvJG334r4dXZMak3n?usp=drive_link" TargetMode="External"/><Relationship Id="rId143" Type="http://schemas.openxmlformats.org/officeDocument/2006/relationships/hyperlink" Target="https://docs.google.com/spreadsheets/d/1-z_u93tIzD9b25N2JQhZH5UfYqQLimeRN8sGtq3ndb8/edit?gid=2098233099" TargetMode="External"/><Relationship Id="rId148" Type="http://schemas.openxmlformats.org/officeDocument/2006/relationships/hyperlink" Target="https://drive.google.com/drive/folders/1gsy1aMXrvcB_kEupV_pEh3uxiW-_iRKM?usp=drive_link" TargetMode="External"/><Relationship Id="rId164" Type="http://schemas.openxmlformats.org/officeDocument/2006/relationships/hyperlink" Target="https://docs.google.com/spreadsheets/d/1MLeYKZoFkU5LBXg_9agqyWvgxXWtPJ7O-s_x41QMnCs/edit?gid=2098233099" TargetMode="External"/><Relationship Id="rId169" Type="http://schemas.openxmlformats.org/officeDocument/2006/relationships/hyperlink" Target="https://drive.google.com/drive/folders/1UFOPmupqhgrIk9FjR7y9uOleW0INJIFv?usp=drive_link" TargetMode="External"/><Relationship Id="rId185" Type="http://schemas.openxmlformats.org/officeDocument/2006/relationships/vmlDrawing" Target="../drawings/vmlDrawing1.vml"/><Relationship Id="rId4" Type="http://schemas.openxmlformats.org/officeDocument/2006/relationships/hyperlink" Target="https://drive.google.com/drive/folders/1Z8WNNh7tGJwzAyhXy2HccIgjVU5eVCn0?usp=drive_link" TargetMode="External"/><Relationship Id="rId9" Type="http://schemas.openxmlformats.org/officeDocument/2006/relationships/hyperlink" Target="https://drive.google.com/drive/folders/1Z8WNNh7tGJwzAyhXy2HccIgjVU5eVCn0?usp=drive_link" TargetMode="External"/><Relationship Id="rId180" Type="http://schemas.openxmlformats.org/officeDocument/2006/relationships/hyperlink" Target="https://drive.google.com/drive/folders/13IWV_AC2OsnM9zC0gAP2yyKGKT-hRJMb?usp=drive_link" TargetMode="External"/><Relationship Id="rId26" Type="http://schemas.openxmlformats.org/officeDocument/2006/relationships/hyperlink" Target="https://drive.google.com/drive/folders/1tn5n_1Id2mQrOewq5FOoseJklh6zZPiJ?usp=drive_link" TargetMode="External"/><Relationship Id="rId47" Type="http://schemas.openxmlformats.org/officeDocument/2006/relationships/hyperlink" Target="https://drive.google.com/drive/folders/1L8XcYuoEwXtxeMZiCOxLb-R_FgVECxmv?usp=drive_link" TargetMode="External"/><Relationship Id="rId68" Type="http://schemas.openxmlformats.org/officeDocument/2006/relationships/hyperlink" Target="https://drive.google.com/drive/folders/1c_sHXQmVRkYwmk4ALaeZd4X5Ars2U0_9?usp=drive_link" TargetMode="External"/><Relationship Id="rId89" Type="http://schemas.openxmlformats.org/officeDocument/2006/relationships/hyperlink" Target="https://drive.google.com/drive/folders/1a3Rm_bdiyLCHTQba56zwtP3sI0NumJkP?usp=drive_link" TargetMode="External"/><Relationship Id="rId112" Type="http://schemas.openxmlformats.org/officeDocument/2006/relationships/hyperlink" Target="https://docs.google.com/spreadsheets/d/1L9v8R1Nf-h7LWupGpWJV9M0H2JBp24vHcZ19FOblraY/edit?gid=2098233099" TargetMode="External"/><Relationship Id="rId133" Type="http://schemas.openxmlformats.org/officeDocument/2006/relationships/hyperlink" Target="https://drive.google.com/drive/folders/1GpIfKchAP9Q5NxpWvJG334r4dXZMak3n?usp=drive_link" TargetMode="External"/><Relationship Id="rId154" Type="http://schemas.openxmlformats.org/officeDocument/2006/relationships/hyperlink" Target="https://docs.google.com/spreadsheets/d/1GpgmS0C71ecBZJR0hpfpUUOEucHp1vlNhHZXjSp6C9A/edit?gid=2098233099" TargetMode="External"/><Relationship Id="rId175" Type="http://schemas.openxmlformats.org/officeDocument/2006/relationships/hyperlink" Target="https://drive.google.com/drive/folders/1UFOPmupqhgrIk9FjR7y9uOleW0INJIFv?usp=drive_link" TargetMode="External"/><Relationship Id="rId16" Type="http://schemas.openxmlformats.org/officeDocument/2006/relationships/hyperlink" Target="https://drive.google.com/drive/folders/1CpW1pe1Gs97X2q4q9rE_VYs9I_sDLuFE?usp=drive_link" TargetMode="External"/><Relationship Id="rId37" Type="http://schemas.openxmlformats.org/officeDocument/2006/relationships/hyperlink" Target="https://drive.google.com/drive/folders/1AOLqBZ5n1XldLr7mx5eoFd6N-S8sdhW3?usp=drive_link" TargetMode="External"/><Relationship Id="rId58" Type="http://schemas.openxmlformats.org/officeDocument/2006/relationships/hyperlink" Target="https://drive.google.com/drive/folders/1L8XcYuoEwXtxeMZiCOxLb-R_FgVECxmv?usp=drive_link" TargetMode="External"/><Relationship Id="rId79" Type="http://schemas.openxmlformats.org/officeDocument/2006/relationships/hyperlink" Target="https://drive.google.com/drive/folders/1aHBvisKl8xAAsU6vBVvSa0LIbZxJ4PrB?usp=drive_link" TargetMode="External"/><Relationship Id="rId102" Type="http://schemas.openxmlformats.org/officeDocument/2006/relationships/hyperlink" Target="https://drive.google.com/drive/folders/1O0NruEOo11BBJpeEq8D0I5ONskgPJuyx?usp=drive_link" TargetMode="External"/><Relationship Id="rId123" Type="http://schemas.openxmlformats.org/officeDocument/2006/relationships/hyperlink" Target="https://drive.google.com/drive/folders/1GpIfKchAP9Q5NxpWvJG334r4dXZMak3n?usp=drive_link" TargetMode="External"/><Relationship Id="rId144" Type="http://schemas.openxmlformats.org/officeDocument/2006/relationships/hyperlink" Target="https://drive.google.com/drive/folders/1gsy1aMXrvcB_kEupV_pEh3uxiW-_iRKM?usp=drive_link" TargetMode="External"/><Relationship Id="rId90" Type="http://schemas.openxmlformats.org/officeDocument/2006/relationships/hyperlink" Target="https://drive.google.com/drive/folders/1a3Rm_bdiyLCHTQba56zwtP3sI0NumJkP?usp=drive_link" TargetMode="External"/><Relationship Id="rId165" Type="http://schemas.openxmlformats.org/officeDocument/2006/relationships/hyperlink" Target="https://drive.google.com/drive/folders/1UFOPmupqhgrIk9FjR7y9uOleW0INJIFv?usp=drive_link" TargetMode="External"/><Relationship Id="rId186" Type="http://schemas.openxmlformats.org/officeDocument/2006/relationships/comments" Target="../comments1.xml"/><Relationship Id="rId27" Type="http://schemas.openxmlformats.org/officeDocument/2006/relationships/hyperlink" Target="https://drive.google.com/drive/folders/1tn5n_1Id2mQrOewq5FOoseJklh6zZPiJ?usp=drive_link" TargetMode="External"/><Relationship Id="rId48" Type="http://schemas.openxmlformats.org/officeDocument/2006/relationships/hyperlink" Target="https://drive.google.com/drive/folders/1L8XcYuoEwXtxeMZiCOxLb-R_FgVECxmv?usp=drive_link" TargetMode="External"/><Relationship Id="rId69" Type="http://schemas.openxmlformats.org/officeDocument/2006/relationships/hyperlink" Target="https://drive.google.com/drive/folders/1c_sHXQmVRkYwmk4ALaeZd4X5Ars2U0_9?usp=drive_link" TargetMode="External"/><Relationship Id="rId113" Type="http://schemas.openxmlformats.org/officeDocument/2006/relationships/hyperlink" Target="https://drive.google.com/drive/folders/1GpIfKchAP9Q5NxpWvJG334r4dXZMak3n?usp=drive_link" TargetMode="External"/><Relationship Id="rId134" Type="http://schemas.openxmlformats.org/officeDocument/2006/relationships/hyperlink" Target="https://drive.google.com/drive/folders/1GpIfKchAP9Q5NxpWvJG334r4dXZMak3n?usp=drive_link" TargetMode="External"/><Relationship Id="rId80" Type="http://schemas.openxmlformats.org/officeDocument/2006/relationships/hyperlink" Target="https://docs.google.com/spreadsheets/d/16gnebvln5D6mVTKZIPhsRkNrefLUtPApHS_UZLdmiCQ/edit?gid=2098233099" TargetMode="External"/><Relationship Id="rId155" Type="http://schemas.openxmlformats.org/officeDocument/2006/relationships/hyperlink" Target="https://drive.google.com/drive/folders/1sKRZ2P-UpnwjISnYL-hJvIL1cmKRdncG?usp=drive_link" TargetMode="External"/><Relationship Id="rId176" Type="http://schemas.openxmlformats.org/officeDocument/2006/relationships/hyperlink" Target="https://drive.google.com/drive/folders/1UFOPmupqhgrIk9FjR7y9uOleW0INJIFv?usp=drive_link" TargetMode="External"/><Relationship Id="rId17" Type="http://schemas.openxmlformats.org/officeDocument/2006/relationships/hyperlink" Target="https://drive.google.com/drive/folders/1CpW1pe1Gs97X2q4q9rE_VYs9I_sDLuFE?usp=drive_link" TargetMode="External"/><Relationship Id="rId38" Type="http://schemas.openxmlformats.org/officeDocument/2006/relationships/hyperlink" Target="https://drive.google.com/drive/folders/1AOLqBZ5n1XldLr7mx5eoFd6N-S8sdhW3?usp=drive_link" TargetMode="External"/><Relationship Id="rId59" Type="http://schemas.openxmlformats.org/officeDocument/2006/relationships/hyperlink" Target="https://docs.google.com/spreadsheets/d/1VefRanYmSAjKd4MF_vaCeQnKxRtE1uPwO5mX0FJH4nU/edit?gid=2098233099" TargetMode="External"/><Relationship Id="rId103" Type="http://schemas.openxmlformats.org/officeDocument/2006/relationships/hyperlink" Target="https://drive.google.com/drive/folders/1O0NruEOo11BBJpeEq8D0I5ONskgPJuyx?usp=drive_link" TargetMode="External"/><Relationship Id="rId124" Type="http://schemas.openxmlformats.org/officeDocument/2006/relationships/hyperlink" Target="https://drive.google.com/drive/folders/1GpIfKchAP9Q5NxpWvJG334r4dXZMak3n?usp=drive_link" TargetMode="External"/><Relationship Id="rId70" Type="http://schemas.openxmlformats.org/officeDocument/2006/relationships/hyperlink" Target="https://drive.google.com/drive/folders/1c_sHXQmVRkYwmk4ALaeZd4X5Ars2U0_9?usp=drive_link" TargetMode="External"/><Relationship Id="rId91" Type="http://schemas.openxmlformats.org/officeDocument/2006/relationships/hyperlink" Target="https://drive.google.com/drive/folders/1a3Rm_bdiyLCHTQba56zwtP3sI0NumJkP?usp=drive_link" TargetMode="External"/><Relationship Id="rId145" Type="http://schemas.openxmlformats.org/officeDocument/2006/relationships/hyperlink" Target="https://drive.google.com/drive/folders/1gsy1aMXrvcB_kEupV_pEh3uxiW-_iRKM?usp=drive_link" TargetMode="External"/><Relationship Id="rId166" Type="http://schemas.openxmlformats.org/officeDocument/2006/relationships/hyperlink" Target="https://drive.google.com/drive/folders/1UFOPmupqhgrIk9FjR7y9uOleW0INJIFv?usp=drive_link" TargetMode="External"/><Relationship Id="rId1" Type="http://schemas.openxmlformats.org/officeDocument/2006/relationships/hyperlink" Target="https://docs.google.com/spreadsheets/d/1noduSksyBuDks3nGzCmzG6niYVCU58X_X0bJHZP9Fh4/edit?gid=2098233099" TargetMode="External"/><Relationship Id="rId28" Type="http://schemas.openxmlformats.org/officeDocument/2006/relationships/hyperlink" Target="https://drive.google.com/drive/folders/1tn5n_1Id2mQrOewq5FOoseJklh6zZPiJ?usp=drive_link" TargetMode="External"/><Relationship Id="rId49" Type="http://schemas.openxmlformats.org/officeDocument/2006/relationships/hyperlink" Target="https://drive.google.com/drive/folders/1L8XcYuoEwXtxeMZiCOxLb-R_FgVECxmv?usp=drive_link" TargetMode="External"/><Relationship Id="rId114" Type="http://schemas.openxmlformats.org/officeDocument/2006/relationships/hyperlink" Target="https://drive.google.com/drive/folders/1GpIfKchAP9Q5NxpWvJG334r4dXZMak3n?usp=drive_link" TargetMode="External"/><Relationship Id="rId60" Type="http://schemas.openxmlformats.org/officeDocument/2006/relationships/hyperlink" Target="https://drive.google.com/drive/folders/1laV9j3FAm1Mzrq_aDri4qS1QMQP0rkrz?usp=drive_link" TargetMode="External"/><Relationship Id="rId81" Type="http://schemas.openxmlformats.org/officeDocument/2006/relationships/hyperlink" Target="https://drive.google.com/drive/folders/1a3Rm_bdiyLCHTQba56zwtP3sI0NumJkP?usp=drive_link" TargetMode="External"/><Relationship Id="rId135" Type="http://schemas.openxmlformats.org/officeDocument/2006/relationships/hyperlink" Target="https://drive.google.com/drive/folders/1GpIfKchAP9Q5NxpWvJG334r4dXZMak3n?usp=drive_link" TargetMode="External"/><Relationship Id="rId156" Type="http://schemas.openxmlformats.org/officeDocument/2006/relationships/hyperlink" Target="https://drive.google.com/drive/folders/1sKRZ2P-UpnwjISnYL-hJvIL1cmKRdncG?usp=drive_link" TargetMode="External"/><Relationship Id="rId177" Type="http://schemas.openxmlformats.org/officeDocument/2006/relationships/hyperlink" Target="https://docs.google.com/spreadsheets/d/15ZZxjVJpvD_1trsqFp5bwpXtUV5a0WArS0b3ZTQCze0/edit?gid=20982330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82"/>
  <sheetViews>
    <sheetView tabSelected="1" workbookViewId="0">
      <pane ySplit="10" topLeftCell="A176" activePane="bottomLeft" state="frozen"/>
      <selection pane="bottomLeft" activeCell="B176" sqref="B176:B181"/>
    </sheetView>
  </sheetViews>
  <sheetFormatPr baseColWidth="10" defaultColWidth="14.42578125" defaultRowHeight="15" customHeight="1" x14ac:dyDescent="0.25"/>
  <cols>
    <col min="1" max="1" width="0.42578125" customWidth="1"/>
    <col min="2" max="2" width="16.5703125" customWidth="1"/>
    <col min="3" max="3" width="26.85546875" customWidth="1"/>
    <col min="4" max="4" width="28.7109375" customWidth="1"/>
    <col min="5" max="5" width="16" customWidth="1"/>
    <col min="6" max="6" width="11.5703125" customWidth="1"/>
    <col min="7" max="7" width="37" customWidth="1"/>
    <col min="8" max="8" width="38.5703125" customWidth="1"/>
    <col min="9" max="9" width="7.7109375" customWidth="1"/>
    <col min="10" max="12" width="11.7109375" customWidth="1"/>
    <col min="13" max="13" width="61.85546875" customWidth="1"/>
    <col min="14" max="16" width="11.85546875" customWidth="1"/>
    <col min="17" max="17" width="15.85546875" customWidth="1"/>
    <col min="18" max="18" width="35.28515625" customWidth="1"/>
    <col min="19" max="19" width="19.140625" customWidth="1"/>
    <col min="20" max="20" width="15.28515625" customWidth="1"/>
    <col min="21" max="21" width="22" customWidth="1"/>
    <col min="22" max="22" width="32.42578125" customWidth="1"/>
    <col min="23" max="23" width="19" customWidth="1"/>
    <col min="24" max="24" width="15.42578125" customWidth="1"/>
    <col min="25" max="25" width="13.140625" customWidth="1"/>
    <col min="26" max="26" width="14.7109375" customWidth="1"/>
    <col min="27" max="27" width="15.5703125" customWidth="1"/>
    <col min="28" max="28" width="10.5703125" customWidth="1"/>
    <col min="29" max="29" width="134.85546875" customWidth="1"/>
    <col min="30" max="31" width="18.7109375" customWidth="1"/>
    <col min="32" max="32" width="11.7109375" customWidth="1"/>
    <col min="33" max="33" width="14.28515625" customWidth="1"/>
    <col min="34" max="34" width="108.140625" customWidth="1"/>
    <col min="35" max="35" width="14.140625" customWidth="1"/>
    <col min="36" max="36" width="12.28515625" customWidth="1"/>
    <col min="37" max="39" width="16.5703125" customWidth="1"/>
    <col min="40" max="42" width="14.28515625" customWidth="1"/>
    <col min="43" max="43" width="20.28515625" customWidth="1"/>
    <col min="44" max="44" width="16.5703125" customWidth="1"/>
    <col min="45" max="45" width="13.5703125" customWidth="1"/>
    <col min="46" max="46" width="142.85546875" customWidth="1"/>
    <col min="47" max="47" width="1.42578125" customWidth="1"/>
  </cols>
  <sheetData>
    <row r="1" spans="1:47" ht="1.5" customHeight="1" x14ac:dyDescent="0.25">
      <c r="A1" s="1"/>
      <c r="B1" s="1"/>
      <c r="C1" s="1"/>
      <c r="D1" s="1"/>
      <c r="E1" s="1"/>
      <c r="F1" s="1"/>
      <c r="G1" s="1"/>
      <c r="H1" s="1"/>
      <c r="I1" s="1"/>
      <c r="J1" s="1"/>
      <c r="K1" s="1"/>
      <c r="L1" s="1"/>
      <c r="M1" s="1"/>
      <c r="N1" s="1"/>
      <c r="O1" s="1"/>
      <c r="P1" s="1"/>
      <c r="Q1" s="1"/>
      <c r="R1" s="1"/>
      <c r="S1" s="1"/>
      <c r="T1" s="1"/>
      <c r="U1" s="1"/>
      <c r="V1" s="2"/>
      <c r="W1" s="3"/>
      <c r="X1" s="3"/>
      <c r="Y1" s="3"/>
      <c r="Z1" s="1"/>
      <c r="AA1" s="1"/>
      <c r="AB1" s="1"/>
      <c r="AC1" s="1"/>
      <c r="AD1" s="1"/>
      <c r="AE1" s="1"/>
      <c r="AF1" s="1"/>
      <c r="AG1" s="1"/>
      <c r="AH1" s="1"/>
      <c r="AI1" s="1"/>
      <c r="AJ1" s="1"/>
      <c r="AK1" s="1"/>
      <c r="AL1" s="1"/>
      <c r="AM1" s="1"/>
      <c r="AN1" s="1"/>
      <c r="AO1" s="1"/>
      <c r="AP1" s="1"/>
      <c r="AQ1" s="1"/>
      <c r="AR1" s="1"/>
      <c r="AS1" s="1"/>
      <c r="AT1" s="1"/>
      <c r="AU1" s="1"/>
    </row>
    <row r="2" spans="1:47" ht="14.25" customHeight="1" x14ac:dyDescent="0.25">
      <c r="A2" s="1"/>
      <c r="B2" s="101"/>
      <c r="C2" s="73"/>
      <c r="D2" s="103" t="s">
        <v>0</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9"/>
      <c r="AU2" s="4"/>
    </row>
    <row r="3" spans="1:47" ht="14.25" customHeight="1" x14ac:dyDescent="0.25">
      <c r="A3" s="1"/>
      <c r="B3" s="102"/>
      <c r="C3" s="89"/>
      <c r="D3" s="104" t="s">
        <v>1</v>
      </c>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9"/>
      <c r="AU3" s="5"/>
    </row>
    <row r="4" spans="1:47" ht="14.25" customHeight="1" x14ac:dyDescent="0.25">
      <c r="A4" s="1"/>
      <c r="B4" s="74"/>
      <c r="C4" s="76"/>
      <c r="D4" s="67" t="s">
        <v>2</v>
      </c>
      <c r="E4" s="68"/>
      <c r="F4" s="68"/>
      <c r="G4" s="68"/>
      <c r="H4" s="68"/>
      <c r="I4" s="68"/>
      <c r="J4" s="69"/>
      <c r="K4" s="67" t="s">
        <v>3</v>
      </c>
      <c r="L4" s="68"/>
      <c r="M4" s="69"/>
      <c r="N4" s="105" t="s">
        <v>4</v>
      </c>
      <c r="O4" s="106"/>
      <c r="P4" s="106"/>
      <c r="Q4" s="106"/>
      <c r="R4" s="106"/>
      <c r="S4" s="106"/>
      <c r="T4" s="106"/>
      <c r="U4" s="106"/>
      <c r="V4" s="106"/>
      <c r="W4" s="106"/>
      <c r="X4" s="106"/>
      <c r="Y4" s="106"/>
      <c r="Z4" s="106"/>
      <c r="AA4" s="106"/>
      <c r="AB4" s="106"/>
      <c r="AC4" s="106"/>
      <c r="AD4" s="106"/>
      <c r="AE4" s="106"/>
      <c r="AF4" s="106"/>
      <c r="AG4" s="106"/>
      <c r="AH4" s="107"/>
      <c r="AI4" s="108" t="s">
        <v>5</v>
      </c>
      <c r="AJ4" s="106"/>
      <c r="AK4" s="106"/>
      <c r="AL4" s="106"/>
      <c r="AM4" s="106"/>
      <c r="AN4" s="106"/>
      <c r="AO4" s="106"/>
      <c r="AP4" s="106"/>
      <c r="AQ4" s="106"/>
      <c r="AR4" s="106"/>
      <c r="AS4" s="106"/>
      <c r="AT4" s="107"/>
      <c r="AU4" s="6"/>
    </row>
    <row r="5" spans="1:47" ht="1.5" customHeight="1" x14ac:dyDescent="0.25">
      <c r="A5" s="1"/>
      <c r="B5" s="109"/>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7"/>
    </row>
    <row r="6" spans="1:47" x14ac:dyDescent="0.25">
      <c r="A6" s="1"/>
      <c r="B6" s="70" t="s">
        <v>6</v>
      </c>
      <c r="C6" s="68"/>
      <c r="D6" s="68"/>
      <c r="E6" s="68"/>
      <c r="F6" s="68"/>
      <c r="G6" s="68"/>
      <c r="H6" s="68"/>
      <c r="I6" s="69"/>
      <c r="J6" s="113" t="s">
        <v>7</v>
      </c>
      <c r="K6" s="68"/>
      <c r="L6" s="68"/>
      <c r="M6" s="68"/>
      <c r="N6" s="68"/>
      <c r="O6" s="68"/>
      <c r="P6" s="68"/>
      <c r="Q6" s="68"/>
      <c r="R6" s="68"/>
      <c r="S6" s="68"/>
      <c r="T6" s="68"/>
      <c r="U6" s="68"/>
      <c r="V6" s="68"/>
      <c r="W6" s="68"/>
      <c r="X6" s="68"/>
      <c r="Y6" s="69"/>
      <c r="Z6" s="114" t="s">
        <v>8</v>
      </c>
      <c r="AA6" s="68"/>
      <c r="AB6" s="68"/>
      <c r="AC6" s="68"/>
      <c r="AD6" s="68"/>
      <c r="AE6" s="68"/>
      <c r="AF6" s="68"/>
      <c r="AG6" s="68"/>
      <c r="AH6" s="69"/>
      <c r="AI6" s="115" t="s">
        <v>9</v>
      </c>
      <c r="AJ6" s="68"/>
      <c r="AK6" s="68"/>
      <c r="AL6" s="68"/>
      <c r="AM6" s="68"/>
      <c r="AN6" s="68"/>
      <c r="AO6" s="68"/>
      <c r="AP6" s="68"/>
      <c r="AQ6" s="68"/>
      <c r="AR6" s="68"/>
      <c r="AS6" s="68"/>
      <c r="AT6" s="69"/>
      <c r="AU6" s="5"/>
    </row>
    <row r="7" spans="1:47" x14ac:dyDescent="0.25">
      <c r="A7" s="1"/>
      <c r="B7" s="71" t="s">
        <v>10</v>
      </c>
      <c r="C7" s="72"/>
      <c r="D7" s="72"/>
      <c r="E7" s="72"/>
      <c r="F7" s="72"/>
      <c r="G7" s="72"/>
      <c r="H7" s="72"/>
      <c r="I7" s="73"/>
      <c r="J7" s="77" t="s">
        <v>11</v>
      </c>
      <c r="K7" s="72"/>
      <c r="L7" s="73"/>
      <c r="M7" s="78" t="s">
        <v>12</v>
      </c>
      <c r="N7" s="79" t="s">
        <v>13</v>
      </c>
      <c r="O7" s="72"/>
      <c r="P7" s="73"/>
      <c r="Q7" s="111" t="s">
        <v>14</v>
      </c>
      <c r="R7" s="68"/>
      <c r="S7" s="68"/>
      <c r="T7" s="68"/>
      <c r="U7" s="68"/>
      <c r="V7" s="68"/>
      <c r="W7" s="68"/>
      <c r="X7" s="68"/>
      <c r="Y7" s="69"/>
      <c r="Z7" s="116" t="s">
        <v>15</v>
      </c>
      <c r="AA7" s="72"/>
      <c r="AB7" s="72"/>
      <c r="AC7" s="72"/>
      <c r="AD7" s="72"/>
      <c r="AE7" s="73"/>
      <c r="AF7" s="117" t="s">
        <v>16</v>
      </c>
      <c r="AG7" s="72"/>
      <c r="AH7" s="73"/>
      <c r="AI7" s="118" t="s">
        <v>17</v>
      </c>
      <c r="AJ7" s="72"/>
      <c r="AK7" s="72"/>
      <c r="AL7" s="72"/>
      <c r="AM7" s="72"/>
      <c r="AN7" s="72"/>
      <c r="AO7" s="72"/>
      <c r="AP7" s="72"/>
      <c r="AQ7" s="72"/>
      <c r="AR7" s="72"/>
      <c r="AS7" s="72"/>
      <c r="AT7" s="73"/>
      <c r="AU7" s="5"/>
    </row>
    <row r="8" spans="1:47" x14ac:dyDescent="0.25">
      <c r="A8" s="1"/>
      <c r="B8" s="74"/>
      <c r="C8" s="75"/>
      <c r="D8" s="75"/>
      <c r="E8" s="75"/>
      <c r="F8" s="75"/>
      <c r="G8" s="75"/>
      <c r="H8" s="75"/>
      <c r="I8" s="76"/>
      <c r="J8" s="74"/>
      <c r="K8" s="75"/>
      <c r="L8" s="76"/>
      <c r="M8" s="61"/>
      <c r="N8" s="74"/>
      <c r="O8" s="75"/>
      <c r="P8" s="76"/>
      <c r="Q8" s="111" t="s">
        <v>18</v>
      </c>
      <c r="R8" s="68"/>
      <c r="S8" s="68"/>
      <c r="T8" s="68"/>
      <c r="U8" s="69"/>
      <c r="V8" s="111" t="s">
        <v>19</v>
      </c>
      <c r="W8" s="68"/>
      <c r="X8" s="68"/>
      <c r="Y8" s="69"/>
      <c r="Z8" s="74"/>
      <c r="AA8" s="75"/>
      <c r="AB8" s="75"/>
      <c r="AC8" s="75"/>
      <c r="AD8" s="75"/>
      <c r="AE8" s="76"/>
      <c r="AF8" s="102"/>
      <c r="AG8" s="110"/>
      <c r="AH8" s="89"/>
      <c r="AI8" s="74"/>
      <c r="AJ8" s="75"/>
      <c r="AK8" s="75"/>
      <c r="AL8" s="75"/>
      <c r="AM8" s="75"/>
      <c r="AN8" s="75"/>
      <c r="AO8" s="75"/>
      <c r="AP8" s="75"/>
      <c r="AQ8" s="75"/>
      <c r="AR8" s="75"/>
      <c r="AS8" s="75"/>
      <c r="AT8" s="76"/>
      <c r="AU8" s="5"/>
    </row>
    <row r="9" spans="1:47" ht="17.25" customHeight="1" x14ac:dyDescent="0.25">
      <c r="A9" s="7"/>
      <c r="B9" s="80" t="s">
        <v>20</v>
      </c>
      <c r="C9" s="80" t="s">
        <v>21</v>
      </c>
      <c r="D9" s="80" t="s">
        <v>22</v>
      </c>
      <c r="E9" s="80" t="s">
        <v>23</v>
      </c>
      <c r="F9" s="80" t="s">
        <v>24</v>
      </c>
      <c r="G9" s="80" t="s">
        <v>25</v>
      </c>
      <c r="H9" s="80" t="s">
        <v>26</v>
      </c>
      <c r="I9" s="80" t="s">
        <v>27</v>
      </c>
      <c r="J9" s="62" t="s">
        <v>28</v>
      </c>
      <c r="K9" s="62" t="s">
        <v>29</v>
      </c>
      <c r="L9" s="62" t="s">
        <v>30</v>
      </c>
      <c r="M9" s="60" t="s">
        <v>31</v>
      </c>
      <c r="N9" s="62" t="s">
        <v>28</v>
      </c>
      <c r="O9" s="62" t="s">
        <v>29</v>
      </c>
      <c r="P9" s="62" t="s">
        <v>30</v>
      </c>
      <c r="Q9" s="60" t="s">
        <v>32</v>
      </c>
      <c r="R9" s="60" t="s">
        <v>33</v>
      </c>
      <c r="S9" s="62" t="s">
        <v>34</v>
      </c>
      <c r="T9" s="62" t="s">
        <v>35</v>
      </c>
      <c r="U9" s="60" t="s">
        <v>36</v>
      </c>
      <c r="V9" s="60" t="s">
        <v>37</v>
      </c>
      <c r="W9" s="60" t="s">
        <v>36</v>
      </c>
      <c r="X9" s="60" t="s">
        <v>38</v>
      </c>
      <c r="Y9" s="60" t="s">
        <v>39</v>
      </c>
      <c r="Z9" s="93" t="s">
        <v>40</v>
      </c>
      <c r="AA9" s="95" t="s">
        <v>41</v>
      </c>
      <c r="AB9" s="95" t="s">
        <v>42</v>
      </c>
      <c r="AC9" s="93" t="s">
        <v>43</v>
      </c>
      <c r="AD9" s="94" t="s">
        <v>38</v>
      </c>
      <c r="AE9" s="93" t="s">
        <v>44</v>
      </c>
      <c r="AF9" s="74"/>
      <c r="AG9" s="75"/>
      <c r="AH9" s="76"/>
      <c r="AI9" s="99" t="s">
        <v>45</v>
      </c>
      <c r="AJ9" s="98" t="s">
        <v>46</v>
      </c>
      <c r="AK9" s="100" t="s">
        <v>47</v>
      </c>
      <c r="AL9" s="100" t="s">
        <v>48</v>
      </c>
      <c r="AM9" s="98" t="s">
        <v>49</v>
      </c>
      <c r="AN9" s="98" t="s">
        <v>50</v>
      </c>
      <c r="AO9" s="98" t="s">
        <v>51</v>
      </c>
      <c r="AP9" s="98" t="s">
        <v>52</v>
      </c>
      <c r="AQ9" s="100" t="s">
        <v>53</v>
      </c>
      <c r="AR9" s="100" t="s">
        <v>54</v>
      </c>
      <c r="AS9" s="100" t="s">
        <v>55</v>
      </c>
      <c r="AT9" s="112" t="s">
        <v>56</v>
      </c>
      <c r="AU9" s="5"/>
    </row>
    <row r="10" spans="1:47" ht="17.25" customHeight="1" x14ac:dyDescent="0.25">
      <c r="A10" s="7"/>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8" t="s">
        <v>57</v>
      </c>
      <c r="AG10" s="8" t="s">
        <v>58</v>
      </c>
      <c r="AH10" s="9" t="s">
        <v>56</v>
      </c>
      <c r="AI10" s="61"/>
      <c r="AJ10" s="61"/>
      <c r="AK10" s="61"/>
      <c r="AL10" s="61"/>
      <c r="AM10" s="61"/>
      <c r="AN10" s="61"/>
      <c r="AO10" s="61"/>
      <c r="AP10" s="61"/>
      <c r="AQ10" s="61"/>
      <c r="AR10" s="61"/>
      <c r="AS10" s="61"/>
      <c r="AT10" s="87"/>
      <c r="AU10" s="5"/>
    </row>
    <row r="11" spans="1:47" ht="168" x14ac:dyDescent="0.25">
      <c r="A11" s="10"/>
      <c r="B11" s="90" t="s">
        <v>59</v>
      </c>
      <c r="C11" s="85" t="str">
        <f ca="1">IFERROR(__xludf.DUMMYFUNCTION("IMPORTRANGE(""https://docs.google.com/spreadsheets/d/1noduSksyBuDks3nGzCmzG6niYVCU58X_X0bJHZP9Fh4/edit?gid=2098233099#gid=2098233099"",""Matriz_riesgos!C11:AT25"")"),"Orientar la gestión institucional desde un enfoque coherente y prospectivo, que permita identificar, formular y evaluar los elementos de direccionamiento estratégico requeridos para el cumplimiento de la misión y la satisfacción de las necesidades de los "&amp;"usuarios internos y externos. ")</f>
        <v xml:space="preserve">Orientar la gestión institucional desde un enfoque coherente y prospectivo, que permita identificar, formular y evaluar los elementos de direccionamiento estratégico requeridos para el cumplimiento de la misión y la satisfacción de las necesidades de los usuarios internos y externos. </v>
      </c>
      <c r="D11" s="85" t="str">
        <f ca="1">IFERROR(__xludf.DUMMYFUNCTION("""COMPUTED_VALUE"""),"Probabilidad de afectación económica y reputacional  por  el incumplimiento de los objetivos o productos de los proyectos de inversión")</f>
        <v>Probabilidad de afectación económica y reputacional  por  el incumplimiento de los objetivos o productos de los proyectos de inversión</v>
      </c>
      <c r="E11" s="88" t="str">
        <f ca="1">IFERROR(__xludf.DUMMYFUNCTION("""COMPUTED_VALUE"""),"Oficina de Planeación")</f>
        <v>Oficina de Planeación</v>
      </c>
      <c r="F11" s="63" t="str">
        <f ca="1">IFERROR(__xludf.DUMMYFUNCTION("""COMPUTED_VALUE"""),"Gestión")</f>
        <v>Gestión</v>
      </c>
      <c r="G11" s="81" t="str">
        <f ca="1">IFERROR(__xludf.DUMMYFUNCTION("""COMPUTED_VALUE"""),"- Estudios de precios del mercado que no se ajustan a la realidad")</f>
        <v>- Estudios de precios del mercado que no se ajustan a la realidad</v>
      </c>
      <c r="H11" s="63" t="str">
        <f ca="1">IFERROR(__xludf.DUMMYFUNCTION("""COMPUTED_VALUE"""),"1. Sanciones fiscales por parte de los entes de control
2. Sanciones disciplinarias por parte de los entes de control")</f>
        <v>1. Sanciones fiscales por parte de los entes de control
2. Sanciones disciplinarias por parte de los entes de control</v>
      </c>
      <c r="I11" s="65" t="str">
        <f ca="1">IFERROR(__xludf.DUMMYFUNCTION("""COMPUTED_VALUE"""),"DIE_01")</f>
        <v>DIE_01</v>
      </c>
      <c r="J11" s="65" t="str">
        <f ca="1">IFERROR(__xludf.DUMMYFUNCTION("""COMPUTED_VALUE"""),"Media")</f>
        <v>Media</v>
      </c>
      <c r="K11" s="65" t="str">
        <f ca="1">IFERROR(__xludf.DUMMYFUNCTION("""COMPUTED_VALUE"""),"Mayor")</f>
        <v>Mayor</v>
      </c>
      <c r="L11" s="65" t="str">
        <f ca="1">IFERROR(__xludf.DUMMYFUNCTION("""COMPUTED_VALUE"""),"Extrema")</f>
        <v>Extrema</v>
      </c>
      <c r="M11" s="63" t="str">
        <f ca="1">IFERROR(__xludf.DUMMYFUNCTION("""COMPUTED_VALUE"""),"- El supervisor del proyecto avala la redistribución en los costos de actividades sin afectar el alcance, productos y beneficiarios del proyecto
- El asesor de Planeación, contrasta el contenido de los informes de supervisión mensuales, con respecto a lo "&amp;"reportado en Gesproy 
- El supervisor del proyecto avala la ampliación del horizonte del proyecto  ")</f>
        <v xml:space="preserve">- El supervisor del proyecto avala la redistribución en los costos de actividades sin afectar el alcance, productos y beneficiarios del proyecto
- El asesor de Planeación, contrasta el contenido de los informes de supervisión mensuales, con respecto a lo reportado en Gesproy 
- El supervisor del proyecto avala la ampliación del horizonte del proyecto  </v>
      </c>
      <c r="N11" s="65" t="str">
        <f ca="1">IFERROR(__xludf.DUMMYFUNCTION("""COMPUTED_VALUE"""),"Media")</f>
        <v>Media</v>
      </c>
      <c r="O11" s="65" t="str">
        <f ca="1">IFERROR(__xludf.DUMMYFUNCTION("""COMPUTED_VALUE"""),"Moderado")</f>
        <v>Moderado</v>
      </c>
      <c r="P11" s="65" t="str">
        <f ca="1">IFERROR(__xludf.DUMMYFUNCTION("""COMPUTED_VALUE"""),"Alta")</f>
        <v>Alta</v>
      </c>
      <c r="Q11" s="82" t="str">
        <f ca="1">IFERROR(__xludf.DUMMYFUNCTION("""COMPUTED_VALUE"""),"Reducir")</f>
        <v>Reducir</v>
      </c>
      <c r="R11" s="11" t="str">
        <f ca="1">IFERROR(__xludf.DUMMYFUNCTION("""COMPUTED_VALUE"""),"")</f>
        <v/>
      </c>
      <c r="S11" s="12" t="str">
        <f ca="1">IFERROR(__xludf.DUMMYFUNCTION("""COMPUTED_VALUE"""),"")</f>
        <v/>
      </c>
      <c r="T11" s="13"/>
      <c r="U11" s="14"/>
      <c r="V11" s="88" t="str">
        <f ca="1">IFERROR(__xludf.DUMMYFUNCTION("""COMPUTED_VALUE"""),"Solicitar más recursos al SGR  o a la Institución ")</f>
        <v xml:space="preserve">Solicitar más recursos al SGR  o a la Institución </v>
      </c>
      <c r="W11" s="96" t="str">
        <f ca="1">IFERROR(__xludf.DUMMYFUNCTION("""COMPUTED_VALUE"""),"Formatos establecidos para la solicitud")</f>
        <v>Formatos establecidos para la solicitud</v>
      </c>
      <c r="X11" s="96" t="str">
        <f ca="1">IFERROR(__xludf.DUMMYFUNCTION("""COMPUTED_VALUE"""),"Supervisor del proyecto")</f>
        <v>Supervisor del proyecto</v>
      </c>
      <c r="Y11" s="96" t="str">
        <f ca="1">IFERROR(__xludf.DUMMYFUNCTION("""COMPUTED_VALUE"""),"60 días")</f>
        <v>60 días</v>
      </c>
      <c r="Z11" s="15" t="str">
        <f ca="1">IFERROR(__xludf.DUMMYFUNCTION("""COMPUTED_VALUE"""),"30 de abril")</f>
        <v>30 de abril</v>
      </c>
      <c r="AA11" s="16">
        <f ca="1">IFERROR(__xludf.DUMMYFUNCTION("""COMPUTED_VALUE"""),46056)</f>
        <v>46056</v>
      </c>
      <c r="AB11" s="17" t="str">
        <f ca="1">IFERROR(__xludf.DUMMYFUNCTION("""COMPUTED_VALUE"""),"Si")</f>
        <v>Si</v>
      </c>
      <c r="AC11" s="15" t="str">
        <f ca="1">IFERROR(__xludf.DUMMYFUNCTION("""COMPUTED_VALUE"""),"Acciones de control
-C1:Durante el periodo a reportar, se presentó una redistribución de costos de actividades asociada al proyecto 2019000100057.
-C2: Durante el periodo a reportar, se realizó ala solicitud de los informes GESPROY a los supervisores de "&amp;"proyectos, con el propósoto de contsratar dicha información con lo reportado en el aplicativo GESPROY, y sobre los cuales se realizaron algunas observaciones y ajustes. 
-C3:Durante el periodo a reportar, se presentó una ampliación del horizonte del proye"&amp;"cto 2019000100057.
-Acción de contingencia 1: 
Con ocasión de la ejecución dle proyecto 2020000100115, se realizó solictud de ajuste al valor total del mismo, con el propósito de alcanzar los objetivos propuestos, y teniendo como fuente de financiamiento"&amp;" los recursos de la Institución para cubrir dicha adición. 
")</f>
        <v xml:space="preserve">Acciones de control
-C1:Durante el periodo a reportar, se presentó una redistribución de costos de actividades asociada al proyecto 2019000100057.
-C2: Durante el periodo a reportar, se realizó ala solicitud de los informes GESPROY a los supervisores de proyectos, con el propósoto de contsratar dicha información con lo reportado en el aplicativo GESPROY, y sobre los cuales se realizaron algunas observaciones y ajustes. 
-C3:Durante el periodo a reportar, se presentó una ampliación del horizonte del proyecto 2019000100057.
-Acción de contingencia 1: 
Con ocasión de la ejecución dle proyecto 2020000100115, se realizó solictud de ajuste al valor total del mismo, con el propósito de alcanzar los objetivos propuestos, y teniendo como fuente de financiamiento los recursos de la Institución para cubrir dicha adición. 
</v>
      </c>
      <c r="AD11" s="17" t="str">
        <f ca="1">IFERROR(__xludf.DUMMYFUNCTION("""COMPUTED_VALUE"""),"Oficina de Planeación
Supervisores de Proyectos ")</f>
        <v xml:space="preserve">Oficina de Planeación
Supervisores de Proyectos </v>
      </c>
      <c r="AE11" s="18" t="str">
        <f ca="1">IFERROR(__xludf.DUMMYFUNCTION("""COMPUTED_VALUE"""),"Evidencia")</f>
        <v>Evidencia</v>
      </c>
      <c r="AF11" s="15" t="str">
        <f ca="1">IFERROR(__xludf.DUMMYFUNCTION("""COMPUTED_VALUE"""),"Si")</f>
        <v>Si</v>
      </c>
      <c r="AG11" s="15" t="str">
        <f ca="1">IFERROR(__xludf.DUMMYFUNCTION("""COMPUTED_VALUE"""),"Ejecutada")</f>
        <v>Ejecutada</v>
      </c>
      <c r="AH11" s="15" t="str">
        <f ca="1">IFERROR(__xludf.DUMMYFUNCTION("""COMPUTED_VALUE"""),"C1: Durante el periodo evaluado, se evidenció la redistribución de costos del proyecto 2019000100057, la cual fue avalada por la supervisión, conforme al control establecido. Se cuenta con soporte documental, evidenciando su correcta aplicación.
C2: Se r"&amp;"ealizó la solicitud y verificación de los informes en GESPROY, efectuando el contraste de la información reportada y generando observaciones y ajustes. Se evidencian soportes que dan cuenta del cumplimiento del control.
C3: Se presentó la ampliación del "&amp;"horizonte del proyecto 2019000100057, debidamente soportada y aprobada, en coherencia con el control definido.
Materialización del riesgo: El riesgo se materializó; sin embargo, fue gestionado oportunamente mediante acciones de contingencia, como la soli"&amp;"citud de ajuste presupuestal con recursos institucionales, evitando consecuencias mayores.
Conclusión: Los controles se ejecutaron adecuadamente, cuentan con evidencia suficiente y resultan eficaces en la mitigación del riesgo, el cual se mantiene bajo c"&amp;"ontrol.")</f>
        <v>C1: Durante el periodo evaluado, se evidenció la redistribución de costos del proyecto 2019000100057, la cual fue avalada por la supervisión, conforme al control establecido. Se cuenta con soporte documental, evidenciando su correcta aplicación.
C2: Se realizó la solicitud y verificación de los informes en GESPROY, efectuando el contraste de la información reportada y generando observaciones y ajustes. Se evidencian soportes que dan cuenta del cumplimiento del control.
C3: Se presentó la ampliación del horizonte del proyecto 2019000100057, debidamente soportada y aprobada, en coherencia con el control definido.
Materialización del riesgo: El riesgo se materializó; sin embargo, fue gestionado oportunamente mediante acciones de contingencia, como la solicitud de ajuste presupuestal con recursos institucionales, evitando consecuencias mayores.
Conclusión: Los controles se ejecutaron adecuadamente, cuentan con evidencia suficiente y resultan eficaces en la mitigación del riesgo, el cual se mantiene bajo control.</v>
      </c>
      <c r="AI11" s="15" t="str">
        <f ca="1">IFERROR(__xludf.DUMMYFUNCTION("""COMPUTED_VALUE"""),"30 de abril")</f>
        <v>30 de abril</v>
      </c>
      <c r="AJ11" s="17" t="str">
        <f ca="1">IFERROR(__xludf.DUMMYFUNCTION("""COMPUTED_VALUE"""),"Si")</f>
        <v>Si</v>
      </c>
      <c r="AK11" s="17" t="str">
        <f ca="1">IFERROR(__xludf.DUMMYFUNCTION("""COMPUTED_VALUE"""),"Si")</f>
        <v>Si</v>
      </c>
      <c r="AL11" s="17" t="str">
        <f ca="1">IFERROR(__xludf.DUMMYFUNCTION("""COMPUTED_VALUE"""),"Si")</f>
        <v>Si</v>
      </c>
      <c r="AM11" s="17" t="str">
        <f ca="1">IFERROR(__xludf.DUMMYFUNCTION("""COMPUTED_VALUE"""),"Si")</f>
        <v>Si</v>
      </c>
      <c r="AN11" s="17" t="str">
        <f ca="1">IFERROR(__xludf.DUMMYFUNCTION("""COMPUTED_VALUE"""),"Si")</f>
        <v>Si</v>
      </c>
      <c r="AO11" s="17" t="str">
        <f ca="1">IFERROR(__xludf.DUMMYFUNCTION("""COMPUTED_VALUE"""),"No")</f>
        <v>No</v>
      </c>
      <c r="AP11" s="17" t="str">
        <f ca="1">IFERROR(__xludf.DUMMYFUNCTION("""COMPUTED_VALUE"""),"No")</f>
        <v>No</v>
      </c>
      <c r="AQ11" s="17" t="str">
        <f ca="1">IFERROR(__xludf.DUMMYFUNCTION("""COMPUTED_VALUE"""),"No")</f>
        <v>No</v>
      </c>
      <c r="AR11" s="17" t="str">
        <f ca="1">IFERROR(__xludf.DUMMYFUNCTION("""COMPUTED_VALUE"""),"No")</f>
        <v>No</v>
      </c>
      <c r="AS11" s="15" t="str">
        <f ca="1">IFERROR(__xludf.DUMMYFUNCTION("""COMPUTED_VALUE"""),"No aplica")</f>
        <v>No aplica</v>
      </c>
      <c r="AT11" s="19" t="str">
        <f ca="1">IFERROR(__xludf.DUMMYFUNCTION("""COMPUTED_VALUE"""),"Recomendaciones: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dise"&amp;"ño del control: Responsable+Acción+Complemento.
3. Establecer acciones asociadas al tratamiento, orientadas a fortalecer la efectividad de los controles, considerando que la acción de manejo seleccionada fue ""Reducir"".
4. Frente a la materialización del"&amp;" riesgo:
4.1. Evaluar por qué fallaron los controles existentes, con el fin de actualizar la valoración del riesgo y sus factores asociados.
4.2. Revaluar los controles para prevenir una nueva materialización. Esto puede incluir el diseño de nuevos contro"&amp;"les o la mejora de los actuales, considerando los indicadores clave de riesgos según lo propuesto en la Guía para la Administración del Riesgo y el diseño de controles en entidades públicas Versión 7.")</f>
        <v>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Establecer acciones asociadas al tratamiento, orientadas a fortalecer la efectividad de los controles, considerando que la acción de manejo seleccionada fue "Reducir".
4. Frente a la materialización del riesgo:
4.1. Evaluar por qué fallaron los controles existentes, con el fin de actualizar la valoración del riesgo y sus factores asociados.
4.2. Revaluar los controles para prevenir una nueva materialización. Esto puede incluir el diseño de nuevos controles o la mejora de los actuales, considerando los indicadores clave de riesgos según lo propuesto en la Guía para la Administración del Riesgo y el diseño de controles en entidades públicas Versión 7.</v>
      </c>
      <c r="AU11" s="10"/>
    </row>
    <row r="12" spans="1:47" x14ac:dyDescent="0.25">
      <c r="A12" s="10"/>
      <c r="B12" s="86"/>
      <c r="C12" s="86"/>
      <c r="D12" s="86"/>
      <c r="E12" s="89"/>
      <c r="F12" s="64"/>
      <c r="G12" s="64"/>
      <c r="H12" s="64"/>
      <c r="I12" s="64"/>
      <c r="J12" s="64"/>
      <c r="K12" s="64"/>
      <c r="L12" s="64"/>
      <c r="M12" s="64"/>
      <c r="N12" s="64"/>
      <c r="O12" s="64"/>
      <c r="P12" s="64"/>
      <c r="Q12" s="83"/>
      <c r="R12" s="20" t="str">
        <f ca="1">IFERROR(__xludf.DUMMYFUNCTION("""COMPUTED_VALUE"""),"")</f>
        <v/>
      </c>
      <c r="S12" s="21" t="str">
        <f ca="1">IFERROR(__xludf.DUMMYFUNCTION("""COMPUTED_VALUE"""),"")</f>
        <v/>
      </c>
      <c r="T12" s="22"/>
      <c r="U12" s="23"/>
      <c r="V12" s="89"/>
      <c r="W12" s="89"/>
      <c r="X12" s="89"/>
      <c r="Y12" s="89"/>
      <c r="Z12" s="15" t="str">
        <f ca="1">IFERROR(__xludf.DUMMYFUNCTION("""COMPUTED_VALUE"""),"30 de agosto")</f>
        <v>30 de agosto</v>
      </c>
      <c r="AA12" s="17"/>
      <c r="AB12" s="17"/>
      <c r="AC12" s="15"/>
      <c r="AD12" s="17"/>
      <c r="AE12" s="18" t="str">
        <f ca="1">IFERROR(__xludf.DUMMYFUNCTION("""COMPUTED_VALUE"""),"Evidencia")</f>
        <v>Evidencia</v>
      </c>
      <c r="AF12" s="15"/>
      <c r="AG12" s="15"/>
      <c r="AH12" s="15"/>
      <c r="AI12" s="24" t="str">
        <f ca="1">IFERROR(__xludf.DUMMYFUNCTION("""COMPUTED_VALUE"""),"31 de agosto")</f>
        <v>31 de agosto</v>
      </c>
      <c r="AJ12" s="17"/>
      <c r="AK12" s="17"/>
      <c r="AL12" s="17"/>
      <c r="AM12" s="17"/>
      <c r="AN12" s="17"/>
      <c r="AO12" s="17"/>
      <c r="AP12" s="17"/>
      <c r="AQ12" s="17"/>
      <c r="AR12" s="17"/>
      <c r="AS12" s="15"/>
      <c r="AT12" s="15"/>
      <c r="AU12" s="10"/>
    </row>
    <row r="13" spans="1:47" x14ac:dyDescent="0.25">
      <c r="A13" s="25"/>
      <c r="B13" s="86"/>
      <c r="C13" s="86"/>
      <c r="D13" s="87"/>
      <c r="E13" s="76"/>
      <c r="F13" s="61"/>
      <c r="G13" s="61"/>
      <c r="H13" s="61"/>
      <c r="I13" s="61"/>
      <c r="J13" s="61"/>
      <c r="K13" s="61"/>
      <c r="L13" s="61"/>
      <c r="M13" s="61"/>
      <c r="N13" s="61"/>
      <c r="O13" s="61"/>
      <c r="P13" s="61"/>
      <c r="Q13" s="84"/>
      <c r="R13" s="26" t="str">
        <f ca="1">IFERROR(__xludf.DUMMYFUNCTION("""COMPUTED_VALUE"""),"")</f>
        <v/>
      </c>
      <c r="S13" s="27" t="str">
        <f ca="1">IFERROR(__xludf.DUMMYFUNCTION("""COMPUTED_VALUE"""),"")</f>
        <v/>
      </c>
      <c r="T13" s="28"/>
      <c r="U13" s="29"/>
      <c r="V13" s="76"/>
      <c r="W13" s="76"/>
      <c r="X13" s="76"/>
      <c r="Y13" s="76"/>
      <c r="Z13" s="15" t="str">
        <f ca="1">IFERROR(__xludf.DUMMYFUNCTION("""COMPUTED_VALUE"""),"30 de diciembre")</f>
        <v>30 de diciembre</v>
      </c>
      <c r="AA13" s="17"/>
      <c r="AB13" s="17"/>
      <c r="AC13" s="15"/>
      <c r="AD13" s="17"/>
      <c r="AE13" s="18" t="str">
        <f ca="1">IFERROR(__xludf.DUMMYFUNCTION("""COMPUTED_VALUE"""),"Evidencia")</f>
        <v>Evidencia</v>
      </c>
      <c r="AF13" s="15"/>
      <c r="AG13" s="15"/>
      <c r="AH13" s="15"/>
      <c r="AI13" s="24" t="str">
        <f ca="1">IFERROR(__xludf.DUMMYFUNCTION("""COMPUTED_VALUE"""),"31 de diciembre")</f>
        <v>31 de diciembre</v>
      </c>
      <c r="AJ13" s="17"/>
      <c r="AK13" s="17"/>
      <c r="AL13" s="17"/>
      <c r="AM13" s="17"/>
      <c r="AN13" s="17"/>
      <c r="AO13" s="17"/>
      <c r="AP13" s="17"/>
      <c r="AQ13" s="17"/>
      <c r="AR13" s="17"/>
      <c r="AS13" s="15"/>
      <c r="AT13" s="15"/>
      <c r="AU13" s="10"/>
    </row>
    <row r="14" spans="1:47" ht="180" x14ac:dyDescent="0.25">
      <c r="A14" s="25"/>
      <c r="B14" s="86"/>
      <c r="C14" s="86"/>
      <c r="D14" s="85" t="str">
        <f ca="1">IFERROR(__xludf.DUMMYFUNCTION("""COMPUTED_VALUE"""),"Probabilidad de afectación reputacional y económica por incumplimiento de las metas del Plan de Desarrollo Institucional, debido a debilidades en la aplicación de controles")</f>
        <v>Probabilidad de afectación reputacional y económica por incumplimiento de las metas del Plan de Desarrollo Institucional, debido a debilidades en la aplicación de controles</v>
      </c>
      <c r="E14" s="88" t="str">
        <f ca="1">IFERROR(__xludf.DUMMYFUNCTION("""COMPUTED_VALUE"""),"Oficina de Planeación")</f>
        <v>Oficina de Planeación</v>
      </c>
      <c r="F14" s="63" t="str">
        <f ca="1">IFERROR(__xludf.DUMMYFUNCTION("""COMPUTED_VALUE"""),"Gestión")</f>
        <v>Gestión</v>
      </c>
      <c r="G14" s="63" t="str">
        <f ca="1">IFERROR(__xludf.DUMMYFUNCTION("""COMPUTED_VALUE"""),"- Falta de articulación entre los planes de acción y el plan de desarrollo
- Omisión al seguimiento al PDI
- Inadecuada gestión de la alta dirección")</f>
        <v>- Falta de articulación entre los planes de acción y el plan de desarrollo
- Omisión al seguimiento al PDI
- Inadecuada gestión de la alta dirección</v>
      </c>
      <c r="H14" s="63" t="str">
        <f ca="1">IFERROR(__xludf.DUMMYFUNCTION("""COMPUTED_VALUE"""),"1. Sanciones de tipo disciplinario 
2. Sanciones de tipo fiscal 
3. Afectación de la imagen institucional
4. Impacto en la asignación de recursos financieros")</f>
        <v>1. Sanciones de tipo disciplinario 
2. Sanciones de tipo fiscal 
3. Afectación de la imagen institucional
4. Impacto en la asignación de recursos financieros</v>
      </c>
      <c r="I14" s="65" t="str">
        <f ca="1">IFERROR(__xludf.DUMMYFUNCTION("""COMPUTED_VALUE"""),"DIE_02")</f>
        <v>DIE_02</v>
      </c>
      <c r="J14" s="65" t="str">
        <f ca="1">IFERROR(__xludf.DUMMYFUNCTION("""COMPUTED_VALUE"""),"Media")</f>
        <v>Media</v>
      </c>
      <c r="K14" s="65" t="str">
        <f ca="1">IFERROR(__xludf.DUMMYFUNCTION("""COMPUTED_VALUE"""),"Menor")</f>
        <v>Menor</v>
      </c>
      <c r="L14" s="65" t="str">
        <f ca="1">IFERROR(__xludf.DUMMYFUNCTION("""COMPUTED_VALUE"""),"Media")</f>
        <v>Media</v>
      </c>
      <c r="M14" s="63" t="str">
        <f ca="1">IFERROR(__xludf.DUMMYFUNCTION("""COMPUTED_VALUE"""),"- La oficina de Planeación y el Consejo Superior, estructuran los PAI en articulación con las metas del PDI
- La oficina de planeación aplica una herramienta diseñada para realizar monitoreo al PAI y al PDI 
- Cuando se detecten cambios en el contexto int"&amp;"erno o externo de la Institución que afecten el cumplimiento de las metas establecidas en el PDI, la oficina de Planeación presenta un informe de la situación al rector para su sustentación ante el Consejo Superior. 
- El Consejo Superior hace seguimiento"&amp;" y evalúa el avance del PDI, y toma decisiones de acuerdo al resultado  ")</f>
        <v xml:space="preserve">- La oficina de Planeación y el Consejo Superior, estructuran los PAI en articulación con las metas del PDI
- La oficina de planeación aplica una herramienta diseñada para realizar monitoreo al PAI y al PDI 
- Cuando se detecten cambios en el contexto interno o externo de la Institución que afecten el cumplimiento de las metas establecidas en el PDI, la oficina de Planeación presenta un informe de la situación al rector para su sustentación ante el Consejo Superior. 
- El Consejo Superior hace seguimiento y evalúa el avance del PDI, y toma decisiones de acuerdo al resultado  </v>
      </c>
      <c r="N14" s="65" t="str">
        <f ca="1">IFERROR(__xludf.DUMMYFUNCTION("""COMPUTED_VALUE"""),"Muy baja")</f>
        <v>Muy baja</v>
      </c>
      <c r="O14" s="65" t="str">
        <f ca="1">IFERROR(__xludf.DUMMYFUNCTION("""COMPUTED_VALUE"""),"Menor")</f>
        <v>Menor</v>
      </c>
      <c r="P14" s="65" t="str">
        <f ca="1">IFERROR(__xludf.DUMMYFUNCTION("""COMPUTED_VALUE"""),"Baja")</f>
        <v>Baja</v>
      </c>
      <c r="Q14" s="66" t="str">
        <f ca="1">IFERROR(__xludf.DUMMYFUNCTION("""COMPUTED_VALUE"""),"Aceptar")</f>
        <v>Aceptar</v>
      </c>
      <c r="R14" s="30" t="str">
        <f ca="1">IFERROR(__xludf.DUMMYFUNCTION("""COMPUTED_VALUE"""),"")</f>
        <v/>
      </c>
      <c r="S14" s="31" t="str">
        <f ca="1">IFERROR(__xludf.DUMMYFUNCTION("""COMPUTED_VALUE"""),"")</f>
        <v/>
      </c>
      <c r="T14" s="32"/>
      <c r="U14" s="33"/>
      <c r="V14" s="92" t="str">
        <f ca="1">IFERROR(__xludf.DUMMYFUNCTION("""COMPUTED_VALUE"""),"Enviar informe a la alta dirección con la descripción de por qué se materializó el riesgo ")</f>
        <v xml:space="preserve">Enviar informe a la alta dirección con la descripción de por qué se materializó el riesgo </v>
      </c>
      <c r="W14" s="97" t="str">
        <f ca="1">IFERROR(__xludf.DUMMYFUNCTION("""COMPUTED_VALUE"""),"Informe, correo, actas de reuniones")</f>
        <v>Informe, correo, actas de reuniones</v>
      </c>
      <c r="X14" s="97" t="str">
        <f ca="1">IFERROR(__xludf.DUMMYFUNCTION("""COMPUTED_VALUE"""),"Oficina de Planeación")</f>
        <v>Oficina de Planeación</v>
      </c>
      <c r="Y14" s="97" t="str">
        <f ca="1">IFERROR(__xludf.DUMMYFUNCTION("""COMPUTED_VALUE"""),"Inmediato")</f>
        <v>Inmediato</v>
      </c>
      <c r="Z14" s="15" t="str">
        <f ca="1">IFERROR(__xludf.DUMMYFUNCTION("""COMPUTED_VALUE"""),"30 de abril")</f>
        <v>30 de abril</v>
      </c>
      <c r="AA14" s="17"/>
      <c r="AB14" s="17" t="str">
        <f ca="1">IFERROR(__xludf.DUMMYFUNCTION("""COMPUTED_VALUE"""),"No")</f>
        <v>No</v>
      </c>
      <c r="AC14" s="15" t="str">
        <f ca="1">IFERROR(__xludf.DUMMYFUNCTION("""COMPUTED_VALUE"""),"En el primer monitoreo no se materializó el riesgo: 
Acciones de control: 
C1. En año pasado en cumplimiento con el Estatuto General en su art. 25 numeral 5, se presentó el Plan de Acción Institucional 2026 el cual fue avalado por el Consejo Superior N° 0"&amp;"40 DE 2025.
C2. Desde el mes de febrero se inició el monitoreo del PAI 2026, desde la oficina de Planeación cada fin de mes comparte la matriz de monitoreo para que las dependencias responsables realicen el diligenciamiento de los avances de las metas que"&amp;" tienen bajo su responsabilidad 
C3-C4.Desde el año anterior, la Oficina de Planeación presentó ante el Consejo Superior la propuesta de ajuste al Plan de Desarrollo Institucional (PDI), sustentada en los resultados de la evaluación y el análisis efectuad"&amp;"o al primer trienio de ejecución, así como en la identificación de cambios en el contexto interno y externo que inciden en el cumplimiento de las metas establecidas. Actualmente, se está a la espera de que el Consejo Superior aborde y analice esta propues"&amp;"ta en próximas sesiones.")</f>
        <v>En el primer monitoreo no se materializó el riesgo: 
Acciones de control: 
C1. En año pasado en cumplimiento con el Estatuto General en su art. 25 numeral 5, se presentó el Plan de Acción Institucional 2026 el cual fue avalado por el Consejo Superior N° 040 DE 2025.
C2. Desde el mes de febrero se inició el monitoreo del PAI 2026, desde la oficina de Planeación cada fin de mes comparte la matriz de monitoreo para que las dependencias responsables realicen el diligenciamiento de los avances de las metas que tienen bajo su responsabilidad 
C3-C4.Desde el año anterior, la Oficina de Planeación presentó ante el Consejo Superior la propuesta de ajuste al Plan de Desarrollo Institucional (PDI), sustentada en los resultados de la evaluación y el análisis efectuado al primer trienio de ejecución, así como en la identificación de cambios en el contexto interno y externo que inciden en el cumplimiento de las metas establecidas. Actualmente, se está a la espera de que el Consejo Superior aborde y analice esta propuesta en próximas sesiones.</v>
      </c>
      <c r="AD14" s="17" t="str">
        <f ca="1">IFERROR(__xludf.DUMMYFUNCTION("""COMPUTED_VALUE"""),"Oficina de Planeación")</f>
        <v>Oficina de Planeación</v>
      </c>
      <c r="AE14" s="18" t="str">
        <f ca="1">IFERROR(__xludf.DUMMYFUNCTION("""COMPUTED_VALUE"""),"Evidencia")</f>
        <v>Evidencia</v>
      </c>
      <c r="AF14" s="15" t="str">
        <f ca="1">IFERROR(__xludf.DUMMYFUNCTION("""COMPUTED_VALUE"""),"Si")</f>
        <v>Si</v>
      </c>
      <c r="AG14" s="15" t="str">
        <f ca="1">IFERROR(__xludf.DUMMYFUNCTION("""COMPUTED_VALUE"""),"Ejecutada")</f>
        <v>Ejecutada</v>
      </c>
      <c r="AH14" s="15" t="str">
        <f ca="1">IFERROR(__xludf.DUMMYFUNCTION("""COMPUTED_VALUE"""),"C1: Durante el periodo evaluado, se evidenció la formulación del Plan de Acción Institucional 2026, el cual fue avalado por el Consejo Superior mediante Acuerdo N° 040 de 2025, en cumplimiento del Estatuto General, garantizando la articulación con el PDI."&amp;"
C2: Se inició el monitoreo del PAI 2026 desde el mes de febrero, mediante la socialización mensual de la matriz de seguimiento por parte de la Oficina de Planeación, para el reporte de avances de las metas por parte de las dependencias responsables. Se "&amp;"cuenta con evidencias de su aplicación.
C3–C4: La Oficina de Planeación presentó ante el Consejo Superior la propuesta de ajuste al PDI, sustentada en la evaluación del primer trienio y en cambios del contexto institucional. Actualmente, se encuentra pen"&amp;"diente de análisis por parte del Consejo Superior.
Materialización del riesgo: El riesgo no se materializó durante el periodo evaluado.
Conclusión: Los controles se ejecutan conforme a lo establecido, cuentan con evidencia suficiente y contribuyen a la "&amp;"mitigación del riesgo, el cual se mantiene bajo control.")</f>
        <v>C1: Durante el periodo evaluado, se evidenció la formulación del Plan de Acción Institucional 2026, el cual fue avalado por el Consejo Superior mediante Acuerdo N° 040 de 2025, en cumplimiento del Estatuto General, garantizando la articulación con el PDI.
C2: Se inició el monitoreo del PAI 2026 desde el mes de febrero, mediante la socialización mensual de la matriz de seguimiento por parte de la Oficina de Planeación, para el reporte de avances de las metas por parte de las dependencias responsables. Se cuenta con evidencias de su aplicación.
C3–C4: La Oficina de Planeación presentó ante el Consejo Superior la propuesta de ajuste al PDI, sustentada en la evaluación del primer trienio y en cambios del contexto institucional. Actualmente, se encuentra pendiente de análisis por parte del Consejo Superior.
Materialización del riesgo: El riesgo no se materializó durante el periodo evaluado.
Conclusión: Los controles se ejecutan conforme a lo establecido, cuentan con evidencia suficiente y contribuyen a la mitigación del riesgo, el cual se mantiene bajo control.</v>
      </c>
      <c r="AI14" s="15" t="str">
        <f ca="1">IFERROR(__xludf.DUMMYFUNCTION("""COMPUTED_VALUE"""),"30 de abril")</f>
        <v>30 de abril</v>
      </c>
      <c r="AJ14" s="17" t="str">
        <f ca="1">IFERROR(__xludf.DUMMYFUNCTION("""COMPUTED_VALUE"""),"No")</f>
        <v>No</v>
      </c>
      <c r="AK14" s="17" t="str">
        <f ca="1">IFERROR(__xludf.DUMMYFUNCTION("""COMPUTED_VALUE"""),"Si")</f>
        <v>Si</v>
      </c>
      <c r="AL14" s="17" t="str">
        <f ca="1">IFERROR(__xludf.DUMMYFUNCTION("""COMPUTED_VALUE"""),"Si")</f>
        <v>Si</v>
      </c>
      <c r="AM14" s="17" t="str">
        <f ca="1">IFERROR(__xludf.DUMMYFUNCTION("""COMPUTED_VALUE"""),"Si")</f>
        <v>Si</v>
      </c>
      <c r="AN14" s="17" t="str">
        <f ca="1">IFERROR(__xludf.DUMMYFUNCTION("""COMPUTED_VALUE"""),"Si")</f>
        <v>Si</v>
      </c>
      <c r="AO14" s="17" t="str">
        <f ca="1">IFERROR(__xludf.DUMMYFUNCTION("""COMPUTED_VALUE"""),"No")</f>
        <v>No</v>
      </c>
      <c r="AP14" s="17" t="str">
        <f ca="1">IFERROR(__xludf.DUMMYFUNCTION("""COMPUTED_VALUE"""),"No")</f>
        <v>No</v>
      </c>
      <c r="AQ14" s="17" t="str">
        <f ca="1">IFERROR(__xludf.DUMMYFUNCTION("""COMPUTED_VALUE"""),"No")</f>
        <v>No</v>
      </c>
      <c r="AR14" s="17" t="str">
        <f ca="1">IFERROR(__xludf.DUMMYFUNCTION("""COMPUTED_VALUE"""),"No")</f>
        <v>No</v>
      </c>
      <c r="AS14" s="15" t="str">
        <f ca="1">IFERROR(__xludf.DUMMYFUNCTION("""COMPUTED_VALUE"""),"No plica")</f>
        <v>No plica</v>
      </c>
      <c r="AT14" s="15" t="str">
        <f ca="1">IFERROR(__xludf.DUMMYFUNCTION("""COMPUTED_VALUE"""),"Ninguna")</f>
        <v>Ninguna</v>
      </c>
      <c r="AU14" s="10"/>
    </row>
    <row r="15" spans="1:47" x14ac:dyDescent="0.25">
      <c r="A15" s="25"/>
      <c r="B15" s="86"/>
      <c r="C15" s="86"/>
      <c r="D15" s="86"/>
      <c r="E15" s="89"/>
      <c r="F15" s="64"/>
      <c r="G15" s="64"/>
      <c r="H15" s="64"/>
      <c r="I15" s="64"/>
      <c r="J15" s="64"/>
      <c r="K15" s="64"/>
      <c r="L15" s="64"/>
      <c r="M15" s="64"/>
      <c r="N15" s="64"/>
      <c r="O15" s="64"/>
      <c r="P15" s="64"/>
      <c r="Q15" s="64"/>
      <c r="R15" s="30" t="str">
        <f ca="1">IFERROR(__xludf.DUMMYFUNCTION("""COMPUTED_VALUE"""),"")</f>
        <v/>
      </c>
      <c r="S15" s="31" t="str">
        <f ca="1">IFERROR(__xludf.DUMMYFUNCTION("""COMPUTED_VALUE"""),"")</f>
        <v/>
      </c>
      <c r="T15" s="34"/>
      <c r="U15" s="35"/>
      <c r="V15" s="89"/>
      <c r="W15" s="89"/>
      <c r="X15" s="89"/>
      <c r="Y15" s="89"/>
      <c r="Z15" s="15" t="str">
        <f ca="1">IFERROR(__xludf.DUMMYFUNCTION("""COMPUTED_VALUE"""),"30 de agosto")</f>
        <v>30 de agosto</v>
      </c>
      <c r="AA15" s="17"/>
      <c r="AB15" s="17"/>
      <c r="AC15" s="15"/>
      <c r="AD15" s="17"/>
      <c r="AE15" s="18" t="str">
        <f ca="1">IFERROR(__xludf.DUMMYFUNCTION("""COMPUTED_VALUE"""),"Evidencia")</f>
        <v>Evidencia</v>
      </c>
      <c r="AF15" s="15"/>
      <c r="AG15" s="15"/>
      <c r="AH15" s="15"/>
      <c r="AI15" s="24" t="str">
        <f ca="1">IFERROR(__xludf.DUMMYFUNCTION("""COMPUTED_VALUE"""),"31 de agosto")</f>
        <v>31 de agosto</v>
      </c>
      <c r="AJ15" s="17"/>
      <c r="AK15" s="17"/>
      <c r="AL15" s="17"/>
      <c r="AM15" s="17"/>
      <c r="AN15" s="17"/>
      <c r="AO15" s="17"/>
      <c r="AP15" s="17"/>
      <c r="AQ15" s="17"/>
      <c r="AR15" s="17"/>
      <c r="AS15" s="15"/>
      <c r="AT15" s="15"/>
      <c r="AU15" s="10"/>
    </row>
    <row r="16" spans="1:47" x14ac:dyDescent="0.25">
      <c r="A16" s="25"/>
      <c r="B16" s="86"/>
      <c r="C16" s="86"/>
      <c r="D16" s="87"/>
      <c r="E16" s="76"/>
      <c r="F16" s="61"/>
      <c r="G16" s="61"/>
      <c r="H16" s="61"/>
      <c r="I16" s="61"/>
      <c r="J16" s="61"/>
      <c r="K16" s="61"/>
      <c r="L16" s="61"/>
      <c r="M16" s="61"/>
      <c r="N16" s="61"/>
      <c r="O16" s="61"/>
      <c r="P16" s="61"/>
      <c r="Q16" s="61"/>
      <c r="R16" s="36" t="str">
        <f ca="1">IFERROR(__xludf.DUMMYFUNCTION("""COMPUTED_VALUE"""),"")</f>
        <v/>
      </c>
      <c r="S16" s="37" t="str">
        <f ca="1">IFERROR(__xludf.DUMMYFUNCTION("""COMPUTED_VALUE"""),"")</f>
        <v/>
      </c>
      <c r="T16" s="38"/>
      <c r="U16" s="39"/>
      <c r="V16" s="76"/>
      <c r="W16" s="76"/>
      <c r="X16" s="76"/>
      <c r="Y16" s="76"/>
      <c r="Z16" s="15" t="str">
        <f ca="1">IFERROR(__xludf.DUMMYFUNCTION("""COMPUTED_VALUE"""),"30 de diciembre")</f>
        <v>30 de diciembre</v>
      </c>
      <c r="AA16" s="17"/>
      <c r="AB16" s="17"/>
      <c r="AC16" s="15"/>
      <c r="AD16" s="17"/>
      <c r="AE16" s="18" t="str">
        <f ca="1">IFERROR(__xludf.DUMMYFUNCTION("""COMPUTED_VALUE"""),"Evidencia")</f>
        <v>Evidencia</v>
      </c>
      <c r="AF16" s="15"/>
      <c r="AG16" s="15"/>
      <c r="AH16" s="15"/>
      <c r="AI16" s="24" t="str">
        <f ca="1">IFERROR(__xludf.DUMMYFUNCTION("""COMPUTED_VALUE"""),"31 de diciembre")</f>
        <v>31 de diciembre</v>
      </c>
      <c r="AJ16" s="17"/>
      <c r="AK16" s="17"/>
      <c r="AL16" s="17"/>
      <c r="AM16" s="17"/>
      <c r="AN16" s="17"/>
      <c r="AO16" s="17"/>
      <c r="AP16" s="17"/>
      <c r="AQ16" s="17"/>
      <c r="AR16" s="17"/>
      <c r="AS16" s="15"/>
      <c r="AT16" s="15"/>
      <c r="AU16" s="10"/>
    </row>
    <row r="17" spans="1:47" ht="228" x14ac:dyDescent="0.25">
      <c r="A17" s="25"/>
      <c r="B17" s="86"/>
      <c r="C17" s="86"/>
      <c r="D17" s="85" t="str">
        <f ca="1">IFERROR(__xludf.DUMMYFUNCTION("""COMPUTED_VALUE"""),"Probabilidad de afectación económica y reputacional por inadecuado e inoportuno suministro de información al Ministerio de Educación Nacional (MEN) y organismos de control (SIRECI, SIA CONTRALORIAS)")</f>
        <v>Probabilidad de afectación económica y reputacional por inadecuado e inoportuno suministro de información al Ministerio de Educación Nacional (MEN) y organismos de control (SIRECI, SIA CONTRALORIAS)</v>
      </c>
      <c r="E17" s="88" t="str">
        <f ca="1">IFERROR(__xludf.DUMMYFUNCTION("""COMPUTED_VALUE"""),"Oficina de Planeación")</f>
        <v>Oficina de Planeación</v>
      </c>
      <c r="F17" s="63" t="str">
        <f ca="1">IFERROR(__xludf.DUMMYFUNCTION("""COMPUTED_VALUE"""),"Gestión")</f>
        <v>Gestión</v>
      </c>
      <c r="G17" s="63" t="str">
        <f ca="1">IFERROR(__xludf.DUMMYFUNCTION("""COMPUTED_VALUE"""),"- Inconsistencia de los datos reportados por las diferentes áreas o dependencias
- Cargue de información incorrecta a las plataformas del MEN y otros entes de control (SIRECI, SIA CONTRALORIAS)")</f>
        <v>- Inconsistencia de los datos reportados por las diferentes áreas o dependencias
- Cargue de información incorrecta a las plataformas del MEN y otros entes de control (SIRECI, SIA CONTRALORIAS)</v>
      </c>
      <c r="H17" s="63" t="str">
        <f ca="1">IFERROR(__xludf.DUMMYFUNCTION("""COMPUTED_VALUE"""),"1. Sanciones fiscales
2. Sanciones disciplinarias
3. Afectación  de la imagen Institucional")</f>
        <v>1. Sanciones fiscales
2. Sanciones disciplinarias
3. Afectación  de la imagen Institucional</v>
      </c>
      <c r="I17" s="65" t="str">
        <f ca="1">IFERROR(__xludf.DUMMYFUNCTION("""COMPUTED_VALUE"""),"DIE_03")</f>
        <v>DIE_03</v>
      </c>
      <c r="J17" s="65" t="str">
        <f ca="1">IFERROR(__xludf.DUMMYFUNCTION("""COMPUTED_VALUE"""),"Media")</f>
        <v>Media</v>
      </c>
      <c r="K17" s="65" t="str">
        <f ca="1">IFERROR(__xludf.DUMMYFUNCTION("""COMPUTED_VALUE"""),"Moderado")</f>
        <v>Moderado</v>
      </c>
      <c r="L17" s="65" t="str">
        <f ca="1">IFERROR(__xludf.DUMMYFUNCTION("""COMPUTED_VALUE"""),"Alta")</f>
        <v>Alta</v>
      </c>
      <c r="M17" s="63" t="str">
        <f ca="1">IFERROR(__xludf.DUMMYFUNCTION("""COMPUTED_VALUE"""),"-La profesional de apoyo de la oficina de Planeación encargada de acopiar y consolidar la información, elabora y divulga a las dependencias, un cronograma interno de reporte de la información solicitada por el MEN y otros entes de control 
-  El profesion"&amp;"al del área Financiera de la oficina de Planeación, realizan la revisión de la información que las dependencias envían para reportar al SIRECI y SIA CONTRALORIAS, de acuerdo a los actos administrativos que regula dicha actividad
- La profesional de apoyo "&amp;"de la oficina de Planeación encargada de acopiar y consolidar la información, revisa la información enviada por las dependencias, y en los casos en que encuentre inconsistencias, solicita a las dependencias las correcciones pertinentes.
- Las plataformas "&amp;"de reporte de la información, cuentan con validadores que permiten detectar inconsistencias de forma, para su corrección por parte de la Institución 
- Revisión de la profesional de apoyo a las planillas del MEN en drive para la corrección de la dependenc"&amp;"ia que incurra en el error. ")</f>
        <v xml:space="preserve">-La profesional de apoyo de la oficina de Planeación encargada de acopiar y consolidar la información, elabora y divulga a las dependencias, un cronograma interno de reporte de la información solicitada por el MEN y otros entes de control 
-  El profesional del área Financiera de la oficina de Planeación, realizan la revisión de la información que las dependencias envían para reportar al SIRECI y SIA CONTRALORIAS, de acuerdo a los actos administrativos que regula dicha actividad
- La profesional de apoyo de la oficina de Planeación encargada de acopiar y consolidar la información, revisa la información enviada por las dependencias, y en los casos en que encuentre inconsistencias, solicita a las dependencias las correcciones pertinentes.
- Las plataformas de reporte de la información, cuentan con validadores que permiten detectar inconsistencias de forma, para su corrección por parte de la Institución 
- Revisión de la profesional de apoyo a las planillas del MEN en drive para la corrección de la dependencia que incurra en el error. </v>
      </c>
      <c r="N17" s="65" t="str">
        <f ca="1">IFERROR(__xludf.DUMMYFUNCTION("""COMPUTED_VALUE"""),"Muy baja")</f>
        <v>Muy baja</v>
      </c>
      <c r="O17" s="65" t="str">
        <f ca="1">IFERROR(__xludf.DUMMYFUNCTION("""COMPUTED_VALUE"""),"Menor")</f>
        <v>Menor</v>
      </c>
      <c r="P17" s="65" t="str">
        <f ca="1">IFERROR(__xludf.DUMMYFUNCTION("""COMPUTED_VALUE"""),"Baja")</f>
        <v>Baja</v>
      </c>
      <c r="Q17" s="91" t="str">
        <f ca="1">IFERROR(__xludf.DUMMYFUNCTION("""COMPUTED_VALUE"""),"Aceptar")</f>
        <v>Aceptar</v>
      </c>
      <c r="R17" s="20" t="str">
        <f ca="1">IFERROR(__xludf.DUMMYFUNCTION("""COMPUTED_VALUE"""),"")</f>
        <v/>
      </c>
      <c r="S17" s="40" t="str">
        <f ca="1">IFERROR(__xludf.DUMMYFUNCTION("""COMPUTED_VALUE"""),"")</f>
        <v/>
      </c>
      <c r="T17" s="32"/>
      <c r="U17" s="41"/>
      <c r="V17" s="92" t="str">
        <f ca="1">IFERROR(__xludf.DUMMYFUNCTION("""COMPUTED_VALUE"""),"Realizar solicitud a la mesa de ayuda del MEN y otros entes de control (SIRECI, SIA CONTRALORIAS), de corrección de la información o el formato en que se detectó el error")</f>
        <v>Realizar solicitud a la mesa de ayuda del MEN y otros entes de control (SIRECI, SIA CONTRALORIAS), de corrección de la información o el formato en que se detectó el error</v>
      </c>
      <c r="W17" s="97" t="str">
        <f ca="1">IFERROR(__xludf.DUMMYFUNCTION("""COMPUTED_VALUE"""),"Ticket en la mesa de ayuda correspondiente")</f>
        <v>Ticket en la mesa de ayuda correspondiente</v>
      </c>
      <c r="X17" s="97" t="str">
        <f ca="1">IFERROR(__xludf.DUMMYFUNCTION("""COMPUTED_VALUE"""),"Asesor de Planeación / Profesional de apoyo del área de Estadística y Sistemas de Información")</f>
        <v>Asesor de Planeación / Profesional de apoyo del área de Estadística y Sistemas de Información</v>
      </c>
      <c r="Y17" s="97" t="str">
        <f ca="1">IFERROR(__xludf.DUMMYFUNCTION("""COMPUTED_VALUE"""),"1 día hábil después de identificado el error. ")</f>
        <v xml:space="preserve">1 día hábil después de identificado el error. </v>
      </c>
      <c r="Z17" s="15" t="str">
        <f ca="1">IFERROR(__xludf.DUMMYFUNCTION("""COMPUTED_VALUE"""),"30 de abril")</f>
        <v>30 de abril</v>
      </c>
      <c r="AA17" s="17" t="str">
        <f ca="1">IFERROR(__xludf.DUMMYFUNCTION("""COMPUTED_VALUE"""),"1 de enero del 2026 al 30 de abril del 2026 ")</f>
        <v xml:space="preserve">1 de enero del 2026 al 30 de abril del 2026 </v>
      </c>
      <c r="AB17" s="17" t="str">
        <f ca="1">IFERROR(__xludf.DUMMYFUNCTION("""COMPUTED_VALUE"""),"No")</f>
        <v>No</v>
      </c>
      <c r="AC17" s="15" t="str">
        <f ca="1">IFERROR(__xludf.DUMMYFUNCTION("""COMPUTED_VALUE"""),"Durante este primer monitoreo no se materializó el riesgo. 
Acciones de control.
C1: Se enviaron por correo electrónico los formatos, planillas y su periocidad de entrega para realizar cargue en las diferentes plataformas.
C2: Se enviaron por correo ele"&amp;"ctrónico los formatos de SIRECI y SIA CONTRALORIAS para revisión y visto bueno de la profesional de apoyo perteneciente al equipo financiero de la oficina Asesora de Planeación, para posterior cargue o devolución a la dependencia para el subsane necesario"&amp;".
C3: Se revisaron los formatos y planillas que se deben enviar al MEN y otros entes de control (SIRECI y SIA CONTRALORIA), si se encontraron errores fueron devueltos a las dependencias por correo electrónico para su corrección y posterior envió.
C4: En l"&amp;"as plataformas del MEN y otros entes de control (SIRECI y SIA CONTRALORIA) cuentan con validadores los cuales devuelven los errores presentados en los formatos o planillas y estás se envían a las diferentes dependencias para su subsane.
C5: Se revisaron l"&amp;"as planillas del MEN en el drive, y se enviaron correcciones a las depencias responsables de las planillas SNIES. Esto se puede envidenciar en los correos que se adjuntaron en el control  C3.
Acciones asociadas al tratamiento: 
- En este periodo se real"&amp;"izaron las acciones de mejora, sobre la información reportada de las dependecias responsables de los formatos y planillas de SIA CONTRALORIAS; SIRECI y SNIES las cuales se revisaron y si hubo errores se devolvieron a la dependcia  para su corrección. Esto"&amp;" se puede evidenciar en los correos que se adjuntaron en el control C3.")</f>
        <v>Durante este primer monitoreo no se materializó el riesgo. 
Acciones de control.
C1: Se enviaron por correo electrónico los formatos, planillas y su periocidad de entrega para realizar cargue en las diferentes plataformas.
C2: Se enviaron por correo electrónico los formatos de SIRECI y SIA CONTRALORIAS para revisión y visto bueno de la profesional de apoyo perteneciente al equipo financiero de la oficina Asesora de Planeación, para posterior cargue o devolución a la dependencia para el subsane necesario.
C3: Se revisaron los formatos y planillas que se deben enviar al MEN y otros entes de control (SIRECI y SIA CONTRALORIA), si se encontraron errores fueron devueltos a las dependencias por correo electrónico para su corrección y posterior envió.
C4: En las plataformas del MEN y otros entes de control (SIRECI y SIA CONTRALORIA) cuentan con validadores los cuales devuelven los errores presentados en los formatos o planillas y estás se envían a las diferentes dependencias para su subsane.
C5: Se revisaron las planillas del MEN en el drive, y se enviaron correcciones a las depencias responsables de las planillas SNIES. Esto se puede envidenciar en los correos que se adjuntaron en el control  C3.
Acciones asociadas al tratamiento: 
- En este periodo se realizaron las acciones de mejora, sobre la información reportada de las dependecias responsables de los formatos y planillas de SIA CONTRALORIAS; SIRECI y SNIES las cuales se revisaron y si hubo errores se devolvieron a la dependcia  para su corrección. Esto se puede evidenciar en los correos que se adjuntaron en el control C3.</v>
      </c>
      <c r="AD17" s="17" t="str">
        <f ca="1">IFERROR(__xludf.DUMMYFUNCTION("""COMPUTED_VALUE"""),"Profesional de apoyo del área de Estadística y Sistemas de Información")</f>
        <v>Profesional de apoyo del área de Estadística y Sistemas de Información</v>
      </c>
      <c r="AE17" s="18" t="str">
        <f ca="1">IFERROR(__xludf.DUMMYFUNCTION("""COMPUTED_VALUE"""),"Evidencia")</f>
        <v>Evidencia</v>
      </c>
      <c r="AF17" s="15" t="str">
        <f ca="1">IFERROR(__xludf.DUMMYFUNCTION("""COMPUTED_VALUE"""),"Si")</f>
        <v>Si</v>
      </c>
      <c r="AG17" s="15" t="str">
        <f ca="1">IFERROR(__xludf.DUMMYFUNCTION("""COMPUTED_VALUE"""),"Ejecutada")</f>
        <v>Ejecutada</v>
      </c>
      <c r="AH17" s="15" t="str">
        <f ca="1">IFERROR(__xludf.DUMMYFUNCTION("""COMPUTED_VALUE"""),"C1: Se verificó el envío de formatos, planillas y cronograma de reporte a las dependencias para el cargue en plataformas.
C2: Se evidenció la revisión previa de la información correspondiente a SIRECI y SIA CONTRALORÍAS por parte del área financiera, pre"&amp;"vio a su cargue.
C3: Se verificó la revisión de la información reportada por las dependencias y la solicitud de ajustes en los casos con inconsistencias.
C4: Se evidenció la utilización de validadores en las plataformas, generando devolución de errores "&amp;"para su corrección.
C5: Se verificó la revisión de planillas del MEN (SNIES) en drive y la comunicación de correcciones a las dependencias responsables.
Materialización del riesgo: El riesgo no se materializó durante el periodo evaluado.
Conclusión: Lo"&amp;"s controles se ejecutan adecuadamente y contribuyen a la mitigación del riesgo, el cual se mantiene bajo control. Se cuenta con soportes documentales que respaldan su ejecución.")</f>
        <v>C1: Se verificó el envío de formatos, planillas y cronograma de reporte a las dependencias para el cargue en plataformas.
C2: Se evidenció la revisión previa de la información correspondiente a SIRECI y SIA CONTRALORÍAS por parte del área financiera, previo a su cargue.
C3: Se verificó la revisión de la información reportada por las dependencias y la solicitud de ajustes en los casos con inconsistencias.
C4: Se evidenció la utilización de validadores en las plataformas, generando devolución de errores para su corrección.
C5: Se verificó la revisión de planillas del MEN (SNIES) en drive y la comunicación de correcciones a las dependencias responsables.
Materialización del riesgo: El riesgo no se materializó durante el periodo evaluado.
Conclusión: Los controles se ejecutan adecuadamente y contribuyen a la mitigación del riesgo, el cual se mantiene bajo control. Se cuenta con soportes documentales que respaldan su ejecución.</v>
      </c>
      <c r="AI17" s="15" t="str">
        <f ca="1">IFERROR(__xludf.DUMMYFUNCTION("""COMPUTED_VALUE"""),"30 de abril")</f>
        <v>30 de abril</v>
      </c>
      <c r="AJ17" s="17" t="str">
        <f ca="1">IFERROR(__xludf.DUMMYFUNCTION("""COMPUTED_VALUE"""),"Si")</f>
        <v>Si</v>
      </c>
      <c r="AK17" s="17" t="str">
        <f ca="1">IFERROR(__xludf.DUMMYFUNCTION("""COMPUTED_VALUE"""),"Si")</f>
        <v>Si</v>
      </c>
      <c r="AL17" s="17" t="str">
        <f ca="1">IFERROR(__xludf.DUMMYFUNCTION("""COMPUTED_VALUE"""),"Si")</f>
        <v>Si</v>
      </c>
      <c r="AM17" s="17" t="str">
        <f ca="1">IFERROR(__xludf.DUMMYFUNCTION("""COMPUTED_VALUE"""),"Si")</f>
        <v>Si</v>
      </c>
      <c r="AN17" s="17" t="str">
        <f ca="1">IFERROR(__xludf.DUMMYFUNCTION("""COMPUTED_VALUE"""),"Si")</f>
        <v>Si</v>
      </c>
      <c r="AO17" s="17" t="str">
        <f ca="1">IFERROR(__xludf.DUMMYFUNCTION("""COMPUTED_VALUE"""),"No")</f>
        <v>No</v>
      </c>
      <c r="AP17" s="17" t="str">
        <f ca="1">IFERROR(__xludf.DUMMYFUNCTION("""COMPUTED_VALUE"""),"No")</f>
        <v>No</v>
      </c>
      <c r="AQ17" s="17" t="str">
        <f ca="1">IFERROR(__xludf.DUMMYFUNCTION("""COMPUTED_VALUE"""),"No")</f>
        <v>No</v>
      </c>
      <c r="AR17" s="17" t="str">
        <f ca="1">IFERROR(__xludf.DUMMYFUNCTION("""COMPUTED_VALUE"""),"No")</f>
        <v>No</v>
      </c>
      <c r="AS17" s="15" t="str">
        <f ca="1">IFERROR(__xludf.DUMMYFUNCTION("""COMPUTED_VALUE"""),"No aplica")</f>
        <v>No aplica</v>
      </c>
      <c r="AT17" s="15" t="str">
        <f ca="1">IFERROR(__xludf.DUMMYFUNCTION("""COMPUTED_VALUE"""),"Recomendación:
1. Establecer acciones asociadas al tratamiento, orientadas a fortalecer la efectividad de los controles, considerando que la acción de manejo seleccionada fue ""Reducir"".")</f>
        <v>Recomendación:
1. Establecer acciones asociadas al tratamiento, orientadas a fortalecer la efectividad de los controles, considerando que la acción de manejo seleccionada fue "Reducir".</v>
      </c>
      <c r="AU17" s="10"/>
    </row>
    <row r="18" spans="1:47" x14ac:dyDescent="0.25">
      <c r="A18" s="25"/>
      <c r="B18" s="86"/>
      <c r="C18" s="86"/>
      <c r="D18" s="86"/>
      <c r="E18" s="89"/>
      <c r="F18" s="64"/>
      <c r="G18" s="64"/>
      <c r="H18" s="64"/>
      <c r="I18" s="64"/>
      <c r="J18" s="64"/>
      <c r="K18" s="64"/>
      <c r="L18" s="64"/>
      <c r="M18" s="64"/>
      <c r="N18" s="64"/>
      <c r="O18" s="64"/>
      <c r="P18" s="64"/>
      <c r="Q18" s="83"/>
      <c r="R18" s="20" t="str">
        <f ca="1">IFERROR(__xludf.DUMMYFUNCTION("""COMPUTED_VALUE"""),"")</f>
        <v/>
      </c>
      <c r="S18" s="42" t="str">
        <f ca="1">IFERROR(__xludf.DUMMYFUNCTION("""COMPUTED_VALUE"""),"")</f>
        <v/>
      </c>
      <c r="T18" s="34"/>
      <c r="U18" s="20"/>
      <c r="V18" s="89"/>
      <c r="W18" s="89"/>
      <c r="X18" s="89"/>
      <c r="Y18" s="89"/>
      <c r="Z18" s="15" t="str">
        <f ca="1">IFERROR(__xludf.DUMMYFUNCTION("""COMPUTED_VALUE"""),"30 de agosto")</f>
        <v>30 de agosto</v>
      </c>
      <c r="AA18" s="17"/>
      <c r="AB18" s="17"/>
      <c r="AC18" s="15"/>
      <c r="AD18" s="17"/>
      <c r="AE18" s="18" t="str">
        <f ca="1">IFERROR(__xludf.DUMMYFUNCTION("""COMPUTED_VALUE"""),"Evidencia")</f>
        <v>Evidencia</v>
      </c>
      <c r="AF18" s="15"/>
      <c r="AG18" s="15"/>
      <c r="AH18" s="15"/>
      <c r="AI18" s="24" t="str">
        <f ca="1">IFERROR(__xludf.DUMMYFUNCTION("""COMPUTED_VALUE"""),"31 de agosto")</f>
        <v>31 de agosto</v>
      </c>
      <c r="AJ18" s="17"/>
      <c r="AK18" s="17"/>
      <c r="AL18" s="17"/>
      <c r="AM18" s="17"/>
      <c r="AN18" s="17"/>
      <c r="AO18" s="17"/>
      <c r="AP18" s="17"/>
      <c r="AQ18" s="17"/>
      <c r="AR18" s="17"/>
      <c r="AS18" s="15"/>
      <c r="AT18" s="15"/>
      <c r="AU18" s="10"/>
    </row>
    <row r="19" spans="1:47" x14ac:dyDescent="0.25">
      <c r="A19" s="25"/>
      <c r="B19" s="86"/>
      <c r="C19" s="86"/>
      <c r="D19" s="87"/>
      <c r="E19" s="76"/>
      <c r="F19" s="61"/>
      <c r="G19" s="61"/>
      <c r="H19" s="61"/>
      <c r="I19" s="61"/>
      <c r="J19" s="61"/>
      <c r="K19" s="61"/>
      <c r="L19" s="61"/>
      <c r="M19" s="61"/>
      <c r="N19" s="61"/>
      <c r="O19" s="61"/>
      <c r="P19" s="61"/>
      <c r="Q19" s="84"/>
      <c r="R19" s="26" t="str">
        <f ca="1">IFERROR(__xludf.DUMMYFUNCTION("""COMPUTED_VALUE"""),"")</f>
        <v/>
      </c>
      <c r="S19" s="43" t="str">
        <f ca="1">IFERROR(__xludf.DUMMYFUNCTION("""COMPUTED_VALUE"""),"")</f>
        <v/>
      </c>
      <c r="T19" s="38"/>
      <c r="U19" s="26"/>
      <c r="V19" s="76"/>
      <c r="W19" s="76"/>
      <c r="X19" s="76"/>
      <c r="Y19" s="76"/>
      <c r="Z19" s="15" t="str">
        <f ca="1">IFERROR(__xludf.DUMMYFUNCTION("""COMPUTED_VALUE"""),"30 de diciembre")</f>
        <v>30 de diciembre</v>
      </c>
      <c r="AA19" s="17"/>
      <c r="AB19" s="17"/>
      <c r="AC19" s="15"/>
      <c r="AD19" s="17"/>
      <c r="AE19" s="18" t="str">
        <f ca="1">IFERROR(__xludf.DUMMYFUNCTION("""COMPUTED_VALUE"""),"Evidencia")</f>
        <v>Evidencia</v>
      </c>
      <c r="AF19" s="15"/>
      <c r="AG19" s="15"/>
      <c r="AH19" s="15"/>
      <c r="AI19" s="24" t="str">
        <f ca="1">IFERROR(__xludf.DUMMYFUNCTION("""COMPUTED_VALUE"""),"31 de diciembre")</f>
        <v>31 de diciembre</v>
      </c>
      <c r="AJ19" s="17"/>
      <c r="AK19" s="17"/>
      <c r="AL19" s="17"/>
      <c r="AM19" s="17"/>
      <c r="AN19" s="17"/>
      <c r="AO19" s="17"/>
      <c r="AP19" s="17"/>
      <c r="AQ19" s="17"/>
      <c r="AR19" s="17"/>
      <c r="AS19" s="15"/>
      <c r="AT19" s="15"/>
      <c r="AU19" s="10"/>
    </row>
    <row r="20" spans="1:47" ht="252" x14ac:dyDescent="0.25">
      <c r="A20" s="25"/>
      <c r="B20" s="86"/>
      <c r="C20" s="86"/>
      <c r="D20" s="85" t="str">
        <f ca="1">IFERROR(__xludf.DUMMYFUNCTION("""COMPUTED_VALUE"""),"Probabilidad de afectación económica por incumplimiento en la ejecución física y financiera de los proyectos de inversión frente al monto aprobado, debido a debilidades en el seguimiento a los proyectos.")</f>
        <v>Probabilidad de afectación económica por incumplimiento en la ejecución física y financiera de los proyectos de inversión frente al monto aprobado, debido a debilidades en el seguimiento a los proyectos.</v>
      </c>
      <c r="E20" s="88" t="str">
        <f ca="1">IFERROR(__xludf.DUMMYFUNCTION("""COMPUTED_VALUE"""),"Oficina de Planeación")</f>
        <v>Oficina de Planeación</v>
      </c>
      <c r="F20" s="63" t="str">
        <f ca="1">IFERROR(__xludf.DUMMYFUNCTION("""COMPUTED_VALUE"""),"Gestión")</f>
        <v>Gestión</v>
      </c>
      <c r="G20" s="63" t="str">
        <f ca="1">IFERROR(__xludf.DUMMYFUNCTION("""COMPUTED_VALUE"""),"- Falta de ejecución de las actividades propuestas en el proyecto, por parte de los proponentes y responsables de estos
- Dificultad en los procesos contractuales liderados por la Vicerrectoría de Vicerrecursos")</f>
        <v>- Falta de ejecución de las actividades propuestas en el proyecto, por parte de los proponentes y responsables de estos
- Dificultad en los procesos contractuales liderados por la Vicerrectoría de Vicerrecursos</v>
      </c>
      <c r="H20" s="63" t="str">
        <f ca="1">IFERROR(__xludf.DUMMYFUNCTION("""COMPUTED_VALUE"""),"1. Incumplimiento de las metas institucionales
2. Baja ejecución presupuestal
3. Intervención de los organos de control.")</f>
        <v>1. Incumplimiento de las metas institucionales
2. Baja ejecución presupuestal
3. Intervención de los organos de control.</v>
      </c>
      <c r="I20" s="65" t="str">
        <f ca="1">IFERROR(__xludf.DUMMYFUNCTION("""COMPUTED_VALUE"""),"DIE_04")</f>
        <v>DIE_04</v>
      </c>
      <c r="J20" s="65" t="str">
        <f ca="1">IFERROR(__xludf.DUMMYFUNCTION("""COMPUTED_VALUE"""),"Baja")</f>
        <v>Baja</v>
      </c>
      <c r="K20" s="65" t="str">
        <f ca="1">IFERROR(__xludf.DUMMYFUNCTION("""COMPUTED_VALUE"""),"Mayor")</f>
        <v>Mayor</v>
      </c>
      <c r="L20" s="65" t="str">
        <f ca="1">IFERROR(__xludf.DUMMYFUNCTION("""COMPUTED_VALUE"""),"Alta")</f>
        <v>Alta</v>
      </c>
      <c r="M20" s="63" t="str">
        <f ca="1">IFERROR(__xludf.DUMMYFUNCTION("""COMPUTED_VALUE"""),"- El profesional del Banco de Proyectos, realiza seguimiento mensual a la ejecución física y financiera de los proyectos, con el fin de determinar el avance de estos 
- El profesional del Banco de Proyectos realiza capacitación a las unidades interesadas "&amp;"en presentar proyectos de inversión una vez cada vigencia, sobre la formulación y seguimiento a estos 
- El profesional del Banco de Proyectos, realiza cada vigencia un análisis de la ejecución de los proyectos de vigencias previas, con el fin de recomend"&amp;"ar un tope en los montos asignados, especialmente a aquellos que hayan presentado baja ejecución  ")</f>
        <v xml:space="preserve">- El profesional del Banco de Proyectos, realiza seguimiento mensual a la ejecución física y financiera de los proyectos, con el fin de determinar el avance de estos 
- El profesional del Banco de Proyectos realiza capacitación a las unidades interesadas en presentar proyectos de inversión una vez cada vigencia, sobre la formulación y seguimiento a estos 
- El profesional del Banco de Proyectos, realiza cada vigencia un análisis de la ejecución de los proyectos de vigencias previas, con el fin de recomendar un tope en los montos asignados, especialmente a aquellos que hayan presentado baja ejecución  </v>
      </c>
      <c r="N20" s="65" t="str">
        <f ca="1">IFERROR(__xludf.DUMMYFUNCTION("""COMPUTED_VALUE"""),"Muy baja")</f>
        <v>Muy baja</v>
      </c>
      <c r="O20" s="65" t="str">
        <f ca="1">IFERROR(__xludf.DUMMYFUNCTION("""COMPUTED_VALUE"""),"Moderado")</f>
        <v>Moderado</v>
      </c>
      <c r="P20" s="65" t="str">
        <f ca="1">IFERROR(__xludf.DUMMYFUNCTION("""COMPUTED_VALUE"""),"Media")</f>
        <v>Media</v>
      </c>
      <c r="Q20" s="66" t="str">
        <f ca="1">IFERROR(__xludf.DUMMYFUNCTION("""COMPUTED_VALUE"""),"Reducir")</f>
        <v>Reducir</v>
      </c>
      <c r="R20" s="30" t="str">
        <f ca="1">IFERROR(__xludf.DUMMYFUNCTION("""COMPUTED_VALUE"""),"Realizar mesa de seguimiento con los responsables de proyectos de inversión, con el fin de identificar posibles irregularidades en la ejecución de los proyectos")</f>
        <v>Realizar mesa de seguimiento con los responsables de proyectos de inversión, con el fin de identificar posibles irregularidades en la ejecución de los proyectos</v>
      </c>
      <c r="S20" s="31" t="str">
        <f ca="1">IFERROR(__xludf.DUMMYFUNCTION("""COMPUTED_VALUE"""),"Semestral")</f>
        <v>Semestral</v>
      </c>
      <c r="T20" s="44" t="str">
        <f ca="1">IFERROR(__xludf.DUMMYFUNCTION("""COMPUTED_VALUE"""),"Asesor de Planeación")</f>
        <v>Asesor de Planeación</v>
      </c>
      <c r="U20" s="41" t="str">
        <f ca="1">IFERROR(__xludf.DUMMYFUNCTION("""COMPUTED_VALUE"""),"Soportes de asistencia")</f>
        <v>Soportes de asistencia</v>
      </c>
      <c r="V20" s="92" t="str">
        <f ca="1">IFERROR(__xludf.DUMMYFUNCTION("""COMPUTED_VALUE"""),"Solicitar mediante correo institucional al responsable y proponente del proyectos las causas por las cuales no ejecutó el proyecto  y reportar control interno")</f>
        <v>Solicitar mediante correo institucional al responsable y proponente del proyectos las causas por las cuales no ejecutó el proyecto  y reportar control interno</v>
      </c>
      <c r="W20" s="97" t="str">
        <f ca="1">IFERROR(__xludf.DUMMYFUNCTION("""COMPUTED_VALUE"""),"Correo electrónico")</f>
        <v>Correo electrónico</v>
      </c>
      <c r="X20" s="97" t="str">
        <f ca="1">IFERROR(__xludf.DUMMYFUNCTION("""COMPUTED_VALUE"""),"Profesional de apoyo banco de proyectos")</f>
        <v>Profesional de apoyo banco de proyectos</v>
      </c>
      <c r="Y20" s="97" t="str">
        <f ca="1">IFERROR(__xludf.DUMMYFUNCTION("""COMPUTED_VALUE"""),"Al final de la vigencia")</f>
        <v>Al final de la vigencia</v>
      </c>
      <c r="Z20" s="15" t="str">
        <f ca="1">IFERROR(__xludf.DUMMYFUNCTION("""COMPUTED_VALUE"""),"30 de abril")</f>
        <v>30 de abril</v>
      </c>
      <c r="AA20" s="17" t="str">
        <f ca="1">IFERROR(__xludf.DUMMYFUNCTION("""COMPUTED_VALUE"""),"20 de enero a 30 de abril del 2026")</f>
        <v>20 de enero a 30 de abril del 2026</v>
      </c>
      <c r="AB20" s="17" t="str">
        <f ca="1">IFERROR(__xludf.DUMMYFUNCTION("""COMPUTED_VALUE"""),"No")</f>
        <v>No</v>
      </c>
      <c r="AC20" s="15" t="str">
        <f ca="1">IFERROR(__xludf.DUMMYFUNCTION("""COMPUTED_VALUE"""),"Acciones correspondientes a la ejecución de los Controles:
En el periodo correspondiente a analizar se realizaron las diferentes acciones preventivas, a saber: 
C1:  Se gestiona de manera mensual ante la División Financiera la obtención y consolidación d"&amp;"e la información sobre la ejecución mensual de los rubros presupuestales asociados a cada proyecto de inversión, con el fin de fortalecer el monitoreo, seguimiento y control financiero, y soportar la toma oportuna de decisiones.
     Se gestionó la solici"&amp;"tud mensual de reportes de seguimiento a los líderes de proyecto. Adicionalmente, y en el marco del monitoreo continuo de la ejecución, se realizaron recordatorios y reiteraciones a los responsables que presentaban incumplimientos en el reporte, fortaleci"&amp;"endo así la trazabilidad y el control de la información.
C2: Se brindó acompañamiento técnico y orientación a las unidades académico-administrativas en la formulación y presentación de proyectos de inversión en el marco del Plan de Fomento a la Calidad, c"&amp;"ontribuyendo a mejorar la calidad de la información y prevenir inconsistencias en los proyectos presentados
C3: Se realizó el seguimiento mensual a la ejecución de los proyectos, como base para el análisis de desempeño que se llevara a cabo (anual), orien"&amp;"tado a la toma de decisiones sobre la asignación de recursos y la mitigación de riesgos asociados a baja ejecución
Acciones asociadas al tratamiento del riesgo:
-  Como parte del tratamiento del riesgo, se tiene prevista la realización de mesas de traba"&amp;"jo con los responsables de los proyectos de inversión durante el mes de junio. 
Esta acción tiene como objetivo identificar, dentro del primer semestre, posibles onconsistencias o rretrasos en la ejecución física y financiera de los proyectos, así como es"&amp;"tablecer acciones oportunas de mejora. La implementación de estas mesas contribuirá al fortalecimiento del seguimiento y control, permitiendo una gestión más efectiva del riesgo asociado al incumplimiento en la ejecución de los proyectos. ")</f>
        <v xml:space="preserve">Acciones correspondientes a la ejecución de los Controles:
En el periodo correspondiente a analizar se realizaron las diferentes acciones preventivas, a saber: 
C1:  Se gestiona de manera mensual ante la División Financiera la obtención y consolidación de la información sobre la ejecución mensual de los rubros presupuestales asociados a cada proyecto de inversión, con el fin de fortalecer el monitoreo, seguimiento y control financiero, y soportar la toma oportuna de decisiones.
     Se gestionó la solicitud mensual de reportes de seguimiento a los líderes de proyecto. Adicionalmente, y en el marco del monitoreo continuo de la ejecución, se realizaron recordatorios y reiteraciones a los responsables que presentaban incumplimientos en el reporte, fortaleciendo así la trazabilidad y el control de la información.
C2: Se brindó acompañamiento técnico y orientación a las unidades académico-administrativas en la formulación y presentación de proyectos de inversión en el marco del Plan de Fomento a la Calidad, contribuyendo a mejorar la calidad de la información y prevenir inconsistencias en los proyectos presentados
C3: Se realizó el seguimiento mensual a la ejecución de los proyectos, como base para el análisis de desempeño que se llevara a cabo (anual), orientado a la toma de decisiones sobre la asignación de recursos y la mitigación de riesgos asociados a baja ejecución
Acciones asociadas al tratamiento del riesgo:
-  Como parte del tratamiento del riesgo, se tiene prevista la realización de mesas de trabajo con los responsables de los proyectos de inversión durante el mes de junio. 
Esta acción tiene como objetivo identificar, dentro del primer semestre, posibles onconsistencias o rretrasos en la ejecución física y financiera de los proyectos, así como establecer acciones oportunas de mejora. La implementación de estas mesas contribuirá al fortalecimiento del seguimiento y control, permitiendo una gestión más efectiva del riesgo asociado al incumplimiento en la ejecución de los proyectos. </v>
      </c>
      <c r="AD20" s="17" t="str">
        <f ca="1">IFERROR(__xludf.DUMMYFUNCTION("""COMPUTED_VALUE"""),"Área de Banco de Proyectos ")</f>
        <v xml:space="preserve">Área de Banco de Proyectos </v>
      </c>
      <c r="AE20" s="18" t="str">
        <f ca="1">IFERROR(__xludf.DUMMYFUNCTION("""COMPUTED_VALUE"""),"Evidencia")</f>
        <v>Evidencia</v>
      </c>
      <c r="AF20" s="15" t="str">
        <f ca="1">IFERROR(__xludf.DUMMYFUNCTION("""COMPUTED_VALUE"""),"Si")</f>
        <v>Si</v>
      </c>
      <c r="AG20" s="15" t="str">
        <f ca="1">IFERROR(__xludf.DUMMYFUNCTION("""COMPUTED_VALUE"""),"Ejecutada")</f>
        <v>Ejecutada</v>
      </c>
      <c r="AH20" s="15" t="str">
        <f ca="1">IFERROR(__xludf.DUMMYFUNCTION("""COMPUTED_VALUE"""),"C1: Se verificó el seguimiento mensual a la ejecución física y financiera de los proyectos, mediante la gestión y consolidación de información y solicitud de reportes a los responsables.
C2: Se evidenció el acompañamiento técnico a las unidades en la for"&amp;"mulación y presentación de proyectos de inversión, contribuyendo a la mejora en la calidad de la información.
C3: Se verificó el seguimiento a la ejecución de los proyectos como insumo para el análisis de desempeño y toma de decisiones.
Materialización "&amp;"del riesgo: El riesgo no se materializó durante el periodo evaluado.
Conclusión: Los controles se ejecutan adecuadamente y contribuyen a la mitigación del riesgo, el cual se mantiene bajo control. Se cuenta con soportes documentales que respaldan su ejec"&amp;"ución.")</f>
        <v>C1: Se verificó el seguimiento mensual a la ejecución física y financiera de los proyectos, mediante la gestión y consolidación de información y solicitud de reportes a los responsables.
C2: Se evidenció el acompañamiento técnico a las unidades en la formulación y presentación de proyectos de inversión, contribuyendo a la mejora en la calidad de la información.
C3: Se verificó el seguimiento a la ejecución de los proyectos como insumo para el análisis de desempeño y toma de decisiones.
Materialización del riesgo: El riesgo no se materializó durante el periodo evaluado.
Conclusión: Los controles se ejecutan adecuadamente y contribuyen a la mitigación del riesgo, el cual se mantiene bajo control. Se cuenta con soportes documentales que respaldan su ejecución.</v>
      </c>
      <c r="AI20" s="15" t="str">
        <f ca="1">IFERROR(__xludf.DUMMYFUNCTION("""COMPUTED_VALUE"""),"30 de abril")</f>
        <v>30 de abril</v>
      </c>
      <c r="AJ20" s="17" t="str">
        <f ca="1">IFERROR(__xludf.DUMMYFUNCTION("""COMPUTED_VALUE"""),"Si")</f>
        <v>Si</v>
      </c>
      <c r="AK20" s="17" t="str">
        <f ca="1">IFERROR(__xludf.DUMMYFUNCTION("""COMPUTED_VALUE"""),"Si")</f>
        <v>Si</v>
      </c>
      <c r="AL20" s="17" t="str">
        <f ca="1">IFERROR(__xludf.DUMMYFUNCTION("""COMPUTED_VALUE"""),"Si")</f>
        <v>Si</v>
      </c>
      <c r="AM20" s="17" t="str">
        <f ca="1">IFERROR(__xludf.DUMMYFUNCTION("""COMPUTED_VALUE"""),"Si")</f>
        <v>Si</v>
      </c>
      <c r="AN20" s="17" t="str">
        <f ca="1">IFERROR(__xludf.DUMMYFUNCTION("""COMPUTED_VALUE"""),"Si")</f>
        <v>Si</v>
      </c>
      <c r="AO20" s="17" t="str">
        <f ca="1">IFERROR(__xludf.DUMMYFUNCTION("""COMPUTED_VALUE"""),"No")</f>
        <v>No</v>
      </c>
      <c r="AP20" s="17" t="str">
        <f ca="1">IFERROR(__xludf.DUMMYFUNCTION("""COMPUTED_VALUE"""),"No")</f>
        <v>No</v>
      </c>
      <c r="AQ20" s="17" t="str">
        <f ca="1">IFERROR(__xludf.DUMMYFUNCTION("""COMPUTED_VALUE"""),"No")</f>
        <v>No</v>
      </c>
      <c r="AR20" s="17" t="str">
        <f ca="1">IFERROR(__xludf.DUMMYFUNCTION("""COMPUTED_VALUE"""),"No")</f>
        <v>No</v>
      </c>
      <c r="AS20" s="15" t="str">
        <f ca="1">IFERROR(__xludf.DUMMYFUNCTION("""COMPUTED_VALUE"""),"No aplica")</f>
        <v>No aplica</v>
      </c>
      <c r="AT20" s="15" t="str">
        <f ca="1">IFERROR(__xludf.DUMMYFUNCTION("""COMPUTED_VALUE"""),"Ninguna")</f>
        <v>Ninguna</v>
      </c>
      <c r="AU20" s="10"/>
    </row>
    <row r="21" spans="1:47" x14ac:dyDescent="0.25">
      <c r="A21" s="25"/>
      <c r="B21" s="86"/>
      <c r="C21" s="86"/>
      <c r="D21" s="86"/>
      <c r="E21" s="89"/>
      <c r="F21" s="64"/>
      <c r="G21" s="64"/>
      <c r="H21" s="64"/>
      <c r="I21" s="64"/>
      <c r="J21" s="64"/>
      <c r="K21" s="64"/>
      <c r="L21" s="64"/>
      <c r="M21" s="64"/>
      <c r="N21" s="64"/>
      <c r="O21" s="64"/>
      <c r="P21" s="64"/>
      <c r="Q21" s="64"/>
      <c r="R21" s="30" t="str">
        <f ca="1">IFERROR(__xludf.DUMMYFUNCTION("""COMPUTED_VALUE"""),"")</f>
        <v/>
      </c>
      <c r="S21" s="31" t="str">
        <f ca="1">IFERROR(__xludf.DUMMYFUNCTION("""COMPUTED_VALUE"""),"")</f>
        <v/>
      </c>
      <c r="T21" s="45"/>
      <c r="U21" s="20"/>
      <c r="V21" s="89"/>
      <c r="W21" s="89"/>
      <c r="X21" s="89"/>
      <c r="Y21" s="89"/>
      <c r="Z21" s="15" t="str">
        <f ca="1">IFERROR(__xludf.DUMMYFUNCTION("""COMPUTED_VALUE"""),"30 de agosto")</f>
        <v>30 de agosto</v>
      </c>
      <c r="AA21" s="17"/>
      <c r="AB21" s="17"/>
      <c r="AC21" s="15"/>
      <c r="AD21" s="17"/>
      <c r="AE21" s="18" t="str">
        <f ca="1">IFERROR(__xludf.DUMMYFUNCTION("""COMPUTED_VALUE"""),"Evidencia")</f>
        <v>Evidencia</v>
      </c>
      <c r="AF21" s="15"/>
      <c r="AG21" s="15"/>
      <c r="AH21" s="15"/>
      <c r="AI21" s="24" t="str">
        <f ca="1">IFERROR(__xludf.DUMMYFUNCTION("""COMPUTED_VALUE"""),"31 de agosto")</f>
        <v>31 de agosto</v>
      </c>
      <c r="AJ21" s="17"/>
      <c r="AK21" s="17"/>
      <c r="AL21" s="17"/>
      <c r="AM21" s="17"/>
      <c r="AN21" s="17"/>
      <c r="AO21" s="17"/>
      <c r="AP21" s="17"/>
      <c r="AQ21" s="17"/>
      <c r="AR21" s="17"/>
      <c r="AS21" s="15"/>
      <c r="AT21" s="15"/>
      <c r="AU21" s="10"/>
    </row>
    <row r="22" spans="1:47" x14ac:dyDescent="0.25">
      <c r="A22" s="25"/>
      <c r="B22" s="86"/>
      <c r="C22" s="86"/>
      <c r="D22" s="87"/>
      <c r="E22" s="76"/>
      <c r="F22" s="61"/>
      <c r="G22" s="61"/>
      <c r="H22" s="61"/>
      <c r="I22" s="61"/>
      <c r="J22" s="61"/>
      <c r="K22" s="61"/>
      <c r="L22" s="61"/>
      <c r="M22" s="61"/>
      <c r="N22" s="61"/>
      <c r="O22" s="61"/>
      <c r="P22" s="61"/>
      <c r="Q22" s="61"/>
      <c r="R22" s="36" t="str">
        <f ca="1">IFERROR(__xludf.DUMMYFUNCTION("""COMPUTED_VALUE"""),"")</f>
        <v/>
      </c>
      <c r="S22" s="37" t="str">
        <f ca="1">IFERROR(__xludf.DUMMYFUNCTION("""COMPUTED_VALUE"""),"")</f>
        <v/>
      </c>
      <c r="T22" s="46"/>
      <c r="U22" s="26"/>
      <c r="V22" s="76"/>
      <c r="W22" s="76"/>
      <c r="X22" s="76"/>
      <c r="Y22" s="76"/>
      <c r="Z22" s="15" t="str">
        <f ca="1">IFERROR(__xludf.DUMMYFUNCTION("""COMPUTED_VALUE"""),"30 de diciembre")</f>
        <v>30 de diciembre</v>
      </c>
      <c r="AA22" s="17"/>
      <c r="AB22" s="17"/>
      <c r="AC22" s="15"/>
      <c r="AD22" s="17"/>
      <c r="AE22" s="18" t="str">
        <f ca="1">IFERROR(__xludf.DUMMYFUNCTION("""COMPUTED_VALUE"""),"Evidencia")</f>
        <v>Evidencia</v>
      </c>
      <c r="AF22" s="15"/>
      <c r="AG22" s="15"/>
      <c r="AH22" s="15"/>
      <c r="AI22" s="24" t="str">
        <f ca="1">IFERROR(__xludf.DUMMYFUNCTION("""COMPUTED_VALUE"""),"31 de diciembre")</f>
        <v>31 de diciembre</v>
      </c>
      <c r="AJ22" s="17"/>
      <c r="AK22" s="17"/>
      <c r="AL22" s="17"/>
      <c r="AM22" s="17"/>
      <c r="AN22" s="17"/>
      <c r="AO22" s="17"/>
      <c r="AP22" s="17"/>
      <c r="AQ22" s="17"/>
      <c r="AR22" s="17"/>
      <c r="AS22" s="15"/>
      <c r="AT22" s="15"/>
      <c r="AU22" s="10"/>
    </row>
    <row r="23" spans="1:47" ht="409.5" x14ac:dyDescent="0.25">
      <c r="A23" s="25"/>
      <c r="B23" s="86"/>
      <c r="C23" s="86"/>
      <c r="D23" s="47" t="str">
        <f ca="1">IFERROR(__xludf.DUMMYFUNCTION("""COMPUTED_VALUE"""),"Posibilidad de afectación económica por falta de continuidad de las actividades académicas debido a eventos climáticos extremos (lluvias intensas, olas de calor, inundaciones, vientos fuertes, entre otros).")</f>
        <v>Posibilidad de afectación económica por falta de continuidad de las actividades académicas debido a eventos climáticos extremos (lluvias intensas, olas de calor, inundaciones, vientos fuertes, entre otros).</v>
      </c>
      <c r="E23" s="48" t="str">
        <f ca="1">IFERROR(__xludf.DUMMYFUNCTION("""COMPUTED_VALUE"""),"Institucional")</f>
        <v>Institucional</v>
      </c>
      <c r="F23" s="15" t="str">
        <f ca="1">IFERROR(__xludf.DUMMYFUNCTION("""COMPUTED_VALUE"""),"Gestión")</f>
        <v>Gestión</v>
      </c>
      <c r="G23" s="15" t="str">
        <f ca="1">IFERROR(__xludf.DUMMYFUNCTION("""COMPUTED_VALUE"""),"- Ocurrencia de eventos climáticos extremos (lluvias intensas, olas de calor, inundaciones) que impidan el desarrollo normal de las actividades de la Universidad")</f>
        <v>- Ocurrencia de eventos climáticos extremos (lluvias intensas, olas de calor, inundaciones) que impidan el desarrollo normal de las actividades de la Universidad</v>
      </c>
      <c r="H23" s="15" t="str">
        <f ca="1">IFERROR(__xludf.DUMMYFUNCTION("""COMPUTED_VALUE"""),"1. Incumplimiento de la planeación académica
2. Afectación de la infraestructura física y tecnológica de la Universidad 
3. Descenso en la satisfacción de los usuarios, frente a la prestación del servicio")</f>
        <v>1. Incumplimiento de la planeación académica
2. Afectación de la infraestructura física y tecnológica de la Universidad 
3. Descenso en la satisfacción de los usuarios, frente a la prestación del servicio</v>
      </c>
      <c r="I23" s="17" t="str">
        <f ca="1">IFERROR(__xludf.DUMMYFUNCTION("""COMPUTED_VALUE"""),"DIE_05")</f>
        <v>DIE_05</v>
      </c>
      <c r="J23" s="17" t="str">
        <f ca="1">IFERROR(__xludf.DUMMYFUNCTION("""COMPUTED_VALUE"""),"Media")</f>
        <v>Media</v>
      </c>
      <c r="K23" s="17" t="str">
        <f ca="1">IFERROR(__xludf.DUMMYFUNCTION("""COMPUTED_VALUE"""),"Mayor")</f>
        <v>Mayor</v>
      </c>
      <c r="L23" s="17" t="str">
        <f ca="1">IFERROR(__xludf.DUMMYFUNCTION("""COMPUTED_VALUE"""),"Extrema")</f>
        <v>Extrema</v>
      </c>
      <c r="M23" s="15" t="str">
        <f ca="1">IFERROR(__xludf.DUMMYFUNCTION("""COMPUTED_VALUE"""),"- El consejo académico analizará la situación y en caso de que lo considere pertinente, realizará modificaciones al calendario académico, cuando se presenten interrupciones en la prestación del servicio- El SG-SST definió el ""Plan de control y prevención"&amp;" de emergencias"", en el cual se contemplan las acciones a seguir frente a la ocurrencia de emergencias en la Universidad, el cual se activa cuando estas se presentan- El SGA formuló el Plan Institucional de Gestión Ambiental, mediante el cual busca minim"&amp;"izar el impacto ambiental negativo de la Universidad, el cual se monitorea de manera anual- El SGA lidera la realización de jornadas anuales de reforestación, recolección de residuos ordinarios y especiales, entre otras, con el fin de mitigar el impacto d"&amp;"el cambio climático en su área de influencia directa- La Universidad implementó el curso en modalidad de electiva denominado ""Sostenibilidad ambiental, cambio climático y gestión del riesgo"", el cual está disponible de manera semestral para todos los pr"&amp;"ogramas académicos de pregrado; y mediante el cual busca brindar a los estudiantes conocimientos, habilidades y aptitudes esenciales para comprender y abordar los desafíos sociambientales, impactando a la sociedad")</f>
        <v>- El consejo académico analizará la situación y en caso de que lo considere pertinente, realizará modificaciones al calendario académico, cuando se presenten interrupciones en la prestación del servicio- El SG-SST definió el "Plan de control y prevención de emergencias", en el cual se contemplan las acciones a seguir frente a la ocurrencia de emergencias en la Universidad, el cual se activa cuando estas se presentan- El SGA formuló el Plan Institucional de Gestión Ambiental, mediante el cual busca minimizar el impacto ambiental negativo de la Universidad, el cual se monitorea de manera anual- El SGA lidera la realización de jornadas anuales de reforestación, recolección de residuos ordinarios y especiales, entre otras, con el fin de mitigar el impacto del cambio climático en su área de influencia directa- La Universidad implementó el curso en modalidad de electiva denominado "Sostenibilidad ambiental, cambio climático y gestión del riesgo", el cual está disponible de manera semestral para todos los programas académicos de pregrado; y mediante el cual busca brindar a los estudiantes conocimientos, habilidades y aptitudes esenciales para comprender y abordar los desafíos sociambientales, impactando a la sociedad</v>
      </c>
      <c r="N23" s="17" t="str">
        <f ca="1">IFERROR(__xludf.DUMMYFUNCTION("""COMPUTED_VALUE"""),"Baja")</f>
        <v>Baja</v>
      </c>
      <c r="O23" s="17" t="str">
        <f ca="1">IFERROR(__xludf.DUMMYFUNCTION("""COMPUTED_VALUE"""),"Menor")</f>
        <v>Menor</v>
      </c>
      <c r="P23" s="49" t="str">
        <f ca="1">IFERROR(__xludf.DUMMYFUNCTION("""COMPUTED_VALUE"""),"Baja")</f>
        <v>Baja</v>
      </c>
      <c r="Q23" s="50" t="str">
        <f ca="1">IFERROR(__xludf.DUMMYFUNCTION("""COMPUTED_VALUE"""),"Reducir")</f>
        <v>Reducir</v>
      </c>
      <c r="R23" s="51" t="str">
        <f ca="1">IFERROR(__xludf.DUMMYFUNCTION("""COMPUTED_VALUE"""),"Debido a que el riesgo se ubica en zona baja, no se establecen acciones de tratamiento, sin embargo se monitorea la aplicación de los controles")</f>
        <v>Debido a que el riesgo se ubica en zona baja, no se establecen acciones de tratamiento, sin embargo se monitorea la aplicación de los controles</v>
      </c>
      <c r="S23" s="52" t="str">
        <f ca="1">IFERROR(__xludf.DUMMYFUNCTION("""COMPUTED_VALUE"""),"N/A")</f>
        <v>N/A</v>
      </c>
      <c r="T23" s="50" t="str">
        <f ca="1">IFERROR(__xludf.DUMMYFUNCTION("""COMPUTED_VALUE"""),"N/A")</f>
        <v>N/A</v>
      </c>
      <c r="U23" s="51" t="str">
        <f ca="1">IFERROR(__xludf.DUMMYFUNCTION("""COMPUTED_VALUE"""),"N/A")</f>
        <v>N/A</v>
      </c>
      <c r="V23" s="47" t="str">
        <f ca="1">IFERROR(__xludf.DUMMYFUNCTION("""COMPUTED_VALUE"""),"Realizar modificaciones al calendario académico, cuando se presenten interrupciones en la prestación del servicio, debido a la ocurrencia de eventos climáticos extremos (lluvias intensas, olas de calor, inundaciones) que impidan el desarrollo normal de la"&amp;"s actividades de la Universidad")</f>
        <v>Realizar modificaciones al calendario académico, cuando se presenten interrupciones en la prestación del servicio, debido a la ocurrencia de eventos climáticos extremos (lluvias intensas, olas de calor, inundaciones) que impidan el desarrollo normal de las actividades de la Universidad</v>
      </c>
      <c r="W23" s="53" t="str">
        <f ca="1">IFERROR(__xludf.DUMMYFUNCTION("""COMPUTED_VALUE"""),"Acto administrativo de modificación del calendario académico")</f>
        <v>Acto administrativo de modificación del calendario académico</v>
      </c>
      <c r="X23" s="53" t="str">
        <f ca="1">IFERROR(__xludf.DUMMYFUNCTION("""COMPUTED_VALUE"""),"Consejo Académico")</f>
        <v>Consejo Académico</v>
      </c>
      <c r="Y23" s="53" t="str">
        <f ca="1">IFERROR(__xludf.DUMMYFUNCTION("""COMPUTED_VALUE"""),"1 mes")</f>
        <v>1 mes</v>
      </c>
      <c r="Z23" s="15" t="str">
        <f ca="1">IFERROR(__xludf.DUMMYFUNCTION("""COMPUTED_VALUE"""),"30 de abril")</f>
        <v>30 de abril</v>
      </c>
      <c r="AA23" s="17" t="str">
        <f ca="1">IFERROR(__xludf.DUMMYFUNCTION("""COMPUTED_VALUE"""),"20 de enero a 30 de abril del 2026")</f>
        <v>20 de enero a 30 de abril del 2026</v>
      </c>
      <c r="AB23" s="17" t="str">
        <f ca="1">IFERROR(__xludf.DUMMYFUNCTION("""COMPUTED_VALUE"""),"No")</f>
        <v>No</v>
      </c>
      <c r="AC23" s="15" t="str">
        <f ca="1">IFERROR(__xludf.DUMMYFUNCTION("""COMPUTED_VALUE"""),"Acciones asociadas a la ejecución de los controles:
C1: No fue necesaria la aplicación de este control, pues no se presentaron fenómenos climáticos extremos que interrumpieran la operación de la Universidad
C2: El SG-SST cuenta con el El plan de control y"&amp;" prevención de emergencias, el cual no se activó, pues no se presentaron emergencias en los campus de la Universidad, sin embargo se carga el documento, para evidenciar su existencia
C3: Se realizó el seguimiento al Plan Institucional de Gestión Ambiental"&amp;" correspondiente a la vigencia 2025, el cual tuvo una ejecución del 99.82%
C4: Desde el Sistema de Gestión Ambiental se han realizado actividades tendientes a mitigar el impacto del cambio climático en el área de influencia directa de la Universidad como:"&amp;"
       - Adhesión a la Jornada de recolección de residuos posconsumo liderada por CORMACARENA (Se adjunta evidencia fotográfica)
       - Jornada de reforestación de la ronda hídrica del caño piñalito (Se adjunta evidencia fotográfica y videos)
       - "&amp;"Jornada de capacitación a la comunidad universitaria sobre buenas prácticas ambientales y adaptación al cambio climático (Se adjuntan listados de asistencia)
C5: El curso ""Sostenibilidad ambiental, cambio climático y gestión del riesgo"" en modalidad de "&amp;"electiva, se encuentra dispobible para los estudiantes de todos los programas académicos de la Universidad
Acciones asociadas al tratamiento:
Debido a que el riesgo se ubica en zona de riesgo baja, no se establecen acciones de tratamiento, sin embargo, s"&amp;"e monitorea la aplicación de los controles ")</f>
        <v xml:space="preserve">Acciones asociadas a la ejecución de los controles:
C1: No fue necesaria la aplicación de este control, pues no se presentaron fenómenos climáticos extremos que interrumpieran la operación de la Universidad
C2: El SG-SST cuenta con el El plan de control y prevención de emergencias, el cual no se activó, pues no se presentaron emergencias en los campus de la Universidad, sin embargo se carga el documento, para evidenciar su existencia
C3: Se realizó el seguimiento al Plan Institucional de Gestión Ambiental correspondiente a la vigencia 2025, el cual tuvo una ejecución del 99.82%
C4: Desde el Sistema de Gestión Ambiental se han realizado actividades tendientes a mitigar el impacto del cambio climático en el área de influencia directa de la Universidad como:
       - Adhesión a la Jornada de recolección de residuos posconsumo liderada por CORMACARENA (Se adjunta evidencia fotográfica)
       - Jornada de reforestación de la ronda hídrica del caño piñalito (Se adjunta evidencia fotográfica y videos)
       - Jornada de capacitación a la comunidad universitaria sobre buenas prácticas ambientales y adaptación al cambio climático (Se adjuntan listados de asistencia)
C5: El curso "Sostenibilidad ambiental, cambio climático y gestión del riesgo" en modalidad de electiva, se encuentra dispobible para los estudiantes de todos los programas académicos de la Universidad
Acciones asociadas al tratamiento:
Debido a que el riesgo se ubica en zona de riesgo baja, no se establecen acciones de tratamiento, sin embargo, se monitorea la aplicación de los controles </v>
      </c>
      <c r="AD23" s="17" t="str">
        <f ca="1">IFERROR(__xludf.DUMMYFUNCTION("""COMPUTED_VALUE"""),"Institución")</f>
        <v>Institución</v>
      </c>
      <c r="AE23" s="18" t="str">
        <f ca="1">IFERROR(__xludf.DUMMYFUNCTION("""COMPUTED_VALUE"""),"Evidencia")</f>
        <v>Evidencia</v>
      </c>
      <c r="AF23" s="15" t="str">
        <f ca="1">IFERROR(__xludf.DUMMYFUNCTION("""COMPUTED_VALUE"""),"Si")</f>
        <v>Si</v>
      </c>
      <c r="AG23" s="15" t="str">
        <f ca="1">IFERROR(__xludf.DUMMYFUNCTION("""COMPUTED_VALUE"""),"Ejecutada")</f>
        <v>Ejecutada</v>
      </c>
      <c r="AH23" s="15" t="str">
        <f ca="1">IFERROR(__xludf.DUMMYFUNCTION("""COMPUTED_VALUE"""),"C1: No fue necesaria la aplicación de este control, debido a que no se presentaron fenómenos climáticos extremos que afectaran la continuidad de las actividades de la Universidad.
C2: Se evidenció el “Plan de control y prevención de emergencias” definido"&amp;" por el SG-SST, el cual se mantiene vigente para la atención de emergencias institucionales.
C3: Se evidenció seguimiento al Plan Institucional de Gestión Ambiental – PIGA correspondiente a la vigencia 2025, reportando una ejecución del 99,82%.
C4: Se e"&amp;"videnció la realización de actividades ambientales orientadas a mitigar el impacto del cambio climático, tales como jornadas de reforestación, recolección de residuos y capacitaciones a la comunidad universitaria.
C5: Se evidenció la disponibilidad del c"&amp;"urso electivo “Sostenibilidad ambiental, cambio climático y gestión del riesgo” para estudiantes de programas de pregrado.
Materialización del riesgo: El riesgo no se materializó durante el periodo evaluado.
Conclusión: Las evidencias aportadas guardan "&amp;"relación con los controles establecidos y permiten verificar su ejecución durante el periodo monitoreado.")</f>
        <v>C1: No fue necesaria la aplicación de este control, debido a que no se presentaron fenómenos climáticos extremos que afectaran la continuidad de las actividades de la Universidad.
C2: Se evidenció el “Plan de control y prevención de emergencias” definido por el SG-SST, el cual se mantiene vigente para la atención de emergencias institucionales.
C3: Se evidenció seguimiento al Plan Institucional de Gestión Ambiental – PIGA correspondiente a la vigencia 2025, reportando una ejecución del 99,82%.
C4: Se evidenció la realización de actividades ambientales orientadas a mitigar el impacto del cambio climático, tales como jornadas de reforestación, recolección de residuos y capacitaciones a la comunidad universitaria.
C5: Se evidenció la disponibilidad del curso electivo “Sostenibilidad ambiental, cambio climático y gestión del riesgo” para estudiantes de programas de pregrado.
Materialización del riesgo: El riesgo no se materializó durante el periodo evaluado.
Conclusión: Las evidencias aportadas guardan relación con los controles establecidos y permiten verificar su ejecución durante el periodo monitoreado.</v>
      </c>
      <c r="AI23" s="24"/>
      <c r="AJ23" s="17" t="str">
        <f ca="1">IFERROR(__xludf.DUMMYFUNCTION("""COMPUTED_VALUE"""),"Si")</f>
        <v>Si</v>
      </c>
      <c r="AK23" s="17" t="str">
        <f ca="1">IFERROR(__xludf.DUMMYFUNCTION("""COMPUTED_VALUE"""),"Si")</f>
        <v>Si</v>
      </c>
      <c r="AL23" s="17" t="str">
        <f ca="1">IFERROR(__xludf.DUMMYFUNCTION("""COMPUTED_VALUE"""),"Si")</f>
        <v>Si</v>
      </c>
      <c r="AM23" s="17" t="str">
        <f ca="1">IFERROR(__xludf.DUMMYFUNCTION("""COMPUTED_VALUE"""),"Si")</f>
        <v>Si</v>
      </c>
      <c r="AN23" s="17" t="str">
        <f ca="1">IFERROR(__xludf.DUMMYFUNCTION("""COMPUTED_VALUE"""),"Si")</f>
        <v>Si</v>
      </c>
      <c r="AO23" s="17" t="str">
        <f ca="1">IFERROR(__xludf.DUMMYFUNCTION("""COMPUTED_VALUE"""),"No")</f>
        <v>No</v>
      </c>
      <c r="AP23" s="17" t="str">
        <f ca="1">IFERROR(__xludf.DUMMYFUNCTION("""COMPUTED_VALUE"""),"No")</f>
        <v>No</v>
      </c>
      <c r="AQ23" s="17" t="str">
        <f ca="1">IFERROR(__xludf.DUMMYFUNCTION("""COMPUTED_VALUE"""),"No")</f>
        <v>No</v>
      </c>
      <c r="AR23" s="17" t="str">
        <f ca="1">IFERROR(__xludf.DUMMYFUNCTION("""COMPUTED_VALUE"""),"No")</f>
        <v>No</v>
      </c>
      <c r="AS23" s="15" t="str">
        <f ca="1">IFERROR(__xludf.DUMMYFUNCTION("""COMPUTED_VALUE"""),"No aplica")</f>
        <v>No aplica</v>
      </c>
      <c r="AT23" s="15" t="str">
        <f ca="1">IFERROR(__xludf.DUMMYFUNCTION("""COMPUTED_VALUE"""),"Recomendaciones:
Revisar y fortalecer el diseño de los controles, considerando la metodología de la Guía para la Gestión Integral del Riesgo del DAFP (Versión 7, 2025):
- El consejo académico analizará la situación y en caso de que lo considere pertinent"&amp;"e, realizará modificaciones al calendario académico, cuando se presenten interrupciones en la prestación del servicio. 
Recomendación de mejora: Enfatizar el control en ""Modificar y reprogramar el calendario académico por parte del Consejo Académico, me"&amp;"diante acto administrativo, ante interrupciones del servicio superiores a (definir tiempo, ej. 3 días) causadas por eventos climáticos.
Fundamento de la mejora: Elimina la subjetividad y define un soporte legal (acto administrativo).
- El SG-SST definió "&amp;"el ""Plan de control y prevención de emergencias"", en el cual se contemplan las acciones a seguir frente a la ocurrencia de emergencias en la Universidad, el cual se activa cuando estas se presentan
Recomendación de mejora: Enfocar la redacción hacia """&amp;"Ejecutar el protocolo de respuesta ante eventos climáticos contenido en el Plan de Prevención, Preparación y Respuesta ante Emergencias, incluyendo brigadas de reacción y reporte de daños en tiempo real.
Fundamento de la mejora: Un control no es ""definir"&amp;" el plan"", eso es planeación, el control es ejecutarlo. Debe enfocarse en la acción operativa.
- El SGA formuló el Plan Institucional de Gestión Ambiental, mediante el cual busca minimizar el impacto ambiental negativo de la Universidad, el cual se moni"&amp;"torea de manera anual
Recomendación de mejora: Enfocar la acción de control hacia ""Monitorear anualmente el cumplimiento de las metas de mitigación del Plan Institucional de Gestión Ambiental (PIGA), mediante el análisis de indicadores de impacto climát"&amp;"ico y reporte de desempeño ambiental.
Fundamento de la mejora: El control debe centrarse en el seguimiento y los indicadores, no en la existencia del documento.
- El SGA lidera la realización de jornadas anuales de reforestación, recolección de residuos "&amp;"ordinarios y especiales, entre otras, con el fin de mitigar el impacto del cambio climático en su área de influencia directa.
Recomendación de mejora: Enfocar la redacción en la Ejecución de jornadas anuales de reforestación y gestión de residuos en área"&amp;"s de riesgo crítico, verificadas mediante registros de asistencia y certificados de disposición final.
Fundamento de la mejora:  Añade la verificación física y documental, necesaria para la verificación de la implementación  del control.
- La Universidad"&amp;" implementó el curso en modalidad de electiva denominado ""Sostenibilidad ambiental, cambio climático y gestión del riesgo"", el cual está disponible de manera semestral para todos los programas académicos de pregrado; y mediante el cual busca brindar a l"&amp;"os estudiantes conocimientos, habilidades y aptitudes esenciales para comprender y abordar los desafíos sociambientales, impactando a la sociedad
Recomendación de mejora: Desarrollar semestralmente la asignatura electiva 'Sostenibilidad Ambiental y Gesti"&amp;"ón del Riesgo', evaluando el nivel de competencia adquirido por los estudiantes mediante reporte de notas y cobertura de cupos. En todo caso, evaluar si esta acción realmente se puede constituir como un control o como una acción asociada a los controles a"&amp;"nteriores, toda vez que es dificil medir de manera directa su efecto sobre la mitigación o reducción del riesgo.
Fundamento de la mejora: Un control preventivo basado en capacitación debe medir si la capacitación efectivamente ocurrió y cuántas personas a"&amp;"lcanzó y tuvo efecto sobre los factores de riesgo identificados.")</f>
        <v>Recomendaciones:
Revisar y fortalecer el diseño de los controles, considerando la metodología de la Guía para la Gestión Integral del Riesgo del DAFP (Versión 7, 2025):
- El consejo académico analizará la situación y en caso de que lo considere pertinente, realizará modificaciones al calendario académico, cuando se presenten interrupciones en la prestación del servicio. 
Recomendación de mejora: Enfatizar el control en "Modificar y reprogramar el calendario académico por parte del Consejo Académico, mediante acto administrativo, ante interrupciones del servicio superiores a (definir tiempo, ej. 3 días) causadas por eventos climáticos.
Fundamento de la mejora: Elimina la subjetividad y define un soporte legal (acto administrativo).
- El SG-SST definió el "Plan de control y prevención de emergencias", en el cual se contemplan las acciones a seguir frente a la ocurrencia de emergencias en la Universidad, el cual se activa cuando estas se presentan
Recomendación de mejora: Enfocar la redacción hacia "Ejecutar el protocolo de respuesta ante eventos climáticos contenido en el Plan de Prevención, Preparación y Respuesta ante Emergencias, incluyendo brigadas de reacción y reporte de daños en tiempo real.
Fundamento de la mejora: Un control no es "definir el plan", eso es planeación, el control es ejecutarlo. Debe enfocarse en la acción operativa.
- El SGA formuló el Plan Institucional de Gestión Ambiental, mediante el cual busca minimizar el impacto ambiental negativo de la Universidad, el cual se monitorea de manera anual
Recomendación de mejora: Enfocar la acción de control hacia "Monitorear anualmente el cumplimiento de las metas de mitigación del Plan Institucional de Gestión Ambiental (PIGA), mediante el análisis de indicadores de impacto climático y reporte de desempeño ambiental.
Fundamento de la mejora: El control debe centrarse en el seguimiento y los indicadores, no en la existencia del documento.
- El SGA lidera la realización de jornadas anuales de reforestación, recolección de residuos ordinarios y especiales, entre otras, con el fin de mitigar el impacto del cambio climático en su área de influencia directa.
Recomendación de mejora: Enfocar la redacción en la Ejecución de jornadas anuales de reforestación y gestión de residuos en áreas de riesgo crítico, verificadas mediante registros de asistencia y certificados de disposición final.
Fundamento de la mejora:  Añade la verificación física y documental, necesaria para la verificación de la implementación  del control.
- La Universidad implementó el curso en modalidad de electiva denominado "Sostenibilidad ambiental, cambio climático y gestión del riesgo", el cual está disponible de manera semestral para todos los programas académicos de pregrado; y mediante el cual busca brindar a los estudiantes conocimientos, habilidades y aptitudes esenciales para comprender y abordar los desafíos sociambientales, impactando a la sociedad
Recomendación de mejora: Desarrollar semestralmente la asignatura electiva 'Sostenibilidad Ambiental y Gestión del Riesgo', evaluando el nivel de competencia adquirido por los estudiantes mediante reporte de notas y cobertura de cupos. En todo caso, evaluar si esta acción realmente se puede constituir como un control o como una acción asociada a los controles anteriores, toda vez que es dificil medir de manera directa su efecto sobre la mitigación o reducción del riesgo.
Fundamento de la mejora: Un control preventivo basado en capacitación debe medir si la capacitación efectivamente ocurrió y cuántas personas alcanzó y tuvo efecto sobre los factores de riesgo identificados.</v>
      </c>
      <c r="AU23" s="10"/>
    </row>
    <row r="24" spans="1:47" hidden="1" x14ac:dyDescent="0.25">
      <c r="A24" s="25"/>
      <c r="B24" s="86"/>
      <c r="C24" s="86"/>
      <c r="D24" s="47"/>
      <c r="E24" s="48"/>
      <c r="F24" s="15"/>
      <c r="G24" s="15"/>
      <c r="H24" s="15"/>
      <c r="I24" s="17"/>
      <c r="J24" s="17"/>
      <c r="K24" s="17"/>
      <c r="L24" s="17"/>
      <c r="M24" s="15"/>
      <c r="N24" s="17"/>
      <c r="O24" s="17"/>
      <c r="P24" s="49"/>
      <c r="Q24" s="50"/>
      <c r="R24" s="51" t="str">
        <f ca="1">IFERROR(__xludf.DUMMYFUNCTION("""COMPUTED_VALUE"""),"")</f>
        <v/>
      </c>
      <c r="S24" s="52" t="str">
        <f ca="1">IFERROR(__xludf.DUMMYFUNCTION("""COMPUTED_VALUE"""),"")</f>
        <v/>
      </c>
      <c r="T24" s="50"/>
      <c r="U24" s="51"/>
      <c r="V24" s="47"/>
      <c r="W24" s="53"/>
      <c r="X24" s="53"/>
      <c r="Y24" s="53"/>
      <c r="Z24" s="15" t="str">
        <f ca="1">IFERROR(__xludf.DUMMYFUNCTION("""COMPUTED_VALUE"""),"30 de agosto")</f>
        <v>30 de agosto</v>
      </c>
      <c r="AA24" s="17"/>
      <c r="AB24" s="17"/>
      <c r="AC24" s="15"/>
      <c r="AD24" s="17"/>
      <c r="AE24" s="54"/>
      <c r="AF24" s="15"/>
      <c r="AG24" s="15"/>
      <c r="AH24" s="15"/>
      <c r="AI24" s="24"/>
      <c r="AJ24" s="17"/>
      <c r="AK24" s="17"/>
      <c r="AL24" s="17"/>
      <c r="AM24" s="17"/>
      <c r="AN24" s="17"/>
      <c r="AO24" s="17"/>
      <c r="AP24" s="17"/>
      <c r="AQ24" s="17"/>
      <c r="AR24" s="17"/>
      <c r="AS24" s="15"/>
      <c r="AT24" s="15"/>
      <c r="AU24" s="10"/>
    </row>
    <row r="25" spans="1:47" hidden="1" x14ac:dyDescent="0.25">
      <c r="A25" s="25"/>
      <c r="B25" s="87"/>
      <c r="C25" s="87"/>
      <c r="D25" s="47"/>
      <c r="E25" s="48"/>
      <c r="F25" s="15"/>
      <c r="G25" s="15"/>
      <c r="H25" s="15"/>
      <c r="I25" s="17"/>
      <c r="J25" s="17"/>
      <c r="K25" s="17"/>
      <c r="L25" s="17"/>
      <c r="M25" s="15"/>
      <c r="N25" s="17"/>
      <c r="O25" s="17"/>
      <c r="P25" s="49"/>
      <c r="Q25" s="50"/>
      <c r="R25" s="51" t="str">
        <f ca="1">IFERROR(__xludf.DUMMYFUNCTION("""COMPUTED_VALUE"""),"")</f>
        <v/>
      </c>
      <c r="S25" s="52" t="str">
        <f ca="1">IFERROR(__xludf.DUMMYFUNCTION("""COMPUTED_VALUE"""),"")</f>
        <v/>
      </c>
      <c r="T25" s="50"/>
      <c r="U25" s="51"/>
      <c r="V25" s="47"/>
      <c r="W25" s="53"/>
      <c r="X25" s="53"/>
      <c r="Y25" s="53"/>
      <c r="Z25" s="15" t="str">
        <f ca="1">IFERROR(__xludf.DUMMYFUNCTION("""COMPUTED_VALUE"""),"30 de diciembre")</f>
        <v>30 de diciembre</v>
      </c>
      <c r="AA25" s="17"/>
      <c r="AB25" s="17"/>
      <c r="AC25" s="15"/>
      <c r="AD25" s="17"/>
      <c r="AE25" s="54"/>
      <c r="AF25" s="15"/>
      <c r="AG25" s="15"/>
      <c r="AH25" s="15"/>
      <c r="AI25" s="24"/>
      <c r="AJ25" s="17"/>
      <c r="AK25" s="17"/>
      <c r="AL25" s="17"/>
      <c r="AM25" s="17"/>
      <c r="AN25" s="17"/>
      <c r="AO25" s="17"/>
      <c r="AP25" s="17"/>
      <c r="AQ25" s="17"/>
      <c r="AR25" s="17"/>
      <c r="AS25" s="15"/>
      <c r="AT25" s="15"/>
      <c r="AU25" s="10"/>
    </row>
    <row r="26" spans="1:47" ht="264" x14ac:dyDescent="0.25">
      <c r="A26" s="25"/>
      <c r="B26" s="90" t="s">
        <v>60</v>
      </c>
      <c r="C26" s="85" t="str">
        <f ca="1">IFERROR(__xludf.DUMMYFUNCTION("IMPORTRANGE(""https://docs.google.com/spreadsheets/d/1xU66e8UA38blszsDSTBM41Z_RAIr0zQxjTmTsI0OqUQ/edit?gid=2098233099#gid=2098233099"",""Matriz_riesgos!C11:AT16"")"),"Optimizar la comunicación interna y externa, vertical y horizontal de la Universidad de los Llanos, fijando los lineamientos y promoviendo acciones que incidan de manera activa en el fortalecimiento de procesos de identidad, gobernabilidad y convivencia. ")</f>
        <v xml:space="preserve">Optimizar la comunicación interna y externa, vertical y horizontal de la Universidad de los Llanos, fijando los lineamientos y promoviendo acciones que incidan de manera activa en el fortalecimiento de procesos de identidad, gobernabilidad y convivencia. </v>
      </c>
      <c r="D26" s="85" t="str">
        <f ca="1">IFERROR(__xludf.DUMMYFUNCTION("""COMPUTED_VALUE"""),"Afectación reputacional por uso inadecuado de la imagen institucional, debido a debilidades en la aplicación de controles en el uso de la marca y los símbolos institucionales")</f>
        <v>Afectación reputacional por uso inadecuado de la imagen institucional, debido a debilidades en la aplicación de controles en el uso de la marca y los símbolos institucionales</v>
      </c>
      <c r="E26" s="88" t="str">
        <f ca="1">IFERROR(__xludf.DUMMYFUNCTION("""COMPUTED_VALUE"""),"Área de Comunicaciones")</f>
        <v>Área de Comunicaciones</v>
      </c>
      <c r="F26" s="63" t="str">
        <f ca="1">IFERROR(__xludf.DUMMYFUNCTION("""COMPUTED_VALUE"""),"Gestión")</f>
        <v>Gestión</v>
      </c>
      <c r="G26" s="63" t="str">
        <f ca="1">IFERROR(__xludf.DUMMYFUNCTION("""COMPUTED_VALUE"""),"- Insuficiente seguimiento a la implementación y uso de la marca y símbolos institucionales- Desconocimiento del Manual de Identidad Visual- Desconocimiento del procedimiento para el uso del logotipo de la Universidad (PD-COM-04)")</f>
        <v>- Insuficiente seguimiento a la implementación y uso de la marca y símbolos institucionales- Desconocimiento del Manual de Identidad Visual- Desconocimiento del procedimiento para el uso del logotipo de la Universidad (PD-COM-04)</v>
      </c>
      <c r="H26" s="63" t="str">
        <f ca="1">IFERROR(__xludf.DUMMYFUNCTION("""COMPUTED_VALUE"""),"1. Afectación a la imagen institucional
2. Inexistencia de uniformidad de la imagen institucional
3. Beneficio de terceros al hacer uso de la imagen institucional")</f>
        <v>1. Afectación a la imagen institucional
2. Inexistencia de uniformidad de la imagen institucional
3. Beneficio de terceros al hacer uso de la imagen institucional</v>
      </c>
      <c r="I26" s="65" t="str">
        <f ca="1">IFERROR(__xludf.DUMMYFUNCTION("""COMPUTED_VALUE"""),"COM_01")</f>
        <v>COM_01</v>
      </c>
      <c r="J26" s="65" t="str">
        <f ca="1">IFERROR(__xludf.DUMMYFUNCTION("""COMPUTED_VALUE"""),"Alta")</f>
        <v>Alta</v>
      </c>
      <c r="K26" s="65" t="str">
        <f ca="1">IFERROR(__xludf.DUMMYFUNCTION("""COMPUTED_VALUE"""),"Moderado")</f>
        <v>Moderado</v>
      </c>
      <c r="L26" s="65" t="str">
        <f ca="1">IFERROR(__xludf.DUMMYFUNCTION("""COMPUTED_VALUE"""),"Alta")</f>
        <v>Alta</v>
      </c>
      <c r="M26" s="63" t="str">
        <f ca="1">IFERROR(__xludf.DUMMYFUNCTION("""COMPUTED_VALUE"""),"- El profesional del área de comunicaciones evalúa las solicitudes de uso del logotipo de la Universidad, realizadas a través del formulario, y emite recomendaciones en caso de que se consideren pertinentes.
- La Universidad establece los lineamientos par"&amp;"a el uso de los símbolos institucionales, mediante el manual de identidad visual.
- El área de comunicaciones, cuenta con un formulario para el reporte de mal uso del logo institucional  ")</f>
        <v xml:space="preserve">- El profesional del área de comunicaciones evalúa las solicitudes de uso del logotipo de la Universidad, realizadas a través del formulario, y emite recomendaciones en caso de que se consideren pertinentes.
- La Universidad establece los lineamientos para el uso de los símbolos institucionales, mediante el manual de identidad visual.
- El área de comunicaciones, cuenta con un formulario para el reporte de mal uso del logo institucional  </v>
      </c>
      <c r="N26" s="65" t="str">
        <f ca="1">IFERROR(__xludf.DUMMYFUNCTION("""COMPUTED_VALUE"""),"Baja")</f>
        <v>Baja</v>
      </c>
      <c r="O26" s="65" t="str">
        <f ca="1">IFERROR(__xludf.DUMMYFUNCTION("""COMPUTED_VALUE"""),"Moderado")</f>
        <v>Moderado</v>
      </c>
      <c r="P26" s="65" t="str">
        <f ca="1">IFERROR(__xludf.DUMMYFUNCTION("""COMPUTED_VALUE"""),"Media")</f>
        <v>Media</v>
      </c>
      <c r="Q26" s="91" t="str">
        <f ca="1">IFERROR(__xludf.DUMMYFUNCTION("""COMPUTED_VALUE"""),"Reducir")</f>
        <v>Reducir</v>
      </c>
      <c r="R26" s="20" t="str">
        <f ca="1">IFERROR(__xludf.DUMMYFUNCTION("""COMPUTED_VALUE"""),"Realizar sensibilización a supervisores y jefes de oficina, sobre el uso adecuado de la marca institucional")</f>
        <v>Realizar sensibilización a supervisores y jefes de oficina, sobre el uso adecuado de la marca institucional</v>
      </c>
      <c r="S26" s="40" t="str">
        <f ca="1">IFERROR(__xludf.DUMMYFUNCTION("""COMPUTED_VALUE"""),"Semestral")</f>
        <v>Semestral</v>
      </c>
      <c r="T26" s="14" t="str">
        <f ca="1">IFERROR(__xludf.DUMMYFUNCTION("""COMPUTED_VALUE"""),"Coordinador Área de Comunicaciones")</f>
        <v>Coordinador Área de Comunicaciones</v>
      </c>
      <c r="U26" s="55" t="str">
        <f ca="1">IFERROR(__xludf.DUMMYFUNCTION("""COMPUTED_VALUE"""),"Registro fotográfico y/o correos enviados")</f>
        <v>Registro fotográfico y/o correos enviados</v>
      </c>
      <c r="V26" s="92" t="str">
        <f ca="1">IFERROR(__xludf.DUMMYFUNCTION("""COMPUTED_VALUE"""),"Investigación de casos reportados o detectados, y determinación de las acciones a realizar")</f>
        <v>Investigación de casos reportados o detectados, y determinación de las acciones a realizar</v>
      </c>
      <c r="W26" s="97" t="str">
        <f ca="1">IFERROR(__xludf.DUMMYFUNCTION("""COMPUTED_VALUE"""),"- Reportes de mal uso de la marca
- Registros de seguimiento a redes sociales
- Publicaciones en caso de que se requieran")</f>
        <v>- Reportes de mal uso de la marca
- Registros de seguimiento a redes sociales
- Publicaciones en caso de que se requieran</v>
      </c>
      <c r="X26" s="97" t="str">
        <f ca="1">IFERROR(__xludf.DUMMYFUNCTION("""COMPUTED_VALUE"""),"Profesional de apoyo de Comunicaciones")</f>
        <v>Profesional de apoyo de Comunicaciones</v>
      </c>
      <c r="Y26" s="97" t="str">
        <f ca="1">IFERROR(__xludf.DUMMYFUNCTION("""COMPUTED_VALUE"""),"15 días hábiles")</f>
        <v>15 días hábiles</v>
      </c>
      <c r="Z26" s="15" t="str">
        <f ca="1">IFERROR(__xludf.DUMMYFUNCTION("""COMPUTED_VALUE"""),"30 de abril")</f>
        <v>30 de abril</v>
      </c>
      <c r="AA26" s="56">
        <f ca="1">IFERROR(__xludf.DUMMYFUNCTION("""COMPUTED_VALUE"""),46059)</f>
        <v>46059</v>
      </c>
      <c r="AB26" s="17" t="str">
        <f ca="1">IFERROR(__xludf.DUMMYFUNCTION("""COMPUTED_VALUE"""),"No")</f>
        <v>No</v>
      </c>
      <c r="AC26" s="15" t="str">
        <f ca="1">IFERROR(__xludf.DUMMYFUNCTION("""COMPUTED_VALUE"""),"Durante este primer monitoreo NO se materializó el riesgo.
Acciones asociadas a la aplicación de controles de riesgo 
- Afectación a la imagen institucional
-Inexistencia de uniformidad de la imagen institucional 
-Beneficio de terceros al hacer uso de l"&amp;"a imagen institucional  
Avance sobre los controles: (acciones de tratamiento). 
Se llevaron a cabo acciones de tratamiento orientadas a sensibilizar a los supervisores y jefes de oficina sobre el uso adecuado de la marca institucional. Esta actividad se"&amp;" realiza de manera semestral. Como parte de estas acciones, se evidenció la socialización del plan de comunicaciones, en el cual se abordó el tema de la marca institucional ante los diferentes jefes de la Universidad de los Llanos, en donde se tiene como "&amp;"evidencia registro fotografico y correo enviados acerca de la socialización.")</f>
        <v>Durante este primer monitoreo NO se materializó el riesgo.
Acciones asociadas a la aplicación de controles de riesgo 
- Afectación a la imagen institucional
-Inexistencia de uniformidad de la imagen institucional 
-Beneficio de terceros al hacer uso de la imagen institucional  
Avance sobre los controles: (acciones de tratamiento). 
Se llevaron a cabo acciones de tratamiento orientadas a sensibilizar a los supervisores y jefes de oficina sobre el uso adecuado de la marca institucional. Esta actividad se realiza de manera semestral. Como parte de estas acciones, se evidenció la socialización del plan de comunicaciones, en el cual se abordó el tema de la marca institucional ante los diferentes jefes de la Universidad de los Llanos, en donde se tiene como evidencia registro fotografico y correo enviados acerca de la socialización.</v>
      </c>
      <c r="AD26" s="17" t="str">
        <f ca="1">IFERROR(__xludf.DUMMYFUNCTION("""COMPUTED_VALUE"""),"Jorge Fernandez")</f>
        <v>Jorge Fernandez</v>
      </c>
      <c r="AE26" s="18" t="str">
        <f ca="1">IFERROR(__xludf.DUMMYFUNCTION("""COMPUTED_VALUE"""),"Evidencia")</f>
        <v>Evidencia</v>
      </c>
      <c r="AF26" s="15" t="str">
        <f ca="1">IFERROR(__xludf.DUMMYFUNCTION("""COMPUTED_VALUE"""),"No")</f>
        <v>No</v>
      </c>
      <c r="AG26" s="15" t="str">
        <f ca="1">IFERROR(__xludf.DUMMYFUNCTION("""COMPUTED_VALUE"""),"En proceso")</f>
        <v>En proceso</v>
      </c>
      <c r="AH26" s="15" t="str">
        <f ca="1">IFERROR(__xludf.DUMMYFUNCTION("""COMPUTED_VALUE"""),"Durante este primer monitoreo NO se materializó el riesgo.
Se evidenció únicamente un correo de invitación relacionado con la socialización del uso de la marca institucional, el cual guarda relación con la acción de mejora reportada.
No se aportaron evi"&amp;"dencias que permitan verificar la ejecución de los controles establecidos en la matriz, relacionados con la evaluación de solicitudes de uso del logotipo, aplicación del manual de identidad visual y uso del formulario para reporte de mal uso del logo inst"&amp;"itucional.
Adicionalmente, el reporte del monitoreo describe consecuencias del riesgo y no actividades asociadas a la ejecución de los controles.
Se recomienda fortalecer la descripción del monitoreo y organizar las evidencias por cada control y acción "&amp;"de mejora para facilitar su trazabilidad y validación.")</f>
        <v>Durante este primer monitoreo NO se materializó el riesgo.
Se evidenció únicamente un correo de invitación relacionado con la socialización del uso de la marca institucional, el cual guarda relación con la acción de mejora reportada.
No se aportaron evidencias que permitan verificar la ejecución de los controles establecidos en la matriz, relacionados con la evaluación de solicitudes de uso del logotipo, aplicación del manual de identidad visual y uso del formulario para reporte de mal uso del logo institucional.
Adicionalmente, el reporte del monitoreo describe consecuencias del riesgo y no actividades asociadas a la ejecución de los controles.
Se recomienda fortalecer la descripción del monitoreo y organizar las evidencias por cada control y acción de mejora para facilitar su trazabilidad y validación.</v>
      </c>
      <c r="AI26" s="15" t="str">
        <f ca="1">IFERROR(__xludf.DUMMYFUNCTION("""COMPUTED_VALUE"""),"30 de abril")</f>
        <v>30 de abril</v>
      </c>
      <c r="AJ26" s="17" t="str">
        <f ca="1">IFERROR(__xludf.DUMMYFUNCTION("""COMPUTED_VALUE"""),"No")</f>
        <v>No</v>
      </c>
      <c r="AK26" s="17" t="str">
        <f ca="1">IFERROR(__xludf.DUMMYFUNCTION("""COMPUTED_VALUE"""),"Si")</f>
        <v>Si</v>
      </c>
      <c r="AL26" s="17" t="str">
        <f ca="1">IFERROR(__xludf.DUMMYFUNCTION("""COMPUTED_VALUE"""),"Si")</f>
        <v>Si</v>
      </c>
      <c r="AM26" s="17" t="str">
        <f ca="1">IFERROR(__xludf.DUMMYFUNCTION("""COMPUTED_VALUE"""),"Si")</f>
        <v>Si</v>
      </c>
      <c r="AN26" s="17" t="str">
        <f ca="1">IFERROR(__xludf.DUMMYFUNCTION("""COMPUTED_VALUE"""),"No")</f>
        <v>No</v>
      </c>
      <c r="AO26" s="17" t="str">
        <f ca="1">IFERROR(__xludf.DUMMYFUNCTION("""COMPUTED_VALUE"""),"No")</f>
        <v>No</v>
      </c>
      <c r="AP26" s="17" t="str">
        <f ca="1">IFERROR(__xludf.DUMMYFUNCTION("""COMPUTED_VALUE"""),"No")</f>
        <v>No</v>
      </c>
      <c r="AQ26" s="17" t="str">
        <f ca="1">IFERROR(__xludf.DUMMYFUNCTION("""COMPUTED_VALUE"""),"No")</f>
        <v>No</v>
      </c>
      <c r="AR26" s="17" t="str">
        <f ca="1">IFERROR(__xludf.DUMMYFUNCTION("""COMPUTED_VALUE"""),"No")</f>
        <v>No</v>
      </c>
      <c r="AS26" s="15" t="str">
        <f ca="1">IFERROR(__xludf.DUMMYFUNCTION("""COMPUTED_VALUE"""),"No aplica")</f>
        <v>No aplica</v>
      </c>
      <c r="AT26" s="15" t="str">
        <f ca="1">IFERROR(__xludf.DUMMYFUNCTION("""COMPUTED_VALUE"""),"En alineación con el resultado del monitoreo realizado por la Segunda Línea de Defensa, el proceso no aportó evidencias que soporten la ejecución de los controles, los cuales se describen así:
- El profesional del área de comunicaciones evalúa las solici"&amp;"tudes de uso del logotipo de la Universidad, realizadas a través del formulario, y emite recomendaciones en caso de que se consideren pertinentes.
- La Universidad establece los lineamientos para el uso de los símbolos institucionales, mediante el manual "&amp;"de identidad visual.
- El área de comunicaciones, cuenta con un formulario para el reporte de mal uso del logo institucional
Adicionalmente, el proceso reporta como resultado del monitoreo, los mismos aspectos que fueron identificados como ""Consecuencia"&amp;"s"" del riesgo.
- Afectación a la imagen institucional
-Inexistencia de uniformidad de la imagen institucional 
-Beneficio de terceros al hacer uso de la imagen institucional
Lo anterior,  no permitó evaluar la efectividad de los controles.
Recomendaci"&amp;"ones:
1. Fortalecer la descripción del riesgo, considerando la metodología de la Guía para la Administración del Riesgo y el diseño de controles en entidades públicas Versión 7, que propone los elementos para la descripción del riesgo, como son: Impacto+C"&amp;"ausa Inmediata+Causa Raíz.
2. Asegurar el reporte de las evidencias que permitan evidenciar la ejecución de los controles.
3. Asegurar la calidad de las  evidencias relacionadas con la ejecución de la acción de mejora asociada al tratamiento, toda vez, qu"&amp;"e el registro aportado sólo reponde a la invitación a reunión por parte del área de Comunicaciones y no se aportó evidencias de la ejecución de la misma.
")</f>
        <v xml:space="preserve">En alineación con el resultado del monitoreo realizado por la Segunda Línea de Defensa, el proceso no aportó evidencias que soporten la ejecución de los controles, los cuales se describen así:
- El profesional del área de comunicaciones evalúa las solicitudes de uso del logotipo de la Universidad, realizadas a través del formulario, y emite recomendaciones en caso de que se consideren pertinentes.
- La Universidad establece los lineamientos para el uso de los símbolos institucionales, mediante el manual de identidad visual.
- El área de comunicaciones, cuenta con un formulario para el reporte de mal uso del logo institucional
Adicionalmente, el proceso reporta como resultado del monitoreo, los mismos aspectos que fueron identificados como "Consecuencias" del riesgo.
- Afectación a la imagen institucional
-Inexistencia de uniformidad de la imagen institucional 
-Beneficio de terceros al hacer uso de la imagen institucional
Lo anterior,  no permitó evaluar la efectividad de los controles.
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Asegurar el reporte de las evidencias que permitan evidenciar la ejecución de los controles.
3. Asegurar la calidad de las  evidencias relacionadas con la ejecución de la acción de mejora asociada al tratamiento, toda vez, que el registro aportado sólo reponde a la invitación a reunión por parte del área de Comunicaciones y no se aportó evidencias de la ejecución de la misma.
</v>
      </c>
      <c r="AU26" s="10"/>
    </row>
    <row r="27" spans="1:47" x14ac:dyDescent="0.25">
      <c r="A27" s="25"/>
      <c r="B27" s="86"/>
      <c r="C27" s="86"/>
      <c r="D27" s="86"/>
      <c r="E27" s="89"/>
      <c r="F27" s="64"/>
      <c r="G27" s="64"/>
      <c r="H27" s="64"/>
      <c r="I27" s="64"/>
      <c r="J27" s="64"/>
      <c r="K27" s="64"/>
      <c r="L27" s="64"/>
      <c r="M27" s="64"/>
      <c r="N27" s="64"/>
      <c r="O27" s="64"/>
      <c r="P27" s="64"/>
      <c r="Q27" s="83"/>
      <c r="R27" s="20" t="str">
        <f ca="1">IFERROR(__xludf.DUMMYFUNCTION("""COMPUTED_VALUE"""),"")</f>
        <v/>
      </c>
      <c r="S27" s="42" t="str">
        <f ca="1">IFERROR(__xludf.DUMMYFUNCTION("""COMPUTED_VALUE"""),"")</f>
        <v/>
      </c>
      <c r="T27" s="34"/>
      <c r="U27" s="20"/>
      <c r="V27" s="89"/>
      <c r="W27" s="89"/>
      <c r="X27" s="89"/>
      <c r="Y27" s="89"/>
      <c r="Z27" s="15" t="str">
        <f ca="1">IFERROR(__xludf.DUMMYFUNCTION("""COMPUTED_VALUE"""),"30 de agosto")</f>
        <v>30 de agosto</v>
      </c>
      <c r="AA27" s="17"/>
      <c r="AB27" s="17"/>
      <c r="AC27" s="15"/>
      <c r="AD27" s="17"/>
      <c r="AE27" s="18" t="str">
        <f ca="1">IFERROR(__xludf.DUMMYFUNCTION("""COMPUTED_VALUE"""),"Evidencia")</f>
        <v>Evidencia</v>
      </c>
      <c r="AF27" s="15"/>
      <c r="AG27" s="15"/>
      <c r="AH27" s="15"/>
      <c r="AI27" s="24" t="str">
        <f ca="1">IFERROR(__xludf.DUMMYFUNCTION("""COMPUTED_VALUE"""),"31 de agosto")</f>
        <v>31 de agosto</v>
      </c>
      <c r="AJ27" s="17"/>
      <c r="AK27" s="17"/>
      <c r="AL27" s="17"/>
      <c r="AM27" s="17"/>
      <c r="AN27" s="17"/>
      <c r="AO27" s="17"/>
      <c r="AP27" s="17"/>
      <c r="AQ27" s="17"/>
      <c r="AR27" s="17"/>
      <c r="AS27" s="15"/>
      <c r="AT27" s="15"/>
      <c r="AU27" s="10"/>
    </row>
    <row r="28" spans="1:47" x14ac:dyDescent="0.25">
      <c r="A28" s="25"/>
      <c r="B28" s="86"/>
      <c r="C28" s="86"/>
      <c r="D28" s="87"/>
      <c r="E28" s="76"/>
      <c r="F28" s="61"/>
      <c r="G28" s="61"/>
      <c r="H28" s="61"/>
      <c r="I28" s="61"/>
      <c r="J28" s="61"/>
      <c r="K28" s="61"/>
      <c r="L28" s="61"/>
      <c r="M28" s="61"/>
      <c r="N28" s="61"/>
      <c r="O28" s="61"/>
      <c r="P28" s="61"/>
      <c r="Q28" s="84"/>
      <c r="R28" s="26" t="str">
        <f ca="1">IFERROR(__xludf.DUMMYFUNCTION("""COMPUTED_VALUE"""),"")</f>
        <v/>
      </c>
      <c r="S28" s="43" t="str">
        <f ca="1">IFERROR(__xludf.DUMMYFUNCTION("""COMPUTED_VALUE"""),"")</f>
        <v/>
      </c>
      <c r="T28" s="38"/>
      <c r="U28" s="26"/>
      <c r="V28" s="76"/>
      <c r="W28" s="76"/>
      <c r="X28" s="76"/>
      <c r="Y28" s="76"/>
      <c r="Z28" s="15" t="str">
        <f ca="1">IFERROR(__xludf.DUMMYFUNCTION("""COMPUTED_VALUE"""),"30 de diciembre")</f>
        <v>30 de diciembre</v>
      </c>
      <c r="AA28" s="17"/>
      <c r="AB28" s="17"/>
      <c r="AC28" s="15"/>
      <c r="AD28" s="17"/>
      <c r="AE28" s="18" t="str">
        <f ca="1">IFERROR(__xludf.DUMMYFUNCTION("""COMPUTED_VALUE"""),"Evidencia")</f>
        <v>Evidencia</v>
      </c>
      <c r="AF28" s="15"/>
      <c r="AG28" s="15"/>
      <c r="AH28" s="15"/>
      <c r="AI28" s="24" t="str">
        <f ca="1">IFERROR(__xludf.DUMMYFUNCTION("""COMPUTED_VALUE"""),"31 de diciembre")</f>
        <v>31 de diciembre</v>
      </c>
      <c r="AJ28" s="17"/>
      <c r="AK28" s="17"/>
      <c r="AL28" s="17"/>
      <c r="AM28" s="17"/>
      <c r="AN28" s="17"/>
      <c r="AO28" s="17"/>
      <c r="AP28" s="17"/>
      <c r="AQ28" s="17"/>
      <c r="AR28" s="17"/>
      <c r="AS28" s="15"/>
      <c r="AT28" s="15"/>
      <c r="AU28" s="10"/>
    </row>
    <row r="29" spans="1:47" ht="192" x14ac:dyDescent="0.25">
      <c r="A29" s="25"/>
      <c r="B29" s="86"/>
      <c r="C29" s="86"/>
      <c r="D29" s="85" t="str">
        <f ca="1">IFERROR(__xludf.DUMMYFUNCTION("""COMPUTED_VALUE"""),"Afectación reputacional por uso indebido de los canales, medios e información institucional para favorecer intereses particulares, debido a descentralización de la información al interior de la Universidad")</f>
        <v>Afectación reputacional por uso indebido de los canales, medios e información institucional para favorecer intereses particulares, debido a descentralización de la información al interior de la Universidad</v>
      </c>
      <c r="E29" s="88" t="str">
        <f ca="1">IFERROR(__xludf.DUMMYFUNCTION("""COMPUTED_VALUE"""),"Área de Comunicaciones")</f>
        <v>Área de Comunicaciones</v>
      </c>
      <c r="F29" s="63" t="str">
        <f ca="1">IFERROR(__xludf.DUMMYFUNCTION("""COMPUTED_VALUE"""),"Gestión")</f>
        <v>Gestión</v>
      </c>
      <c r="G29" s="63" t="str">
        <f ca="1">IFERROR(__xludf.DUMMYFUNCTION("""COMPUTED_VALUE"""),"- Las fuentes de información, desconocen el procedimiento para la solicitud de servicios de comunicación institucional (PD-COM-03)
- Las fuentes no entregan de manera oportuna la información necesaria para su difusión- Ataques informáticos a los canales d"&amp;"e comunicación institucionales
")</f>
        <v xml:space="preserve">- Las fuentes de información, desconocen el procedimiento para la solicitud de servicios de comunicación institucional (PD-COM-03)
- Las fuentes no entregan de manera oportuna la información necesaria para su difusión- Ataques informáticos a los canales de comunicación institucionales
</v>
      </c>
      <c r="H29" s="63" t="str">
        <f ca="1">IFERROR(__xludf.DUMMYFUNCTION("""COMPUTED_VALUE"""),"1. Desinformación en público interno y externo
2. Afectación a la imagen institucional")</f>
        <v>1. Desinformación en público interno y externo
2. Afectación a la imagen institucional</v>
      </c>
      <c r="I29" s="65" t="str">
        <f ca="1">IFERROR(__xludf.DUMMYFUNCTION("""COMPUTED_VALUE"""),"COM_02")</f>
        <v>COM_02</v>
      </c>
      <c r="J29" s="65" t="str">
        <f ca="1">IFERROR(__xludf.DUMMYFUNCTION("""COMPUTED_VALUE"""),"Alta")</f>
        <v>Alta</v>
      </c>
      <c r="K29" s="65" t="str">
        <f ca="1">IFERROR(__xludf.DUMMYFUNCTION("""COMPUTED_VALUE"""),"Moderado")</f>
        <v>Moderado</v>
      </c>
      <c r="L29" s="65" t="str">
        <f ca="1">IFERROR(__xludf.DUMMYFUNCTION("""COMPUTED_VALUE"""),"Alta")</f>
        <v>Alta</v>
      </c>
      <c r="M29" s="63" t="str">
        <f ca="1">IFERROR(__xludf.DUMMYFUNCTION("""COMPUTED_VALUE"""),"- Los profesionales del área de comunicaciones gestionan las solicitudes recibidas mediante el formulario de requerimiento de servicios (FO-COM-01)
- El profesional del área de comunicaciones, verifica la ejecución del plan de comunicaciones y medios para"&amp;" cada vigencia
- El área de comunicaciones realiza la gestión pertinente ante la instancia que corresponda, para recuperar el control de los medios de comunicación institucionales
- El área de comunicaciones, emite la comunicación dirigida a la comunidad "&amp;"universitaria y a la opinión pública, con el fin de aclarar las circunstancias - La Universidad implementó la verificación en 2 pasos para las redes sociales institucionales, además de la habilitación de un correo electrónico institucional de recuperación")</f>
        <v>- Los profesionales del área de comunicaciones gestionan las solicitudes recibidas mediante el formulario de requerimiento de servicios (FO-COM-01)
- El profesional del área de comunicaciones, verifica la ejecución del plan de comunicaciones y medios para cada vigencia
- El área de comunicaciones realiza la gestión pertinente ante la instancia que corresponda, para recuperar el control de los medios de comunicación institucionales
- El área de comunicaciones, emite la comunicación dirigida a la comunidad universitaria y a la opinión pública, con el fin de aclarar las circunstancias - La Universidad implementó la verificación en 2 pasos para las redes sociales institucionales, además de la habilitación de un correo electrónico institucional de recuperación</v>
      </c>
      <c r="N29" s="65" t="str">
        <f ca="1">IFERROR(__xludf.DUMMYFUNCTION("""COMPUTED_VALUE"""),"Muy baja")</f>
        <v>Muy baja</v>
      </c>
      <c r="O29" s="65" t="str">
        <f ca="1">IFERROR(__xludf.DUMMYFUNCTION("""COMPUTED_VALUE"""),"Menor")</f>
        <v>Menor</v>
      </c>
      <c r="P29" s="65" t="str">
        <f ca="1">IFERROR(__xludf.DUMMYFUNCTION("""COMPUTED_VALUE"""),"Baja")</f>
        <v>Baja</v>
      </c>
      <c r="Q29" s="66" t="str">
        <f ca="1">IFERROR(__xludf.DUMMYFUNCTION("""COMPUTED_VALUE"""),"")</f>
        <v/>
      </c>
      <c r="R29" s="30" t="str">
        <f ca="1">IFERROR(__xludf.DUMMYFUNCTION("""COMPUTED_VALUE"""),"Realizar un documento oficial donde queden identificados los canales institucionales.")</f>
        <v>Realizar un documento oficial donde queden identificados los canales institucionales.</v>
      </c>
      <c r="S29" s="31" t="str">
        <f ca="1">IFERROR(__xludf.DUMMYFUNCTION("""COMPUTED_VALUE"""),"Anual")</f>
        <v>Anual</v>
      </c>
      <c r="T29" s="44" t="str">
        <f ca="1">IFERROR(__xludf.DUMMYFUNCTION("""COMPUTED_VALUE"""),"Coordinador Área de Comunicaciones")</f>
        <v>Coordinador Área de Comunicaciones</v>
      </c>
      <c r="U29" s="41" t="str">
        <f ca="1">IFERROR(__xludf.DUMMYFUNCTION("""COMPUTED_VALUE"""),"Resolución rectoral")</f>
        <v>Resolución rectoral</v>
      </c>
      <c r="V29" s="92" t="str">
        <f ca="1">IFERROR(__xludf.DUMMYFUNCTION("""COMPUTED_VALUE"""),"Investigación de casos reportados o detectados, y determinación de las acciones a realizar")</f>
        <v>Investigación de casos reportados o detectados, y determinación de las acciones a realizar</v>
      </c>
      <c r="W29" s="97" t="str">
        <f ca="1">IFERROR(__xludf.DUMMYFUNCTION("""COMPUTED_VALUE"""),"- Verificación de la información a divulgarse
- Publicaciones en caso de que se requiera")</f>
        <v>- Verificación de la información a divulgarse
- Publicaciones en caso de que se requiera</v>
      </c>
      <c r="X29" s="97" t="str">
        <f ca="1">IFERROR(__xludf.DUMMYFUNCTION("""COMPUTED_VALUE"""),"Profesional de apoyo de Comunicaciones")</f>
        <v>Profesional de apoyo de Comunicaciones</v>
      </c>
      <c r="Y29" s="97" t="str">
        <f ca="1">IFERROR(__xludf.DUMMYFUNCTION("""COMPUTED_VALUE"""),"15 días hábiles")</f>
        <v>15 días hábiles</v>
      </c>
      <c r="Z29" s="15" t="str">
        <f ca="1">IFERROR(__xludf.DUMMYFUNCTION("""COMPUTED_VALUE"""),"30 de abril")</f>
        <v>30 de abril</v>
      </c>
      <c r="AA29" s="56">
        <f ca="1">IFERROR(__xludf.DUMMYFUNCTION("""COMPUTED_VALUE"""),46140)</f>
        <v>46140</v>
      </c>
      <c r="AB29" s="17"/>
      <c r="AC29" s="15" t="str">
        <f ca="1">IFERROR(__xludf.DUMMYFUNCTION("""COMPUTED_VALUE"""),"Durante este Tercer monitoreo NO se materializó el riesgo.
CONTROLES
1.        Desinformación en público interno y externo: Los profesionales del área de comunicaciones gestionan las solicitudes recibidas mediante el link o formulario de requerimientos de"&amp;" servicios (FO-COM-01), teniendo en cuenta a su vez la verificación y ejecución del plan de comunicaciones y medios de cada vigencia; a su vez emite a la comunidad universitaria y a la opinión pública con el fin de aclarar circunstancias.
2.        Afecta"&amp;"ción a la imagen institucional: Los Profesionales de comunicaciones realiza la gestión pertinente ante la instancia que corresponda, para recuperar el control de los medios de comunicación institucionales; la universidad implementó la verificación en 2 pa"&amp;"sos para redes sociales institucionales, habilitación de un correo electrónico institucional de recuperación. 
Acciones de tratamiento
se implementaron acciones de tratamiento orientadas a la elaboración de un documento oficial que identifique los canales"&amp;" institucionales y a la actualización del Manual Básico de Redes Institucionales. Se evidencia que dicho manual fue elaborado y aprobado, quedando pendiente su publicación en SIG. Adicionalmente, ya existe una resolución rectoral No. 800 de 2025, con el a"&amp;"compañamiento del abogado de la Secretaría General.")</f>
        <v>Durante este Tercer monitoreo NO se materializó el riesgo.
CONTROLES
1.        Desinformación en público interno y externo: Los profesionales del área de comunicaciones gestionan las solicitudes recibidas mediante el link o formulario de requerimientos de servicios (FO-COM-01), teniendo en cuenta a su vez la verificación y ejecución del plan de comunicaciones y medios de cada vigencia; a su vez emite a la comunidad universitaria y a la opinión pública con el fin de aclarar circunstancias.
2.        Afectación a la imagen institucional: Los Profesionales de comunicaciones realiza la gestión pertinente ante la instancia que corresponda, para recuperar el control de los medios de comunicación institucionales; la universidad implementó la verificación en 2 pasos para redes sociales institucionales, habilitación de un correo electrónico institucional de recuperación. 
Acciones de tratamiento
se implementaron acciones de tratamiento orientadas a la elaboración de un documento oficial que identifique los canales institucionales y a la actualización del Manual Básico de Redes Institucionales. Se evidencia que dicho manual fue elaborado y aprobado, quedando pendiente su publicación en SIG. Adicionalmente, ya existe una resolución rectoral No. 800 de 2025, con el acompañamiento del abogado de la Secretaría General.</v>
      </c>
      <c r="AD29" s="17"/>
      <c r="AE29" s="18" t="str">
        <f ca="1">IFERROR(__xludf.DUMMYFUNCTION("""COMPUTED_VALUE"""),"Evidencia")</f>
        <v>Evidencia</v>
      </c>
      <c r="AF29" s="15" t="str">
        <f ca="1">IFERROR(__xludf.DUMMYFUNCTION("""COMPUTED_VALUE"""),"No")</f>
        <v>No</v>
      </c>
      <c r="AG29" s="15" t="str">
        <f ca="1">IFERROR(__xludf.DUMMYFUNCTION("""COMPUTED_VALUE"""),"En proceso")</f>
        <v>En proceso</v>
      </c>
      <c r="AH29" s="15" t="str">
        <f ca="1">IFERROR(__xludf.DUMMYFUNCTION("""COMPUTED_VALUE"""),"Durante este tercer monitoreo NO se materializó el riesgo.
Se evidencian soportes relacionados con las acciones de tratamiento, correspondientes al Manual Básico de Uso y Aplicaciones de Redes Sociales Institucionales y la Resolución Rectoral No. 800 de "&amp;"2025, los cuales guardan relación con la actualización documental reportada.
No obstante, no se aportan evidencias suficientes que permitan verificar la ejecución de los controles establecidos en la matriz, tales como: gestión de solicitudes mediante el "&amp;"formulario FO-COM-01, seguimiento a la ejecución del plan de comunicaciones y medios, recuperación de control de medios institucionales, emisión de comunicados oficiales o implementación de la verificación en dos pasos y correo institucional de recuperaci"&amp;"ón.
Adicionalmente, la descripción del monitoreo mezcla consecuencias del riesgo con actividades de control, por lo que se recomienda fortalecer la redacción y organizar las evidencias por cada control y acción de tratamiento para facilitar la trazabilid"&amp;"ad y validación del monitoreo.")</f>
        <v>Durante este tercer monitoreo NO se materializó el riesgo.
Se evidencian soportes relacionados con las acciones de tratamiento, correspondientes al Manual Básico de Uso y Aplicaciones de Redes Sociales Institucionales y la Resolución Rectoral No. 800 de 2025, los cuales guardan relación con la actualización documental reportada.
No obstante, no se aportan evidencias suficientes que permitan verificar la ejecución de los controles establecidos en la matriz, tales como: gestión de solicitudes mediante el formulario FO-COM-01, seguimiento a la ejecución del plan de comunicaciones y medios, recuperación de control de medios institucionales, emisión de comunicados oficiales o implementación de la verificación en dos pasos y correo institucional de recuperación.
Adicionalmente, la descripción del monitoreo mezcla consecuencias del riesgo con actividades de control, por lo que se recomienda fortalecer la redacción y organizar las evidencias por cada control y acción de tratamiento para facilitar la trazabilidad y validación del monitoreo.</v>
      </c>
      <c r="AI29" s="15" t="str">
        <f ca="1">IFERROR(__xludf.DUMMYFUNCTION("""COMPUTED_VALUE"""),"30 de abril")</f>
        <v>30 de abril</v>
      </c>
      <c r="AJ29" s="17" t="str">
        <f ca="1">IFERROR(__xludf.DUMMYFUNCTION("""COMPUTED_VALUE"""),"No")</f>
        <v>No</v>
      </c>
      <c r="AK29" s="17" t="str">
        <f ca="1">IFERROR(__xludf.DUMMYFUNCTION("""COMPUTED_VALUE"""),"Si")</f>
        <v>Si</v>
      </c>
      <c r="AL29" s="17" t="str">
        <f ca="1">IFERROR(__xludf.DUMMYFUNCTION("""COMPUTED_VALUE"""),"Si")</f>
        <v>Si</v>
      </c>
      <c r="AM29" s="17" t="str">
        <f ca="1">IFERROR(__xludf.DUMMYFUNCTION("""COMPUTED_VALUE"""),"Si")</f>
        <v>Si</v>
      </c>
      <c r="AN29" s="17" t="str">
        <f ca="1">IFERROR(__xludf.DUMMYFUNCTION("""COMPUTED_VALUE"""),"No")</f>
        <v>No</v>
      </c>
      <c r="AO29" s="17" t="str">
        <f ca="1">IFERROR(__xludf.DUMMYFUNCTION("""COMPUTED_VALUE"""),"No")</f>
        <v>No</v>
      </c>
      <c r="AP29" s="17" t="str">
        <f ca="1">IFERROR(__xludf.DUMMYFUNCTION("""COMPUTED_VALUE"""),"No")</f>
        <v>No</v>
      </c>
      <c r="AQ29" s="17" t="str">
        <f ca="1">IFERROR(__xludf.DUMMYFUNCTION("""COMPUTED_VALUE"""),"No")</f>
        <v>No</v>
      </c>
      <c r="AR29" s="17" t="str">
        <f ca="1">IFERROR(__xludf.DUMMYFUNCTION("""COMPUTED_VALUE"""),"No")</f>
        <v>No</v>
      </c>
      <c r="AS29" s="15" t="str">
        <f ca="1">IFERROR(__xludf.DUMMYFUNCTION("""COMPUTED_VALUE"""),"No aplica")</f>
        <v>No aplica</v>
      </c>
      <c r="AT29" s="15" t="str">
        <f ca="1">IFERROR(__xludf.DUMMYFUNCTION("""COMPUTED_VALUE"""),"En alineación con el resultado del monitoreo realizado por la Segunda Línea de Defensa, el proceso no aportó evidencias que soporten la ejecución de los controles, los cuales se describen así:
- Los profesionales del área de comunicaciones gestionan las "&amp;"solicitudes recibidas mediante el formulario de requerimiento de servicios (FO-COM-01)
- El profesional del área de comunicaciones, verifica la ejecución del plan de comunicaciones y medios para cada vigencia
- El área de comunicaciones realiza la gestión"&amp;" pertinente ante la instancia que corresponda, para recuperar el control de los medios de comunicación institucionales
- El área de comunicaciones, emite la comunicación dirigida a la comunidad universitaria y a la opinión pública, con el fin de aclarar l"&amp;"as circunstancias - La Universidad implementó la verificación en 2 pasos para las redes sociales institucionales, además de la habilitación de un correo electrónico institucional de recuperación
Así mismo, el proceso reporta como resultado del monitoreo,"&amp;" aspectos que fueron identificados como ""Consecuencias"" del riesgo.
Lo anterior,  no permitó evaluar la efectividad de los controles.
Recomendaciones:
1. Asegurar el reporte de las evidencias que permitan evidenciar la ejecución de los controles.
2. M"&amp;"ejorar el reporte del monitoreo reportando los resultados de la aplicación de los controles establecidos.")</f>
        <v>En alineación con el resultado del monitoreo realizado por la Segunda Línea de Defensa, el proceso no aportó evidencias que soporten la ejecución de los controles, los cuales se describen así:
- Los profesionales del área de comunicaciones gestionan las solicitudes recibidas mediante el formulario de requerimiento de servicios (FO-COM-01)
- El profesional del área de comunicaciones, verifica la ejecución del plan de comunicaciones y medios para cada vigencia
- El área de comunicaciones realiza la gestión pertinente ante la instancia que corresponda, para recuperar el control de los medios de comunicación institucionales
- El área de comunicaciones, emite la comunicación dirigida a la comunidad universitaria y a la opinión pública, con el fin de aclarar las circunstancias - La Universidad implementó la verificación en 2 pasos para las redes sociales institucionales, además de la habilitación de un correo electrónico institucional de recuperación
Así mismo, el proceso reporta como resultado del monitoreo, aspectos que fueron identificados como "Consecuencias" del riesgo.
Lo anterior,  no permitó evaluar la efectividad de los controles.
Recomendaciones:
1. Asegurar el reporte de las evidencias que permitan evidenciar la ejecución de los controles.
2. Mejorar el reporte del monitoreo reportando los resultados de la aplicación de los controles establecidos.</v>
      </c>
      <c r="AU29" s="10"/>
    </row>
    <row r="30" spans="1:47" ht="36" x14ac:dyDescent="0.25">
      <c r="A30" s="25"/>
      <c r="B30" s="86"/>
      <c r="C30" s="86"/>
      <c r="D30" s="86"/>
      <c r="E30" s="89"/>
      <c r="F30" s="64"/>
      <c r="G30" s="64"/>
      <c r="H30" s="64"/>
      <c r="I30" s="64"/>
      <c r="J30" s="64"/>
      <c r="K30" s="64"/>
      <c r="L30" s="64"/>
      <c r="M30" s="64"/>
      <c r="N30" s="64"/>
      <c r="O30" s="64"/>
      <c r="P30" s="64"/>
      <c r="Q30" s="64"/>
      <c r="R30" s="30" t="str">
        <f ca="1">IFERROR(__xludf.DUMMYFUNCTION("""COMPUTED_VALUE"""),"Actualizar manual básico de redes instiucionales ")</f>
        <v xml:space="preserve">Actualizar manual básico de redes instiucionales </v>
      </c>
      <c r="S30" s="31" t="str">
        <f ca="1">IFERROR(__xludf.DUMMYFUNCTION("""COMPUTED_VALUE"""),"Anual")</f>
        <v>Anual</v>
      </c>
      <c r="T30" s="45" t="str">
        <f ca="1">IFERROR(__xludf.DUMMYFUNCTION("""COMPUTED_VALUE"""),"Coordinador Área de Comunicaciones")</f>
        <v>Coordinador Área de Comunicaciones</v>
      </c>
      <c r="U30" s="20" t="str">
        <f ca="1">IFERROR(__xludf.DUMMYFUNCTION("""COMPUTED_VALUE"""),"Documento en SIG")</f>
        <v>Documento en SIG</v>
      </c>
      <c r="V30" s="89"/>
      <c r="W30" s="89"/>
      <c r="X30" s="89"/>
      <c r="Y30" s="89"/>
      <c r="Z30" s="15" t="str">
        <f ca="1">IFERROR(__xludf.DUMMYFUNCTION("""COMPUTED_VALUE"""),"30 de agosto")</f>
        <v>30 de agosto</v>
      </c>
      <c r="AA30" s="17"/>
      <c r="AB30" s="17"/>
      <c r="AC30" s="15"/>
      <c r="AD30" s="17"/>
      <c r="AE30" s="18" t="str">
        <f ca="1">IFERROR(__xludf.DUMMYFUNCTION("""COMPUTED_VALUE"""),"Evidencia")</f>
        <v>Evidencia</v>
      </c>
      <c r="AF30" s="15"/>
      <c r="AG30" s="15"/>
      <c r="AH30" s="15"/>
      <c r="AI30" s="24" t="str">
        <f ca="1">IFERROR(__xludf.DUMMYFUNCTION("""COMPUTED_VALUE"""),"31 de agosto")</f>
        <v>31 de agosto</v>
      </c>
      <c r="AJ30" s="17"/>
      <c r="AK30" s="17"/>
      <c r="AL30" s="17"/>
      <c r="AM30" s="17"/>
      <c r="AN30" s="17"/>
      <c r="AO30" s="17"/>
      <c r="AP30" s="17"/>
      <c r="AQ30" s="17"/>
      <c r="AR30" s="17"/>
      <c r="AS30" s="15"/>
      <c r="AT30" s="15"/>
      <c r="AU30" s="10"/>
    </row>
    <row r="31" spans="1:47" x14ac:dyDescent="0.25">
      <c r="A31" s="25"/>
      <c r="B31" s="87"/>
      <c r="C31" s="87"/>
      <c r="D31" s="87"/>
      <c r="E31" s="76"/>
      <c r="F31" s="61"/>
      <c r="G31" s="61"/>
      <c r="H31" s="61"/>
      <c r="I31" s="61"/>
      <c r="J31" s="61"/>
      <c r="K31" s="61"/>
      <c r="L31" s="61"/>
      <c r="M31" s="61"/>
      <c r="N31" s="61"/>
      <c r="O31" s="61"/>
      <c r="P31" s="61"/>
      <c r="Q31" s="61"/>
      <c r="R31" s="36" t="str">
        <f ca="1">IFERROR(__xludf.DUMMYFUNCTION("""COMPUTED_VALUE"""),"")</f>
        <v/>
      </c>
      <c r="S31" s="37" t="str">
        <f ca="1">IFERROR(__xludf.DUMMYFUNCTION("""COMPUTED_VALUE"""),"")</f>
        <v/>
      </c>
      <c r="T31" s="46"/>
      <c r="U31" s="26"/>
      <c r="V31" s="76"/>
      <c r="W31" s="76"/>
      <c r="X31" s="76"/>
      <c r="Y31" s="76"/>
      <c r="Z31" s="15" t="str">
        <f ca="1">IFERROR(__xludf.DUMMYFUNCTION("""COMPUTED_VALUE"""),"30 de diciembre")</f>
        <v>30 de diciembre</v>
      </c>
      <c r="AA31" s="17"/>
      <c r="AB31" s="17"/>
      <c r="AC31" s="15"/>
      <c r="AD31" s="17"/>
      <c r="AE31" s="18" t="str">
        <f ca="1">IFERROR(__xludf.DUMMYFUNCTION("""COMPUTED_VALUE"""),"Evidencia")</f>
        <v>Evidencia</v>
      </c>
      <c r="AF31" s="15"/>
      <c r="AG31" s="15"/>
      <c r="AH31" s="15"/>
      <c r="AI31" s="24" t="str">
        <f ca="1">IFERROR(__xludf.DUMMYFUNCTION("""COMPUTED_VALUE"""),"31 de diciembre")</f>
        <v>31 de diciembre</v>
      </c>
      <c r="AJ31" s="17"/>
      <c r="AK31" s="17"/>
      <c r="AL31" s="17"/>
      <c r="AM31" s="17"/>
      <c r="AN31" s="17"/>
      <c r="AO31" s="17"/>
      <c r="AP31" s="17"/>
      <c r="AQ31" s="17"/>
      <c r="AR31" s="17"/>
      <c r="AS31" s="15"/>
      <c r="AT31" s="15"/>
      <c r="AU31" s="10"/>
    </row>
    <row r="32" spans="1:47" ht="228" x14ac:dyDescent="0.25">
      <c r="A32" s="25"/>
      <c r="B32" s="90" t="s">
        <v>61</v>
      </c>
      <c r="C32" s="85" t="str">
        <f ca="1">IFERROR(__xludf.DUMMYFUNCTION("IMPORTRANGE(""https://docs.google.com/spreadsheets/d/1hlsSAaRqCJ5gcOPuquIXISxBXE7PYxAv-BqndaJ0ocE/edit?gid=2098233099#gid=2098233099"",""Matriz_riesgos!C11:AT19"")"),"Contribuir al aseguramiento de la calidad con miras al mejoramiento continuo de la gestión institucional. Inicia con la planeación de las actividades, hasta la determinación, ejecución, seguimiento y evaluación de la mejora, que conlleva el reconocimiento"&amp;" de la calidad por parte de la sociedad, los entes certificadores y el Estado")</f>
        <v>Contribuir al aseguramiento de la calidad con miras al mejoramiento continuo de la gestión institucional. Inicia con la planeación de las actividades, hasta la determinación, ejecución, seguimiento y evaluación de la mejora, que conlleva el reconocimiento de la calidad por parte de la sociedad, los entes certificadores y el Estado</v>
      </c>
      <c r="D32" s="92" t="str">
        <f ca="1">IFERROR(__xludf.DUMMYFUNCTION("""COMPUTED_VALUE"""),"Posibilidad de afectación económica y reputacional por la pérdida de las certificaciones internacionales de los Sistema de Gestión de Calidad y Ambiental de la Universidad debido al incumplimiento de los requisitos legales y normativos aplicables")</f>
        <v>Posibilidad de afectación económica y reputacional por la pérdida de las certificaciones internacionales de los Sistema de Gestión de Calidad y Ambiental de la Universidad debido al incumplimiento de los requisitos legales y normativos aplicables</v>
      </c>
      <c r="E32" s="63" t="str">
        <f ca="1">IFERROR(__xludf.DUMMYFUNCTION("""COMPUTED_VALUE"""),"Equipo de Calidad y Ambiental")</f>
        <v>Equipo de Calidad y Ambiental</v>
      </c>
      <c r="F32" s="63" t="str">
        <f ca="1">IFERROR(__xludf.DUMMYFUNCTION("""COMPUTED_VALUE"""),"Gestión")</f>
        <v>Gestión</v>
      </c>
      <c r="G32" s="63" t="str">
        <f ca="1">IFERROR(__xludf.DUMMYFUNCTION("""COMPUTED_VALUE"""),"- Disponibilidad insuficiente de recursos (financieros, humanos, técnicos) para el funcionamiento de los Sistemas de Gestión
- Incumplimiento de los requisitos legales y normativos
- Los Sistemas de gestión no se apropian en todos los niveles de la Instit"&amp;"ución
- Ausencia de planificacion y control operacional en los procesos para asegurar el cumplimiento legal o normativo.")</f>
        <v>- Disponibilidad insuficiente de recursos (financieros, humanos, técnicos) para el funcionamiento de los Sistemas de Gestión
- Incumplimiento de los requisitos legales y normativos
- Los Sistemas de gestión no se apropian en todos los niveles de la Institución
- Ausencia de planificacion y control operacional en los procesos para asegurar el cumplimiento legal o normativo.</v>
      </c>
      <c r="H32" s="63" t="str">
        <f ca="1">IFERROR(__xludf.DUMMYFUNCTION("""COMPUTED_VALUE"""),"1. Afectación a la imagen Institucional.
2. Detrimentro patrimonial.
3. Incumplimiento de objetivos institucionales.
4. Pérdida de oportunidades de cooperación y convenios interinstitucionales.
5. Impactos negativos derivados del cambio climatico.")</f>
        <v>1. Afectación a la imagen Institucional.
2. Detrimentro patrimonial.
3. Incumplimiento de objetivos institucionales.
4. Pérdida de oportunidades de cooperación y convenios interinstitucionales.
5. Impactos negativos derivados del cambio climatico.</v>
      </c>
      <c r="I32" s="65" t="str">
        <f ca="1">IFERROR(__xludf.DUMMYFUNCTION("""COMPUTED_VALUE"""),"ACI_01")</f>
        <v>ACI_01</v>
      </c>
      <c r="J32" s="65" t="str">
        <f ca="1">IFERROR(__xludf.DUMMYFUNCTION("""COMPUTED_VALUE"""),"Baja")</f>
        <v>Baja</v>
      </c>
      <c r="K32" s="65" t="str">
        <f ca="1">IFERROR(__xludf.DUMMYFUNCTION("""COMPUTED_VALUE"""),"Mayor")</f>
        <v>Mayor</v>
      </c>
      <c r="L32" s="65" t="str">
        <f ca="1">IFERROR(__xludf.DUMMYFUNCTION("""COMPUTED_VALUE"""),"Alta")</f>
        <v>Alta</v>
      </c>
      <c r="M32" s="63" t="str">
        <f ca="1">IFERROR(__xludf.DUMMYFUNCTION("""COMPUTED_VALUE"""),"- El Consejo Superior Universitario aprueba el presupuesto anual de la Universidad, contemplando la operación de los Sistema de Gestión de la Calidad y Ambiental. 
- Los equipos de trabajo de Gestión de la Calidad y Gestión Ambiental, ejecutan las auditor"&amp;"ías se segunda línea registradas en el plan anual de auditoría interna aprobado por el Comité Institucional de Coordinación de Control Interno, con el fin de determinar la conformidad de los procesos, productos y servicios con los requisitos aplicables.
-"&amp;" La alta dirección verifica cada año la conveniencia, adecuación y eficacia de los Sistemas de Gestión de la Calidad y Ambiental mediante la realización de la Revisión por la Dirección.
- El equipo del Sistema de Gestión Ambiental identifica y hace seguim"&amp;"iento anual al cumplimiento de los requisitos legales aplicables a la Institución, mediante la Matriz de requisitos legales
- Los lideres de proceso con el acompañamiento permanente del equipo de gestión de la calidad verifican el cumplimiento de los requ"&amp;"isitos aplicables para realizar la planificación y control operacional de sus actividades a partir de la implementación del procedimiento de control de la información documentada del SIG (PD-ACI-01).")</f>
        <v>- El Consejo Superior Universitario aprueba el presupuesto anual de la Universidad, contemplando la operación de los Sistema de Gestión de la Calidad y Ambiental. 
- Los equipos de trabajo de Gestión de la Calidad y Gestión Ambiental, ejecutan las auditorías se segunda línea registradas en el plan anual de auditoría interna aprobado por el Comité Institucional de Coordinación de Control Interno, con el fin de determinar la conformidad de los procesos, productos y servicios con los requisitos aplicables.
- La alta dirección verifica cada año la conveniencia, adecuación y eficacia de los Sistemas de Gestión de la Calidad y Ambiental mediante la realización de la Revisión por la Dirección.
- El equipo del Sistema de Gestión Ambiental identifica y hace seguimiento anual al cumplimiento de los requisitos legales aplicables a la Institución, mediante la Matriz de requisitos legales
- Los lideres de proceso con el acompañamiento permanente del equipo de gestión de la calidad verifican el cumplimiento de los requisitos aplicables para realizar la planificación y control operacional de sus actividades a partir de la implementación del procedimiento de control de la información documentada del SIG (PD-ACI-01).</v>
      </c>
      <c r="N32" s="65" t="str">
        <f ca="1">IFERROR(__xludf.DUMMYFUNCTION("""COMPUTED_VALUE"""),"Muy baja")</f>
        <v>Muy baja</v>
      </c>
      <c r="O32" s="65" t="str">
        <f ca="1">IFERROR(__xludf.DUMMYFUNCTION("""COMPUTED_VALUE"""),"Menor")</f>
        <v>Menor</v>
      </c>
      <c r="P32" s="65" t="str">
        <f ca="1">IFERROR(__xludf.DUMMYFUNCTION("""COMPUTED_VALUE"""),"Baja")</f>
        <v>Baja</v>
      </c>
      <c r="Q32" s="91" t="str">
        <f ca="1">IFERROR(__xludf.DUMMYFUNCTION("""COMPUTED_VALUE"""),"Aceptar")</f>
        <v>Aceptar</v>
      </c>
      <c r="R32" s="20" t="str">
        <f ca="1">IFERROR(__xludf.DUMMYFUNCTION("""COMPUTED_VALUE"""),"Debido a que los controles definidos por el proceso son eficaces, se acepta el riesgo y no se establecen acciones de mejora, sin embargo se hará seguimiento a la ejecución de los controles")</f>
        <v>Debido a que los controles definidos por el proceso son eficaces, se acepta el riesgo y no se establecen acciones de mejora, sin embargo se hará seguimiento a la ejecución de los controles</v>
      </c>
      <c r="S32" s="40" t="str">
        <f ca="1">IFERROR(__xludf.DUMMYFUNCTION("""COMPUTED_VALUE"""),"N/A")</f>
        <v>N/A</v>
      </c>
      <c r="T32" s="14" t="str">
        <f ca="1">IFERROR(__xludf.DUMMYFUNCTION("""COMPUTED_VALUE"""),"N/A")</f>
        <v>N/A</v>
      </c>
      <c r="U32" s="55" t="str">
        <f ca="1">IFERROR(__xludf.DUMMYFUNCTION("""COMPUTED_VALUE"""),"N/A")</f>
        <v>N/A</v>
      </c>
      <c r="V32" s="92" t="str">
        <f ca="1">IFERROR(__xludf.DUMMYFUNCTION("""COMPUTED_VALUE"""),"Presentar informe del estado de los Sistemas de Gestión a la alta dirección, con el fin de que se tomen las decisiones pertinentes para garantizar el sostenimiento y fortalecimiento de los mismos.")</f>
        <v>Presentar informe del estado de los Sistemas de Gestión a la alta dirección, con el fin de que se tomen las decisiones pertinentes para garantizar el sostenimiento y fortalecimiento de los mismos.</v>
      </c>
      <c r="W32" s="97" t="str">
        <f ca="1">IFERROR(__xludf.DUMMYFUNCTION("""COMPUTED_VALUE"""),"Informe a la alta dirección.")</f>
        <v>Informe a la alta dirección.</v>
      </c>
      <c r="X32" s="97" t="str">
        <f ca="1">IFERROR(__xludf.DUMMYFUNCTION("""COMPUTED_VALUE"""),"Asesor de Planeación")</f>
        <v>Asesor de Planeación</v>
      </c>
      <c r="Y32" s="97" t="str">
        <f ca="1">IFERROR(__xludf.DUMMYFUNCTION("""COMPUTED_VALUE"""),"1 mes")</f>
        <v>1 mes</v>
      </c>
      <c r="Z32" s="15" t="str">
        <f ca="1">IFERROR(__xludf.DUMMYFUNCTION("""COMPUTED_VALUE"""),"30 de abril")</f>
        <v>30 de abril</v>
      </c>
      <c r="AA32" s="17" t="str">
        <f ca="1">IFERROR(__xludf.DUMMYFUNCTION("""COMPUTED_VALUE"""),"Enero a abril de 2026")</f>
        <v>Enero a abril de 2026</v>
      </c>
      <c r="AB32" s="17" t="str">
        <f ca="1">IFERROR(__xludf.DUMMYFUNCTION("""COMPUTED_VALUE"""),"No")</f>
        <v>No</v>
      </c>
      <c r="AC32" s="15" t="str">
        <f ca="1">IFERROR(__xludf.DUMMYFUNCTION("""COMPUTED_VALUE"""),"Acciones asociadas a la aplicación de controles del riesgos:
C1- El consejo superior universitario emitió el Acuerdo Superior No 023 de 2025, “Por el cual se establece el Presupuesto de Rentas, Ingresos, Recursos de Capital, Gastos e Inversión de la Unive"&amp;"rsidad de los Llanos, para la Vigencia Fiscal de 2026”, presupuesto que incluye los recursos necesarios para garantizar el funcionamiento del SGC y el SGA.
C2- Durante febrero y marzo de 2026 se ejecutó la auditoría interna de segunda línea al proceso de "&amp;"Aseguramiento de la Calidad Institucional, con el fin de ""Determinar la conformidad del proceso con los requisitos de las normas ISO 9001:2015 e ISO 14001:2015"", así como identificar oportunidades de mejora para el SGC y el SGA. Además, durante el mes d"&amp;"e abril, se llevó a cabo la auditoría interna al proceso de Gestión de TIC, donde se verificó la conformidad de este proceso con los requisitos de las NTC ISO 9001:2015 e ISO 14001:2015.
C3- El 27 de abril se realizó la revisión por la dirección a los Sis"&amp;"temas de Gestión de la Calidad, Ambiental y Seguridad y Salud en el Trabajo correspondiente a la vigencia 2025; en donde se verificó la conveniencia, adecuación y eficacia de dichos Sistemas.
C4- Desde el Sistema de Gestión Ambiental se acualizó la matriz"&amp;" de requisitos legales con las nuevas resoluciones (se anexa en la evidencia carpeta ambiental) y para el año 2025 se dió cumplimiento  del 100% como se evidencia en el informe de la alta dirección. 
C5- Desde el Sistema de Gestión de la Calidad se ha rea"&amp;"lizado el acompañamiento en la gestión de la información documentada de los procesos, de acuerdo a sus solicitudes.
Acciones asociadas al tratamiento del riesgo:
- Debido a que el riesgo residual se ubica en zona baja, se acepta el riesgo y no se estable"&amp;"cen acciones de tratamiento, sin embargo se hace seguimiento a la aplicación de los controles")</f>
        <v>Acciones asociadas a la aplicación de controles del riesgos:
C1- El consejo superior universitario emitió el Acuerdo Superior No 023 de 2025, “Por el cual se establece el Presupuesto de Rentas, Ingresos, Recursos de Capital, Gastos e Inversión de la Universidad de los Llanos, para la Vigencia Fiscal de 2026”, presupuesto que incluye los recursos necesarios para garantizar el funcionamiento del SGC y el SGA.
C2- Durante febrero y marzo de 2026 se ejecutó la auditoría interna de segunda línea al proceso de Aseguramiento de la Calidad Institucional, con el fin de "Determinar la conformidad del proceso con los requisitos de las normas ISO 9001:2015 e ISO 14001:2015", así como identificar oportunidades de mejora para el SGC y el SGA. Además, durante el mes de abril, se llevó a cabo la auditoría interna al proceso de Gestión de TIC, donde se verificó la conformidad de este proceso con los requisitos de las NTC ISO 9001:2015 e ISO 14001:2015.
C3- El 27 de abril se realizó la revisión por la dirección a los Sistemas de Gestión de la Calidad, Ambiental y Seguridad y Salud en el Trabajo correspondiente a la vigencia 2025; en donde se verificó la conveniencia, adecuación y eficacia de dichos Sistemas.
C4- Desde el Sistema de Gestión Ambiental se acualizó la matriz de requisitos legales con las nuevas resoluciones (se anexa en la evidencia carpeta ambiental) y para el año 2025 se dió cumplimiento  del 100% como se evidencia en el informe de la alta dirección. 
C5- Desde el Sistema de Gestión de la Calidad se ha realizado el acompañamiento en la gestión de la información documentada de los procesos, de acuerdo a sus solicitudes.
Acciones asociadas al tratamiento del riesgo:
- Debido a que el riesgo residual se ubica en zona baja, se acepta el riesgo y no se establecen acciones de tratamiento, sin embargo se hace seguimiento a la aplicación de los controles</v>
      </c>
      <c r="AD32" s="17" t="str">
        <f ca="1">IFERROR(__xludf.DUMMYFUNCTION("""COMPUTED_VALUE"""),"Asesora de Calidad 
(Equipos de SGC y SGA)")</f>
        <v>Asesora de Calidad 
(Equipos de SGC y SGA)</v>
      </c>
      <c r="AE32" s="18" t="str">
        <f ca="1">IFERROR(__xludf.DUMMYFUNCTION("""COMPUTED_VALUE"""),"Evidencia")</f>
        <v>Evidencia</v>
      </c>
      <c r="AF32" s="15" t="str">
        <f ca="1">IFERROR(__xludf.DUMMYFUNCTION("""COMPUTED_VALUE"""),"Si")</f>
        <v>Si</v>
      </c>
      <c r="AG32" s="15" t="str">
        <f ca="1">IFERROR(__xludf.DUMMYFUNCTION("""COMPUTED_VALUE"""),"Ejecutada")</f>
        <v>Ejecutada</v>
      </c>
      <c r="AH32" s="15" t="str">
        <f ca="1">IFERROR(__xludf.DUMMYFUNCTION("""COMPUTED_VALUE"""),"C1: Se verificó la aprobación del presupuesto institucional para la vigencia 2026, incluyendo recursos destinados al funcionamiento de los Sistemas de Gestión de Calidad y Ambiental.
C2: Se evidenció la ejecución de auditorías internas de segunda línea a"&amp;" procesos institucionales, orientadas a verificar la conformidad con los requisitos de las normas ISO 9001:2015 e ISO 14001:2015.
C3: Se verificó la realización de la revisión por la dirección a los Sistemas de Gestión, evidenciando la evaluación de su c"&amp;"onveniencia, adecuación y eficacia.
C4: Se evidenció la actualización y seguimiento de la matriz de requisitos legales aplicables al Sistema de Gestión Ambiental.
C5: Se verificó el acompañamiento realizado por el Sistema de Gestión de la Calidad en la "&amp;"gestión de la información documentada de los procesos.
Materialización del riesgo: El riesgo no se materializó durante el periodo evaluado.
Conclusión: Los controles definidos se ejecutan adecuadamente y contribuyen al mantenimiento y fortalecimiento de"&amp;" los Sistemas de Gestión de Calidad y Ambiental. Se cuenta con soportes documentales que respaldan su ejecución, manteniéndose el riesgo bajo control.")</f>
        <v>C1: Se verificó la aprobación del presupuesto institucional para la vigencia 2026, incluyendo recursos destinados al funcionamiento de los Sistemas de Gestión de Calidad y Ambiental.
C2: Se evidenció la ejecución de auditorías internas de segunda línea a procesos institucionales, orientadas a verificar la conformidad con los requisitos de las normas ISO 9001:2015 e ISO 14001:2015.
C3: Se verificó la realización de la revisión por la dirección a los Sistemas de Gestión, evidenciando la evaluación de su conveniencia, adecuación y eficacia.
C4: Se evidenció la actualización y seguimiento de la matriz de requisitos legales aplicables al Sistema de Gestión Ambiental.
C5: Se verificó el acompañamiento realizado por el Sistema de Gestión de la Calidad en la gestión de la información documentada de los procesos.
Materialización del riesgo: El riesgo no se materializó durante el periodo evaluado.
Conclusión: Los controles definidos se ejecutan adecuadamente y contribuyen al mantenimiento y fortalecimiento de los Sistemas de Gestión de Calidad y Ambiental. Se cuenta con soportes documentales que respaldan su ejecución, manteniéndose el riesgo bajo control.</v>
      </c>
      <c r="AI32" s="15" t="str">
        <f ca="1">IFERROR(__xludf.DUMMYFUNCTION("""COMPUTED_VALUE"""),"30 de abril")</f>
        <v>30 de abril</v>
      </c>
      <c r="AJ32" s="17" t="str">
        <f ca="1">IFERROR(__xludf.DUMMYFUNCTION("""COMPUTED_VALUE"""),"Si")</f>
        <v>Si</v>
      </c>
      <c r="AK32" s="17" t="str">
        <f ca="1">IFERROR(__xludf.DUMMYFUNCTION("""COMPUTED_VALUE"""),"Si")</f>
        <v>Si</v>
      </c>
      <c r="AL32" s="17" t="str">
        <f ca="1">IFERROR(__xludf.DUMMYFUNCTION("""COMPUTED_VALUE"""),"Si")</f>
        <v>Si</v>
      </c>
      <c r="AM32" s="17" t="str">
        <f ca="1">IFERROR(__xludf.DUMMYFUNCTION("""COMPUTED_VALUE"""),"Si")</f>
        <v>Si</v>
      </c>
      <c r="AN32" s="17" t="str">
        <f ca="1">IFERROR(__xludf.DUMMYFUNCTION("""COMPUTED_VALUE"""),"Si")</f>
        <v>Si</v>
      </c>
      <c r="AO32" s="17" t="str">
        <f ca="1">IFERROR(__xludf.DUMMYFUNCTION("""COMPUTED_VALUE"""),"Si")</f>
        <v>Si</v>
      </c>
      <c r="AP32" s="17" t="str">
        <f ca="1">IFERROR(__xludf.DUMMYFUNCTION("""COMPUTED_VALUE"""),"Si")</f>
        <v>Si</v>
      </c>
      <c r="AQ32" s="17" t="str">
        <f ca="1">IFERROR(__xludf.DUMMYFUNCTION("""COMPUTED_VALUE"""),"No")</f>
        <v>No</v>
      </c>
      <c r="AR32" s="17" t="str">
        <f ca="1">IFERROR(__xludf.DUMMYFUNCTION("""COMPUTED_VALUE"""),"No")</f>
        <v>No</v>
      </c>
      <c r="AS32" s="15" t="str">
        <f ca="1">IFERROR(__xludf.DUMMYFUNCTION("""COMPUTED_VALUE"""),"No aplica")</f>
        <v>No aplica</v>
      </c>
      <c r="AT32" s="15" t="str">
        <f ca="1">IFERROR(__xludf.DUMMYFUNCTION("""COMPUTED_VALUE"""),"Ninguna")</f>
        <v>Ninguna</v>
      </c>
      <c r="AU32" s="10"/>
    </row>
    <row r="33" spans="1:47" x14ac:dyDescent="0.25">
      <c r="A33" s="25"/>
      <c r="B33" s="86"/>
      <c r="C33" s="86"/>
      <c r="D33" s="89"/>
      <c r="E33" s="64"/>
      <c r="F33" s="64"/>
      <c r="G33" s="64"/>
      <c r="H33" s="64"/>
      <c r="I33" s="64"/>
      <c r="J33" s="64"/>
      <c r="K33" s="64"/>
      <c r="L33" s="64"/>
      <c r="M33" s="64"/>
      <c r="N33" s="64"/>
      <c r="O33" s="64"/>
      <c r="P33" s="64"/>
      <c r="Q33" s="83"/>
      <c r="R33" s="20" t="str">
        <f ca="1">IFERROR(__xludf.DUMMYFUNCTION("""COMPUTED_VALUE"""),"")</f>
        <v/>
      </c>
      <c r="S33" s="42" t="str">
        <f ca="1">IFERROR(__xludf.DUMMYFUNCTION("""COMPUTED_VALUE"""),"")</f>
        <v/>
      </c>
      <c r="T33" s="34"/>
      <c r="U33" s="20"/>
      <c r="V33" s="89"/>
      <c r="W33" s="89"/>
      <c r="X33" s="89"/>
      <c r="Y33" s="89"/>
      <c r="Z33" s="15" t="str">
        <f ca="1">IFERROR(__xludf.DUMMYFUNCTION("""COMPUTED_VALUE"""),"30 de agosto")</f>
        <v>30 de agosto</v>
      </c>
      <c r="AA33" s="17"/>
      <c r="AB33" s="17"/>
      <c r="AC33" s="15"/>
      <c r="AD33" s="17"/>
      <c r="AE33" s="18" t="str">
        <f ca="1">IFERROR(__xludf.DUMMYFUNCTION("""COMPUTED_VALUE"""),"Evidencia")</f>
        <v>Evidencia</v>
      </c>
      <c r="AF33" s="15"/>
      <c r="AG33" s="15"/>
      <c r="AH33" s="15"/>
      <c r="AI33" s="24" t="str">
        <f ca="1">IFERROR(__xludf.DUMMYFUNCTION("""COMPUTED_VALUE"""),"31 de agosto")</f>
        <v>31 de agosto</v>
      </c>
      <c r="AJ33" s="17"/>
      <c r="AK33" s="17"/>
      <c r="AL33" s="17"/>
      <c r="AM33" s="17"/>
      <c r="AN33" s="17"/>
      <c r="AO33" s="17"/>
      <c r="AP33" s="17"/>
      <c r="AQ33" s="17"/>
      <c r="AR33" s="17"/>
      <c r="AS33" s="15"/>
      <c r="AT33" s="15"/>
      <c r="AU33" s="10"/>
    </row>
    <row r="34" spans="1:47" x14ac:dyDescent="0.25">
      <c r="A34" s="25"/>
      <c r="B34" s="86"/>
      <c r="C34" s="86"/>
      <c r="D34" s="76"/>
      <c r="E34" s="61"/>
      <c r="F34" s="61"/>
      <c r="G34" s="61"/>
      <c r="H34" s="61"/>
      <c r="I34" s="61"/>
      <c r="J34" s="61"/>
      <c r="K34" s="61"/>
      <c r="L34" s="61"/>
      <c r="M34" s="61"/>
      <c r="N34" s="61"/>
      <c r="O34" s="61"/>
      <c r="P34" s="61"/>
      <c r="Q34" s="84"/>
      <c r="R34" s="26" t="str">
        <f ca="1">IFERROR(__xludf.DUMMYFUNCTION("""COMPUTED_VALUE"""),"")</f>
        <v/>
      </c>
      <c r="S34" s="43" t="str">
        <f ca="1">IFERROR(__xludf.DUMMYFUNCTION("""COMPUTED_VALUE"""),"")</f>
        <v/>
      </c>
      <c r="T34" s="38"/>
      <c r="U34" s="26"/>
      <c r="V34" s="76"/>
      <c r="W34" s="76"/>
      <c r="X34" s="76"/>
      <c r="Y34" s="76"/>
      <c r="Z34" s="15" t="str">
        <f ca="1">IFERROR(__xludf.DUMMYFUNCTION("""COMPUTED_VALUE"""),"30 de diciembre")</f>
        <v>30 de diciembre</v>
      </c>
      <c r="AA34" s="17"/>
      <c r="AB34" s="17"/>
      <c r="AC34" s="15"/>
      <c r="AD34" s="17"/>
      <c r="AE34" s="18" t="str">
        <f ca="1">IFERROR(__xludf.DUMMYFUNCTION("""COMPUTED_VALUE"""),"Evidencia")</f>
        <v>Evidencia</v>
      </c>
      <c r="AF34" s="15"/>
      <c r="AG34" s="15"/>
      <c r="AH34" s="15"/>
      <c r="AI34" s="24" t="str">
        <f ca="1">IFERROR(__xludf.DUMMYFUNCTION("""COMPUTED_VALUE"""),"31 de diciembre")</f>
        <v>31 de diciembre</v>
      </c>
      <c r="AJ34" s="17"/>
      <c r="AK34" s="17"/>
      <c r="AL34" s="17"/>
      <c r="AM34" s="17"/>
      <c r="AN34" s="17"/>
      <c r="AO34" s="17"/>
      <c r="AP34" s="17"/>
      <c r="AQ34" s="17"/>
      <c r="AR34" s="17"/>
      <c r="AS34" s="15"/>
      <c r="AT34" s="15"/>
      <c r="AU34" s="10"/>
    </row>
    <row r="35" spans="1:47" ht="204" x14ac:dyDescent="0.25">
      <c r="A35" s="25"/>
      <c r="B35" s="86"/>
      <c r="C35" s="86"/>
      <c r="D35" s="88" t="str">
        <f ca="1">IFERROR(__xludf.DUMMYFUNCTION("""COMPUTED_VALUE"""),"Posibilidad de afectación económica y reputacional, por la pérdida de las condiciones de calidad Institucionales o de los Programas Académicos, debido al incumplimiento de requisitos del decreto 1330 de 2019, las resoluciones 021795 de 2020 (Condiciones d"&amp;"e Programas) y 015224 de 2020 (Condiciones Institucionaleso)  y el Acuerdo 002 de 2020 CESU (Acreditación de alta calidad de programas e institución), o la normatividad que haga sus veces.")</f>
        <v>Posibilidad de afectación económica y reputacional, por la pérdida de las condiciones de calidad Institucionales o de los Programas Académicos, debido al incumplimiento de requisitos del decreto 1330 de 2019, las resoluciones 021795 de 2020 (Condiciones de Programas) y 015224 de 2020 (Condiciones Institucionaleso)  y el Acuerdo 002 de 2020 CESU (Acreditación de alta calidad de programas e institución), o la normatividad que haga sus veces.</v>
      </c>
      <c r="E35" s="63" t="str">
        <f ca="1">IFERROR(__xludf.DUMMYFUNCTION("""COMPUTED_VALUE"""),"Secretaría técnica de Acreditación")</f>
        <v>Secretaría técnica de Acreditación</v>
      </c>
      <c r="F35" s="63" t="str">
        <f ca="1">IFERROR(__xludf.DUMMYFUNCTION("""COMPUTED_VALUE"""),"Gestión")</f>
        <v>Gestión</v>
      </c>
      <c r="G35" s="63" t="str">
        <f ca="1">IFERROR(__xludf.DUMMYFUNCTION("""COMPUTED_VALUE"""),"- Ineficiencia en la aplicación de los controles por parte de los Consejos de Facultad y de la Alta Dirección a los tiempos y responsabilidades que tienen los Docentes-GAP y Líderes de cada proceso, frente al cumplimiento de los productos requeridos en el"&amp;" ejercicio del aseguramiento de la calidad Institucional y de programas
- Insuficiente asignación de recursos para el desarrollo académico de los programas e institución y para la ejecución de los planes de mejoramiento derivados de los procesos de autoev"&amp;"aluación. 
- Desarticulación de las dinamicas de la Universidad para atender los requerimientos exigidos por MEN y realizar las solicitudes de Registros Calificados y procesos de Acreditación")</f>
        <v>- Ineficiencia en la aplicación de los controles por parte de los Consejos de Facultad y de la Alta Dirección a los tiempos y responsabilidades que tienen los Docentes-GAP y Líderes de cada proceso, frente al cumplimiento de los productos requeridos en el ejercicio del aseguramiento de la calidad Institucional y de programas
- Insuficiente asignación de recursos para el desarrollo académico de los programas e institución y para la ejecución de los planes de mejoramiento derivados de los procesos de autoevaluación. 
- Desarticulación de las dinamicas de la Universidad para atender los requerimientos exigidos por MEN y realizar las solicitudes de Registros Calificados y procesos de Acreditación</v>
      </c>
      <c r="H35" s="63" t="str">
        <f ca="1">IFERROR(__xludf.DUMMYFUNCTION("""COMPUTED_VALUE"""),"1. Negación de los Registros calificados.
2. Detrimento patrimonial por descarga de tiempos docentes y contratación adicional
3. Sanciones por parte del MEN
4. Afectación a la imagen y credibilidad institucional
5. Incumplimiento de los indicadores instit"&amp;"ucionales
6. Perdidas de las Acreditaciones de Alta Calidad de  los programas e Institucion")</f>
        <v>1. Negación de los Registros calificados.
2. Detrimento patrimonial por descarga de tiempos docentes y contratación adicional
3. Sanciones por parte del MEN
4. Afectación a la imagen y credibilidad institucional
5. Incumplimiento de los indicadores institucionales
6. Perdidas de las Acreditaciones de Alta Calidad de  los programas e Institucion</v>
      </c>
      <c r="I35" s="65" t="str">
        <f ca="1">IFERROR(__xludf.DUMMYFUNCTION("""COMPUTED_VALUE"""),"ACI_02")</f>
        <v>ACI_02</v>
      </c>
      <c r="J35" s="65" t="str">
        <f ca="1">IFERROR(__xludf.DUMMYFUNCTION("""COMPUTED_VALUE"""),"Baja")</f>
        <v>Baja</v>
      </c>
      <c r="K35" s="65" t="str">
        <f ca="1">IFERROR(__xludf.DUMMYFUNCTION("""COMPUTED_VALUE"""),"Catastrófico")</f>
        <v>Catastrófico</v>
      </c>
      <c r="L35" s="65" t="str">
        <f ca="1">IFERROR(__xludf.DUMMYFUNCTION("""COMPUTED_VALUE"""),"Extrema")</f>
        <v>Extrema</v>
      </c>
      <c r="M35" s="63" t="str">
        <f ca="1">IFERROR(__xludf.DUMMYFUNCTION("""COMPUTED_VALUE"""),"- El Consejo Académico, emite la Resolución de Tiempos a los docentes de los programas para el desarrollo de las actividades de los procesos de registro calificado y acreditación.
- La AAA presenta informes periódicos ante el Comité Institucional de Acred"&amp;"itación y la Alta dirección de la institución
- La AAA elabora cronograma de trabajo con base del Plan Institucional de Aseguramiento de la Calidad Académica -PIACA
- La AAA y el programa académico presentan recurso de reposición ante el MEN, en respuesta"&amp;" a la negación del RC. Y para la negación de la  Acreditación se presenta solicitud de reconsideración.
- Proyección de recursos en ficha BPUNI para atender el desarrollo  de los procesos de aseguramiento de la calidad")</f>
        <v>- El Consejo Académico, emite la Resolución de Tiempos a los docentes de los programas para el desarrollo de las actividades de los procesos de registro calificado y acreditación.
- La AAA presenta informes periódicos ante el Comité Institucional de Acreditación y la Alta dirección de la institución
- La AAA elabora cronograma de trabajo con base del Plan Institucional de Aseguramiento de la Calidad Académica -PIACA
- La AAA y el programa académico presentan recurso de reposición ante el MEN, en respuesta a la negación del RC. Y para la negación de la  Acreditación se presenta solicitud de reconsideración.
- Proyección de recursos en ficha BPUNI para atender el desarrollo  de los procesos de aseguramiento de la calidad</v>
      </c>
      <c r="N35" s="65" t="str">
        <f ca="1">IFERROR(__xludf.DUMMYFUNCTION("""COMPUTED_VALUE"""),"Muy baja")</f>
        <v>Muy baja</v>
      </c>
      <c r="O35" s="65" t="str">
        <f ca="1">IFERROR(__xludf.DUMMYFUNCTION("""COMPUTED_VALUE"""),"Moderado")</f>
        <v>Moderado</v>
      </c>
      <c r="P35" s="65" t="str">
        <f ca="1">IFERROR(__xludf.DUMMYFUNCTION("""COMPUTED_VALUE"""),"Media")</f>
        <v>Media</v>
      </c>
      <c r="Q35" s="66" t="str">
        <f ca="1">IFERROR(__xludf.DUMMYFUNCTION("""COMPUTED_VALUE"""),"Reducir")</f>
        <v>Reducir</v>
      </c>
      <c r="R35" s="30" t="str">
        <f ca="1">IFERROR(__xludf.DUMMYFUNCTION("""COMPUTED_VALUE"""),"")</f>
        <v/>
      </c>
      <c r="S35" s="31" t="str">
        <f ca="1">IFERROR(__xludf.DUMMYFUNCTION("""COMPUTED_VALUE"""),"")</f>
        <v/>
      </c>
      <c r="T35" s="33"/>
      <c r="U35" s="41"/>
      <c r="V35" s="92" t="str">
        <f ca="1">IFERROR(__xludf.DUMMYFUNCTION("""COMPUTED_VALUE"""),"Medias de contigencia de acuerdo a las observaciones realizadas por el MEN y generar alertas a las directivas de la Universidad ")</f>
        <v xml:space="preserve">Medias de contigencia de acuerdo a las observaciones realizadas por el MEN y generar alertas a las directivas de la Universidad </v>
      </c>
      <c r="W35" s="97" t="str">
        <f ca="1">IFERROR(__xludf.DUMMYFUNCTION("""COMPUTED_VALUE"""),"Informes, actas, memorandos, planes de acción, mejoramiento y contingencia.")</f>
        <v>Informes, actas, memorandos, planes de acción, mejoramiento y contingencia.</v>
      </c>
      <c r="X35" s="97" t="str">
        <f ca="1">IFERROR(__xludf.DUMMYFUNCTION("""COMPUTED_VALUE"""),"AAA")</f>
        <v>AAA</v>
      </c>
      <c r="Y35" s="97" t="str">
        <f ca="1">IFERROR(__xludf.DUMMYFUNCTION("""COMPUTED_VALUE"""),"30 días")</f>
        <v>30 días</v>
      </c>
      <c r="Z35" s="15" t="str">
        <f ca="1">IFERROR(__xludf.DUMMYFUNCTION("""COMPUTED_VALUE"""),"30 de abril")</f>
        <v>30 de abril</v>
      </c>
      <c r="AA35" s="17" t="str">
        <f ca="1">IFERROR(__xludf.DUMMYFUNCTION("""COMPUTED_VALUE"""),"21-XI-2025
19-XII-2025
20-I-2026
19-I-2026
25-II-2026
22-IV-2026
Permanente
15-iv-2026")</f>
        <v>21-XI-2025
19-XII-2025
20-I-2026
19-I-2026
25-II-2026
22-IV-2026
Permanente
15-iv-2026</v>
      </c>
      <c r="AB35" s="17" t="str">
        <f ca="1">IFERROR(__xludf.DUMMYFUNCTION("""COMPUTED_VALUE"""),"No")</f>
        <v>No</v>
      </c>
      <c r="AC35" s="15" t="str">
        <f ca="1">IFERROR(__xludf.DUMMYFUNCTION("""COMPUTED_VALUE"""),"1. Mediante Resolución Académica No. 122 del 21 de noviembre de 2025, se asignaron los tiempos para los procesos de Aseguramiento de la Calidad Académica, que realizarán los programas académicos durante 2026 I; mediante las siguientes resoluciones académi"&amp;"cas, se modificó la R.A. 122 de 2025:   No. 143 del 19 de diciembre de 2025 y No. 004 del 20 de enero de 2026.
2. En los informes que se presentan al Comité de Autoevaluación y Acreditación Institucional, siempre se incluye información de los procesos de"&amp;" programas académicos.  A la fecha se ha presentado informe en la sesión del 29 de enero de 2026, en la del 25 de febrero de 2026, en la del 22 de abril.
3.  La Secretaría Técnica de Acreditación actualiza permanentemente el Plan Institucional de Asegura"&amp;"miento de la Calidad Académica -PICA-, sobre el cual se proyectan los procesos  que deben adelantar los programas académicos en cada período académico y por ende, la propuesta de asignación de los respectivos tiempos para los programas académicos.
4.  La"&amp;" Secretaría Técnica de Acreditación se encuentra implementando el Proyecto de Inversión VIAC 02 0409 2025 MEJORA CONTINUA Y FORTALECIMIENTO DE LOS PROCESOS DE ASEGURAMIENTO DE LA CALIDAD EN LA UNIVERSIDAD DE LOS LLANOS - ACTUALIZACIÓN; cuyo  informe de ej"&amp;"ercución a marzo de 2026 se adjunta.    ")</f>
        <v xml:space="preserve">1. Mediante Resolución Académica No. 122 del 21 de noviembre de 2025, se asignaron los tiempos para los procesos de Aseguramiento de la Calidad Académica, que realizarán los programas académicos durante 2026 I; mediante las siguientes resoluciones académicas, se modificó la R.A. 122 de 2025:   No. 143 del 19 de diciembre de 2025 y No. 004 del 20 de enero de 2026.
2. En los informes que se presentan al Comité de Autoevaluación y Acreditación Institucional, siempre se incluye información de los procesos de programas académicos.  A la fecha se ha presentado informe en la sesión del 29 de enero de 2026, en la del 25 de febrero de 2026, en la del 22 de abril.
3.  La Secretaría Técnica de Acreditación actualiza permanentemente el Plan Institucional de Aseguramiento de la Calidad Académica -PICA-, sobre el cual se proyectan los procesos  que deben adelantar los programas académicos en cada período académico y por ende, la propuesta de asignación de los respectivos tiempos para los programas académicos.
4.  La Secretaría Técnica de Acreditación se encuentra implementando el Proyecto de Inversión VIAC 02 0409 2025 MEJORA CONTINUA Y FORTALECIMIENTO DE LOS PROCESOS DE ASEGURAMIENTO DE LA CALIDAD EN LA UNIVERSIDAD DE LOS LLANOS - ACTUALIZACIÓN; cuyo  informe de ejercución a marzo de 2026 se adjunta.    </v>
      </c>
      <c r="AD35" s="17" t="str">
        <f ca="1">IFERROR(__xludf.DUMMYFUNCTION("""COMPUTED_VALUE"""),"Karol Vanessa Baquero Borda")</f>
        <v>Karol Vanessa Baquero Borda</v>
      </c>
      <c r="AE35" s="18" t="str">
        <f ca="1">IFERROR(__xludf.DUMMYFUNCTION("""COMPUTED_VALUE"""),"Evidencia")</f>
        <v>Evidencia</v>
      </c>
      <c r="AF35" s="15" t="str">
        <f ca="1">IFERROR(__xludf.DUMMYFUNCTION("""COMPUTED_VALUE"""),"Si")</f>
        <v>Si</v>
      </c>
      <c r="AG35" s="15" t="str">
        <f ca="1">IFERROR(__xludf.DUMMYFUNCTION("""COMPUTED_VALUE"""),"Ejecutada")</f>
        <v>Ejecutada</v>
      </c>
      <c r="AH35" s="15" t="str">
        <f ca="1">IFERROR(__xludf.DUMMYFUNCTION("""COMPUTED_VALUE"""),"C1: Se verificó la emisión y actualización de las resoluciones académicas relacionadas con la asignación de tiempos para el desarrollo de actividades de aseguramiento de la calidad académica durante la vigencia 2026.
C2: Se evidenció la presentación de i"&amp;"nformes periódicos ante el Comité Institucional de Autoevaluación y Acreditación, relacionados con el avance de los procesos de aseguramiento de la calidad.
C3: Se evidenció referencia al Plan Institucional de Aseguramiento de la Calidad Académica – PIAC"&amp;"A; no obstante, el enlace aportado no cuenta con permisos de acceso para su verificación.
C4–C5: Se evidenció la ejecución y seguimiento del proyecto de inversión orientado al fortalecimiento de los procesos de aseguramiento de la calidad institucional y"&amp;" de programas académicos.
Materialización del riesgo: El riesgo no se materializó durante el periodo evaluado.
Conclusión: Los controles definidos contribuyen al fortalecimiento de los procesos de aseguramiento de la calidad académica e institucional; s"&amp;"in embargo, se recomienda fortalecer el acceso y disponibilidad de las evidencias aportadas para facilitar su verificación. El riesgo se mantiene bajo control.")</f>
        <v>C1: Se verificó la emisión y actualización de las resoluciones académicas relacionadas con la asignación de tiempos para el desarrollo de actividades de aseguramiento de la calidad académica durante la vigencia 2026.
C2: Se evidenció la presentación de informes periódicos ante el Comité Institucional de Autoevaluación y Acreditación, relacionados con el avance de los procesos de aseguramiento de la calidad.
C3: Se evidenció referencia al Plan Institucional de Aseguramiento de la Calidad Académica – PIACA; no obstante, el enlace aportado no cuenta con permisos de acceso para su verificación.
C4–C5: Se evidenció la ejecución y seguimiento del proyecto de inversión orientado al fortalecimiento de los procesos de aseguramiento de la calidad institucional y de programas académicos.
Materialización del riesgo: El riesgo no se materializó durante el periodo evaluado.
Conclusión: Los controles definidos contribuyen al fortalecimiento de los procesos de aseguramiento de la calidad académica e institucional; sin embargo, se recomienda fortalecer el acceso y disponibilidad de las evidencias aportadas para facilitar su verificación. El riesgo se mantiene bajo control.</v>
      </c>
      <c r="AI35" s="15" t="str">
        <f ca="1">IFERROR(__xludf.DUMMYFUNCTION("""COMPUTED_VALUE"""),"30 de abril")</f>
        <v>30 de abril</v>
      </c>
      <c r="AJ35" s="17" t="str">
        <f ca="1">IFERROR(__xludf.DUMMYFUNCTION("""COMPUTED_VALUE"""),"Si")</f>
        <v>Si</v>
      </c>
      <c r="AK35" s="17" t="str">
        <f ca="1">IFERROR(__xludf.DUMMYFUNCTION("""COMPUTED_VALUE"""),"Si")</f>
        <v>Si</v>
      </c>
      <c r="AL35" s="17" t="str">
        <f ca="1">IFERROR(__xludf.DUMMYFUNCTION("""COMPUTED_VALUE"""),"Si")</f>
        <v>Si</v>
      </c>
      <c r="AM35" s="17" t="str">
        <f ca="1">IFERROR(__xludf.DUMMYFUNCTION("""COMPUTED_VALUE"""),"Si")</f>
        <v>Si</v>
      </c>
      <c r="AN35" s="17" t="str">
        <f ca="1">IFERROR(__xludf.DUMMYFUNCTION("""COMPUTED_VALUE"""),"Si")</f>
        <v>Si</v>
      </c>
      <c r="AO35" s="17" t="str">
        <f ca="1">IFERROR(__xludf.DUMMYFUNCTION("""COMPUTED_VALUE"""),"Si")</f>
        <v>Si</v>
      </c>
      <c r="AP35" s="17" t="str">
        <f ca="1">IFERROR(__xludf.DUMMYFUNCTION("""COMPUTED_VALUE"""),"Si")</f>
        <v>Si</v>
      </c>
      <c r="AQ35" s="17" t="str">
        <f ca="1">IFERROR(__xludf.DUMMYFUNCTION("""COMPUTED_VALUE"""),"No")</f>
        <v>No</v>
      </c>
      <c r="AR35" s="17" t="str">
        <f ca="1">IFERROR(__xludf.DUMMYFUNCTION("""COMPUTED_VALUE"""),"No")</f>
        <v>No</v>
      </c>
      <c r="AS35" s="15" t="str">
        <f ca="1">IFERROR(__xludf.DUMMYFUNCTION("""COMPUTED_VALUE"""),"No aplica")</f>
        <v>No aplica</v>
      </c>
      <c r="AT35" s="15" t="str">
        <f ca="1">IFERROR(__xludf.DUMMYFUNCTION("""COMPUTED_VALUE"""),"Recomendación: 
1. Establecer acciones asociadas al tratamiento, orientadas a fortalecer la efectividad de los controles, considerando que la acción de manejo seleccionada fue ""Reducir"". Lo anterior con el fin de dar cumplimiento a lo establecido en la "&amp;"Política Integral del Riesgo adoptada por la Universidad a través del Acuerdo Superior 012 de 2020, artículo 3. Nivel de tolerancia al riesgo. ")</f>
        <v xml:space="preserve">Recomendación: 
1. Establecer acciones asociadas al tratamiento, orientadas a fortalecer la efectividad de los controles, considerando que la acción de manejo seleccionada fue "Reducir". Lo anterior con el fin de dar cumplimiento a lo establecido en la Política Integral del Riesgo adoptada por la Universidad a través del Acuerdo Superior 012 de 2020, artículo 3. Nivel de tolerancia al riesgo. </v>
      </c>
      <c r="AU35" s="10"/>
    </row>
    <row r="36" spans="1:47" x14ac:dyDescent="0.25">
      <c r="A36" s="25"/>
      <c r="B36" s="86"/>
      <c r="C36" s="86"/>
      <c r="D36" s="89"/>
      <c r="E36" s="64"/>
      <c r="F36" s="64"/>
      <c r="G36" s="64"/>
      <c r="H36" s="64"/>
      <c r="I36" s="64"/>
      <c r="J36" s="64"/>
      <c r="K36" s="64"/>
      <c r="L36" s="64"/>
      <c r="M36" s="64"/>
      <c r="N36" s="64"/>
      <c r="O36" s="64"/>
      <c r="P36" s="64"/>
      <c r="Q36" s="64"/>
      <c r="R36" s="30" t="str">
        <f ca="1">IFERROR(__xludf.DUMMYFUNCTION("""COMPUTED_VALUE"""),"")</f>
        <v/>
      </c>
      <c r="S36" s="31" t="str">
        <f ca="1">IFERROR(__xludf.DUMMYFUNCTION("""COMPUTED_VALUE"""),"")</f>
        <v/>
      </c>
      <c r="T36" s="35"/>
      <c r="U36" s="20"/>
      <c r="V36" s="89"/>
      <c r="W36" s="89"/>
      <c r="X36" s="89"/>
      <c r="Y36" s="89"/>
      <c r="Z36" s="15" t="str">
        <f ca="1">IFERROR(__xludf.DUMMYFUNCTION("""COMPUTED_VALUE"""),"30 de agosto")</f>
        <v>30 de agosto</v>
      </c>
      <c r="AA36" s="17"/>
      <c r="AB36" s="17"/>
      <c r="AC36" s="15"/>
      <c r="AD36" s="17"/>
      <c r="AE36" s="18" t="str">
        <f ca="1">IFERROR(__xludf.DUMMYFUNCTION("""COMPUTED_VALUE"""),"Evidencia")</f>
        <v>Evidencia</v>
      </c>
      <c r="AF36" s="15"/>
      <c r="AG36" s="15"/>
      <c r="AH36" s="15"/>
      <c r="AI36" s="24" t="str">
        <f ca="1">IFERROR(__xludf.DUMMYFUNCTION("""COMPUTED_VALUE"""),"31 de agosto")</f>
        <v>31 de agosto</v>
      </c>
      <c r="AJ36" s="17"/>
      <c r="AK36" s="17"/>
      <c r="AL36" s="17"/>
      <c r="AM36" s="17"/>
      <c r="AN36" s="17"/>
      <c r="AO36" s="17"/>
      <c r="AP36" s="17"/>
      <c r="AQ36" s="17"/>
      <c r="AR36" s="17"/>
      <c r="AS36" s="15"/>
      <c r="AT36" s="15"/>
      <c r="AU36" s="10"/>
    </row>
    <row r="37" spans="1:47" x14ac:dyDescent="0.25">
      <c r="A37" s="25"/>
      <c r="B37" s="86"/>
      <c r="C37" s="86"/>
      <c r="D37" s="76"/>
      <c r="E37" s="61"/>
      <c r="F37" s="61"/>
      <c r="G37" s="61"/>
      <c r="H37" s="61"/>
      <c r="I37" s="61"/>
      <c r="J37" s="61"/>
      <c r="K37" s="61"/>
      <c r="L37" s="61"/>
      <c r="M37" s="61"/>
      <c r="N37" s="61"/>
      <c r="O37" s="61"/>
      <c r="P37" s="61"/>
      <c r="Q37" s="61"/>
      <c r="R37" s="36" t="str">
        <f ca="1">IFERROR(__xludf.DUMMYFUNCTION("""COMPUTED_VALUE"""),"")</f>
        <v/>
      </c>
      <c r="S37" s="37" t="str">
        <f ca="1">IFERROR(__xludf.DUMMYFUNCTION("""COMPUTED_VALUE"""),"")</f>
        <v/>
      </c>
      <c r="T37" s="39"/>
      <c r="U37" s="26"/>
      <c r="V37" s="76"/>
      <c r="W37" s="76"/>
      <c r="X37" s="76"/>
      <c r="Y37" s="76"/>
      <c r="Z37" s="15" t="str">
        <f ca="1">IFERROR(__xludf.DUMMYFUNCTION("""COMPUTED_VALUE"""),"30 de diciembre")</f>
        <v>30 de diciembre</v>
      </c>
      <c r="AA37" s="17"/>
      <c r="AB37" s="17"/>
      <c r="AC37" s="15"/>
      <c r="AD37" s="17"/>
      <c r="AE37" s="18" t="str">
        <f ca="1">IFERROR(__xludf.DUMMYFUNCTION("""COMPUTED_VALUE"""),"Evidencia")</f>
        <v>Evidencia</v>
      </c>
      <c r="AF37" s="15"/>
      <c r="AG37" s="15"/>
      <c r="AH37" s="15"/>
      <c r="AI37" s="24" t="str">
        <f ca="1">IFERROR(__xludf.DUMMYFUNCTION("""COMPUTED_VALUE"""),"31 de diciembre")</f>
        <v>31 de diciembre</v>
      </c>
      <c r="AJ37" s="17"/>
      <c r="AK37" s="17"/>
      <c r="AL37" s="17"/>
      <c r="AM37" s="17"/>
      <c r="AN37" s="17"/>
      <c r="AO37" s="17"/>
      <c r="AP37" s="17"/>
      <c r="AQ37" s="17"/>
      <c r="AR37" s="17"/>
      <c r="AS37" s="15"/>
      <c r="AT37" s="15"/>
      <c r="AU37" s="10"/>
    </row>
    <row r="38" spans="1:47" ht="132" x14ac:dyDescent="0.25">
      <c r="A38" s="25"/>
      <c r="B38" s="86"/>
      <c r="C38" s="86"/>
      <c r="D38" s="88" t="str">
        <f ca="1">IFERROR(__xludf.DUMMYFUNCTION("""COMPUTED_VALUE"""),"Posibilidad de afectación reputacional por falta de objetividad, imparcialidad e independencia durante el ejercicio de auditoría interna de segunda línea de defensa")</f>
        <v>Posibilidad de afectación reputacional por falta de objetividad, imparcialidad e independencia durante el ejercicio de auditoría interna de segunda línea de defensa</v>
      </c>
      <c r="E38" s="63" t="str">
        <f ca="1">IFERROR(__xludf.DUMMYFUNCTION("""COMPUTED_VALUE"""),"Equipo de Calidad y Ambiental")</f>
        <v>Equipo de Calidad y Ambiental</v>
      </c>
      <c r="F38" s="63" t="str">
        <f ca="1">IFERROR(__xludf.DUMMYFUNCTION("""COMPUTED_VALUE"""),"Corrupción")</f>
        <v>Corrupción</v>
      </c>
      <c r="G38" s="63" t="str">
        <f ca="1">IFERROR(__xludf.DUMMYFUNCTION("""COMPUTED_VALUE"""),"- Indebido cuidado profesional del equipo de trabajo encargado de realizar las auditorías internas de segunda línea de defensa")</f>
        <v>- Indebido cuidado profesional del equipo de trabajo encargado de realizar las auditorías internas de segunda línea de defensa</v>
      </c>
      <c r="H38" s="63" t="str">
        <f ca="1">IFERROR(__xludf.DUMMYFUNCTION("""COMPUTED_VALUE"""),"1. Afectación a la imagen Institucional.
2. Detrimentro patrimonial.
3. Incumplimiento de objetivos institucionales.")</f>
        <v>1. Afectación a la imagen Institucional.
2. Detrimentro patrimonial.
3. Incumplimiento de objetivos institucionales.</v>
      </c>
      <c r="I38" s="65" t="str">
        <f ca="1">IFERROR(__xludf.DUMMYFUNCTION("""COMPUTED_VALUE"""),"ACI_03")</f>
        <v>ACI_03</v>
      </c>
      <c r="J38" s="65" t="str">
        <f ca="1">IFERROR(__xludf.DUMMYFUNCTION("""COMPUTED_VALUE"""),"Media")</f>
        <v>Media</v>
      </c>
      <c r="K38" s="65" t="str">
        <f ca="1">IFERROR(__xludf.DUMMYFUNCTION("""COMPUTED_VALUE"""),"Moderado")</f>
        <v>Moderado</v>
      </c>
      <c r="L38" s="65" t="str">
        <f ca="1">IFERROR(__xludf.DUMMYFUNCTION("""COMPUTED_VALUE"""),"Alta")</f>
        <v>Alta</v>
      </c>
      <c r="M38" s="63" t="str">
        <f ca="1">IFERROR(__xludf.DUMMYFUNCTION("""COMPUTED_VALUE"""),"- Desde los equipos de trabajo de Gestión de la Calidad y Gestión Ambiental, se elabora anualmente la matriz de incompatibilidad, donde se definen los roles de los integrantes del equipo frente a la auditoría interna
- Los auditores internos que realicen "&amp;"auditorías de segunda línea de defensa, firman en cada auditoría la ""Declaración de independencia y compromiso ético"", en donde se comprometen a seguir los principios de la auditoría durante el ejercicio")</f>
        <v>- Desde los equipos de trabajo de Gestión de la Calidad y Gestión Ambiental, se elabora anualmente la matriz de incompatibilidad, donde se definen los roles de los integrantes del equipo frente a la auditoría interna
- Los auditores internos que realicen auditorías de segunda línea de defensa, firman en cada auditoría la "Declaración de independencia y compromiso ético", en donde se comprometen a seguir los principios de la auditoría durante el ejercicio</v>
      </c>
      <c r="N38" s="65" t="str">
        <f ca="1">IFERROR(__xludf.DUMMYFUNCTION("""COMPUTED_VALUE"""),"Baja")</f>
        <v>Baja</v>
      </c>
      <c r="O38" s="65" t="str">
        <f ca="1">IFERROR(__xludf.DUMMYFUNCTION("""COMPUTED_VALUE"""),"Moderado")</f>
        <v>Moderado</v>
      </c>
      <c r="P38" s="65" t="str">
        <f ca="1">IFERROR(__xludf.DUMMYFUNCTION("""COMPUTED_VALUE"""),"Media")</f>
        <v>Media</v>
      </c>
      <c r="Q38" s="91" t="str">
        <f ca="1">IFERROR(__xludf.DUMMYFUNCTION("""COMPUTED_VALUE"""),"Reducir")</f>
        <v>Reducir</v>
      </c>
      <c r="R38" s="20" t="str">
        <f ca="1">IFERROR(__xludf.DUMMYFUNCTION("""COMPUTED_VALUE"""),"Realizar mesa de trabajo entre el equipo de Gestión de la Calidad y Gestión Ambiental, con el fin de reforzar el conocimiento del código de ética del auditor de la Universidad de los Llanos")</f>
        <v>Realizar mesa de trabajo entre el equipo de Gestión de la Calidad y Gestión Ambiental, con el fin de reforzar el conocimiento del código de ética del auditor de la Universidad de los Llanos</v>
      </c>
      <c r="S38" s="40" t="str">
        <f ca="1">IFERROR(__xludf.DUMMYFUNCTION("""COMPUTED_VALUE"""),"Anual")</f>
        <v>Anual</v>
      </c>
      <c r="T38" s="32" t="str">
        <f ca="1">IFERROR(__xludf.DUMMYFUNCTION("""COMPUTED_VALUE"""),"Equipos de Gestión de la Calidad y Gestión Abmiental")</f>
        <v>Equipos de Gestión de la Calidad y Gestión Abmiental</v>
      </c>
      <c r="U38" s="41" t="str">
        <f ca="1">IFERROR(__xludf.DUMMYFUNCTION("""COMPUTED_VALUE"""),"Acta de reunión")</f>
        <v>Acta de reunión</v>
      </c>
      <c r="V38" s="92" t="str">
        <f ca="1">IFERROR(__xludf.DUMMYFUNCTION("""COMPUTED_VALUE"""),"Remimir el caso a la oficina de Control Interno de Gestión, con el fin de que se escale a la entidad o depedencia pertinente")</f>
        <v>Remimir el caso a la oficina de Control Interno de Gestión, con el fin de que se escale a la entidad o depedencia pertinente</v>
      </c>
      <c r="W38" s="97" t="str">
        <f ca="1">IFERROR(__xludf.DUMMYFUNCTION("""COMPUTED_VALUE"""),"Correo electrónico")</f>
        <v>Correo electrónico</v>
      </c>
      <c r="X38" s="97" t="str">
        <f ca="1">IFERROR(__xludf.DUMMYFUNCTION("""COMPUTED_VALUE"""),"Asesor de Planeación")</f>
        <v>Asesor de Planeación</v>
      </c>
      <c r="Y38" s="97" t="str">
        <f ca="1">IFERROR(__xludf.DUMMYFUNCTION("""COMPUTED_VALUE"""),"1 semana")</f>
        <v>1 semana</v>
      </c>
      <c r="Z38" s="15" t="str">
        <f ca="1">IFERROR(__xludf.DUMMYFUNCTION("""COMPUTED_VALUE"""),"30 de abril")</f>
        <v>30 de abril</v>
      </c>
      <c r="AA38" s="17" t="str">
        <f ca="1">IFERROR(__xludf.DUMMYFUNCTION("""COMPUTED_VALUE"""),"Enero a abril de 2026")</f>
        <v>Enero a abril de 2026</v>
      </c>
      <c r="AB38" s="17" t="str">
        <f ca="1">IFERROR(__xludf.DUMMYFUNCTION("""COMPUTED_VALUE"""),"No")</f>
        <v>No</v>
      </c>
      <c r="AC38" s="15" t="str">
        <f ca="1">IFERROR(__xludf.DUMMYFUNCTION("""COMPUTED_VALUE"""),"Acciones asociadas a la aplicación de controles del riesgos:
C1- El equipo de Gestión de la Calidad, para la vigencia 2026 elaboró la matriz de incompatibilidad, donde se definieron los roles de los integrantes del equipo frente a la auditoría interna
C2-"&amp;" Para las auditorías interna de segunda línea a los procesos de Aseguramiento de la Calidad Institucional y Gestión de TIC, los auditores formaron la ""Declaración de independencia y compromiso ético""
Acciones asociadas al tratamiento del riesgo:
- Se p"&amp;"royecta realizar la mesa de trabajo durante el segundo semestre de la vigencia")</f>
        <v>Acciones asociadas a la aplicación de controles del riesgos:
C1- El equipo de Gestión de la Calidad, para la vigencia 2026 elaboró la matriz de incompatibilidad, donde se definieron los roles de los integrantes del equipo frente a la auditoría interna
C2- Para las auditorías interna de segunda línea a los procesos de Aseguramiento de la Calidad Institucional y Gestión de TIC, los auditores formaron la "Declaración de independencia y compromiso ético"
Acciones asociadas al tratamiento del riesgo:
- Se proyecta realizar la mesa de trabajo durante el segundo semestre de la vigencia</v>
      </c>
      <c r="AD38" s="17" t="str">
        <f ca="1">IFERROR(__xludf.DUMMYFUNCTION("""COMPUTED_VALUE"""),"Asesora de Calidad 
(Equipos de SGC y SGA)")</f>
        <v>Asesora de Calidad 
(Equipos de SGC y SGA)</v>
      </c>
      <c r="AE38" s="18" t="str">
        <f ca="1">IFERROR(__xludf.DUMMYFUNCTION("""COMPUTED_VALUE"""),"Evidencia")</f>
        <v>Evidencia</v>
      </c>
      <c r="AF38" s="15" t="str">
        <f ca="1">IFERROR(__xludf.DUMMYFUNCTION("""COMPUTED_VALUE"""),"Si")</f>
        <v>Si</v>
      </c>
      <c r="AG38" s="15" t="str">
        <f ca="1">IFERROR(__xludf.DUMMYFUNCTION("""COMPUTED_VALUE"""),"Ejecutada")</f>
        <v>Ejecutada</v>
      </c>
      <c r="AH38" s="15" t="str">
        <f ca="1">IFERROR(__xludf.DUMMYFUNCTION("""COMPUTED_VALUE"""),"C1: Se verificó la elaboración de la matriz de incompatibilidad para la vigencia 2026, en la cual se definieron los roles de los integrantes del equipo frente a las auditorías internas de segunda línea de defensa.
C2: Se evidenció la suscripción de las d"&amp;"eclaraciones de independencia y compromiso ético por parte de los auditores internos que participaron en las auditorías realizadas durante el periodo evaluado.
Materialización del riesgo: El riesgo no se materializó durante el periodo evaluado.
Conclusi"&amp;"ón: Los controles definidos se ejecutan adecuadamente y contribuyen al fortalecimiento de la objetividad, imparcialidad e independencia durante el ejercicio de auditoría interna. Se cuenta con soportes documentales que respaldan su ejecución, manteniéndos"&amp;"e el riesgo bajo control.")</f>
        <v>C1: Se verificó la elaboración de la matriz de incompatibilidad para la vigencia 2026, en la cual se definieron los roles de los integrantes del equipo frente a las auditorías internas de segunda línea de defensa.
C2: Se evidenció la suscripción de las declaraciones de independencia y compromiso ético por parte de los auditores internos que participaron en las auditorías realizadas durante el periodo evaluado.
Materialización del riesgo: El riesgo no se materializó durante el periodo evaluado.
Conclusión: Los controles definidos se ejecutan adecuadamente y contribuyen al fortalecimiento de la objetividad, imparcialidad e independencia durante el ejercicio de auditoría interna. Se cuenta con soportes documentales que respaldan su ejecución, manteniéndose el riesgo bajo control.</v>
      </c>
      <c r="AI38" s="15" t="str">
        <f ca="1">IFERROR(__xludf.DUMMYFUNCTION("""COMPUTED_VALUE"""),"30 de abril")</f>
        <v>30 de abril</v>
      </c>
      <c r="AJ38" s="17" t="str">
        <f ca="1">IFERROR(__xludf.DUMMYFUNCTION("""COMPUTED_VALUE"""),"Si")</f>
        <v>Si</v>
      </c>
      <c r="AK38" s="17" t="str">
        <f ca="1">IFERROR(__xludf.DUMMYFUNCTION("""COMPUTED_VALUE"""),"Si")</f>
        <v>Si</v>
      </c>
      <c r="AL38" s="17" t="str">
        <f ca="1">IFERROR(__xludf.DUMMYFUNCTION("""COMPUTED_VALUE"""),"Si")</f>
        <v>Si</v>
      </c>
      <c r="AM38" s="17" t="str">
        <f ca="1">IFERROR(__xludf.DUMMYFUNCTION("""COMPUTED_VALUE"""),"Si")</f>
        <v>Si</v>
      </c>
      <c r="AN38" s="17" t="str">
        <f ca="1">IFERROR(__xludf.DUMMYFUNCTION("""COMPUTED_VALUE"""),"Si")</f>
        <v>Si</v>
      </c>
      <c r="AO38" s="17" t="str">
        <f ca="1">IFERROR(__xludf.DUMMYFUNCTION("""COMPUTED_VALUE"""),"Si")</f>
        <v>Si</v>
      </c>
      <c r="AP38" s="17" t="str">
        <f ca="1">IFERROR(__xludf.DUMMYFUNCTION("""COMPUTED_VALUE"""),"Si")</f>
        <v>Si</v>
      </c>
      <c r="AQ38" s="17" t="str">
        <f ca="1">IFERROR(__xludf.DUMMYFUNCTION("""COMPUTED_VALUE"""),"No")</f>
        <v>No</v>
      </c>
      <c r="AR38" s="17" t="str">
        <f ca="1">IFERROR(__xludf.DUMMYFUNCTION("""COMPUTED_VALUE"""),"No")</f>
        <v>No</v>
      </c>
      <c r="AS38" s="15" t="str">
        <f ca="1">IFERROR(__xludf.DUMMYFUNCTION("""COMPUTED_VALUE"""),"No aplica")</f>
        <v>No aplica</v>
      </c>
      <c r="AT38" s="15" t="str">
        <f ca="1">IFERROR(__xludf.DUMMYFUNCTION("""COMPUTED_VALUE"""),"Recomendación: 
1. Evaluar la pertinencia de incluir como parte del control, la revisión y aprobación de los informes de auditoria por parte de un autoridad independiente al equipo auditor, con el fin de ")</f>
        <v xml:space="preserve">Recomendación: 
1. Evaluar la pertinencia de incluir como parte del control, la revisión y aprobación de los informes de auditoria por parte de un autoridad independiente al equipo auditor, con el fin de </v>
      </c>
      <c r="AU38" s="10"/>
    </row>
    <row r="39" spans="1:47" x14ac:dyDescent="0.25">
      <c r="A39" s="25"/>
      <c r="B39" s="86"/>
      <c r="C39" s="86"/>
      <c r="D39" s="89"/>
      <c r="E39" s="64"/>
      <c r="F39" s="64"/>
      <c r="G39" s="64"/>
      <c r="H39" s="64"/>
      <c r="I39" s="64"/>
      <c r="J39" s="64"/>
      <c r="K39" s="64"/>
      <c r="L39" s="64"/>
      <c r="M39" s="64"/>
      <c r="N39" s="64"/>
      <c r="O39" s="64"/>
      <c r="P39" s="64"/>
      <c r="Q39" s="83"/>
      <c r="R39" s="20" t="str">
        <f ca="1">IFERROR(__xludf.DUMMYFUNCTION("""COMPUTED_VALUE"""),"")</f>
        <v/>
      </c>
      <c r="S39" s="42" t="str">
        <f ca="1">IFERROR(__xludf.DUMMYFUNCTION("""COMPUTED_VALUE"""),"")</f>
        <v/>
      </c>
      <c r="T39" s="34"/>
      <c r="U39" s="20"/>
      <c r="V39" s="89"/>
      <c r="W39" s="89"/>
      <c r="X39" s="89"/>
      <c r="Y39" s="89"/>
      <c r="Z39" s="15" t="str">
        <f ca="1">IFERROR(__xludf.DUMMYFUNCTION("""COMPUTED_VALUE"""),"30 de agosto")</f>
        <v>30 de agosto</v>
      </c>
      <c r="AA39" s="17"/>
      <c r="AB39" s="17"/>
      <c r="AC39" s="15"/>
      <c r="AD39" s="17"/>
      <c r="AE39" s="18" t="str">
        <f ca="1">IFERROR(__xludf.DUMMYFUNCTION("""COMPUTED_VALUE"""),"Evidencia")</f>
        <v>Evidencia</v>
      </c>
      <c r="AF39" s="15"/>
      <c r="AG39" s="15"/>
      <c r="AH39" s="15"/>
      <c r="AI39" s="24" t="str">
        <f ca="1">IFERROR(__xludf.DUMMYFUNCTION("""COMPUTED_VALUE"""),"31 de agosto")</f>
        <v>31 de agosto</v>
      </c>
      <c r="AJ39" s="17"/>
      <c r="AK39" s="17"/>
      <c r="AL39" s="17"/>
      <c r="AM39" s="17"/>
      <c r="AN39" s="17"/>
      <c r="AO39" s="17"/>
      <c r="AP39" s="17"/>
      <c r="AQ39" s="17"/>
      <c r="AR39" s="17"/>
      <c r="AS39" s="15"/>
      <c r="AT39" s="15"/>
      <c r="AU39" s="10"/>
    </row>
    <row r="40" spans="1:47" x14ac:dyDescent="0.25">
      <c r="A40" s="25"/>
      <c r="B40" s="87"/>
      <c r="C40" s="87"/>
      <c r="D40" s="76"/>
      <c r="E40" s="61"/>
      <c r="F40" s="61"/>
      <c r="G40" s="61"/>
      <c r="H40" s="61"/>
      <c r="I40" s="61"/>
      <c r="J40" s="61"/>
      <c r="K40" s="61"/>
      <c r="L40" s="61"/>
      <c r="M40" s="61"/>
      <c r="N40" s="61"/>
      <c r="O40" s="61"/>
      <c r="P40" s="61"/>
      <c r="Q40" s="84"/>
      <c r="R40" s="26" t="str">
        <f ca="1">IFERROR(__xludf.DUMMYFUNCTION("""COMPUTED_VALUE"""),"")</f>
        <v/>
      </c>
      <c r="S40" s="43" t="str">
        <f ca="1">IFERROR(__xludf.DUMMYFUNCTION("""COMPUTED_VALUE"""),"")</f>
        <v/>
      </c>
      <c r="T40" s="38"/>
      <c r="U40" s="26"/>
      <c r="V40" s="76"/>
      <c r="W40" s="76"/>
      <c r="X40" s="76"/>
      <c r="Y40" s="76"/>
      <c r="Z40" s="15" t="str">
        <f ca="1">IFERROR(__xludf.DUMMYFUNCTION("""COMPUTED_VALUE"""),"30 de diciembre")</f>
        <v>30 de diciembre</v>
      </c>
      <c r="AA40" s="17"/>
      <c r="AB40" s="17"/>
      <c r="AC40" s="15"/>
      <c r="AD40" s="17"/>
      <c r="AE40" s="18" t="str">
        <f ca="1">IFERROR(__xludf.DUMMYFUNCTION("""COMPUTED_VALUE"""),"Evidencia")</f>
        <v>Evidencia</v>
      </c>
      <c r="AF40" s="15"/>
      <c r="AG40" s="15"/>
      <c r="AH40" s="15"/>
      <c r="AI40" s="24" t="str">
        <f ca="1">IFERROR(__xludf.DUMMYFUNCTION("""COMPUTED_VALUE"""),"31 de diciembre")</f>
        <v>31 de diciembre</v>
      </c>
      <c r="AJ40" s="17"/>
      <c r="AK40" s="17"/>
      <c r="AL40" s="17"/>
      <c r="AM40" s="17"/>
      <c r="AN40" s="17"/>
      <c r="AO40" s="17"/>
      <c r="AP40" s="17"/>
      <c r="AQ40" s="17"/>
      <c r="AR40" s="17"/>
      <c r="AS40" s="15"/>
      <c r="AT40" s="15"/>
      <c r="AU40" s="10"/>
    </row>
    <row r="41" spans="1:47" ht="228" x14ac:dyDescent="0.25">
      <c r="A41" s="25"/>
      <c r="B41" s="90" t="s">
        <v>62</v>
      </c>
      <c r="C41" s="85" t="str">
        <f ca="1">IFERROR(__xludf.DUMMYFUNCTION("IMPORTRANGE(""https://docs.google.com/spreadsheets/d/1by65pVb79UtkE0uIlCg6i3wEhuH4NxSa89Ro2DogxYA/edit?gid=2098233099#gid=2098233099"",""Matriz_riesgos!C11:AT19"")"),"Incorporar la dimensión internacional e intercultural del conocimiento en los espacios universitarios mediante la movilidad para la formación de la comunidad universitaria, estableciendo seguimiento a los convenios, redes y alianzas interinstitucionales d"&amp;"e cooperación, diseño-ejecución de proyectos colaborativos en investigación y desarrollo, participación en sociedades del conocimiento y la institucionalización de la internacionalización en Unillanos. ")</f>
        <v xml:space="preserve">Incorporar la dimensión internacional e intercultural del conocimiento en los espacios universitarios mediante la movilidad para la formación de la comunidad universitaria, estableciendo seguimiento a los convenios, redes y alianzas interinstitucionales de cooperación, diseño-ejecución de proyectos colaborativos en investigación y desarrollo, participación en sociedades del conocimiento y la institucionalización de la internacionalización en Unillanos. </v>
      </c>
      <c r="D41" s="85" t="str">
        <f ca="1">IFERROR(__xludf.DUMMYFUNCTION("""COMPUTED_VALUE"""),"Afectación reputacional por el incumplimiento de los compromisos adquiridos en los convenios suscritos con entidades nacionales e internacionales debido a la falta de seguimiento por parte de internacionalizacion y demoras en el tramite interno para la su"&amp;"scripción de convenios en la institución.")</f>
        <v>Afectación reputacional por el incumplimiento de los compromisos adquiridos en los convenios suscritos con entidades nacionales e internacionales debido a la falta de seguimiento por parte de internacionalizacion y demoras en el tramite interno para la suscripción de convenios en la institución.</v>
      </c>
      <c r="E41" s="88" t="str">
        <f ca="1">IFERROR(__xludf.DUMMYFUNCTION("""COMPUTED_VALUE"""),"Oficina de Internacionalización y Relaciones Interinstitucionales")</f>
        <v>Oficina de Internacionalización y Relaciones Interinstitucionales</v>
      </c>
      <c r="F41" s="63" t="str">
        <f ca="1">IFERROR(__xludf.DUMMYFUNCTION("""COMPUTED_VALUE"""),"Gestión")</f>
        <v>Gestión</v>
      </c>
      <c r="G41" s="63" t="str">
        <f ca="1">IFERROR(__xludf.DUMMYFUNCTION("""COMPUTED_VALUE"""),"- Demora en el trámite interno para la suscripción de convenios.-Falta de seguimiento a los convenios por parte de la oficina de internacionalización")</f>
        <v>- Demora en el trámite interno para la suscripción de convenios.-Falta de seguimiento a los convenios por parte de la oficina de internacionalización</v>
      </c>
      <c r="H41" s="63" t="str">
        <f ca="1">IFERROR(__xludf.DUMMYFUNCTION("""COMPUTED_VALUE"""),"1) Pérdida de las relaciones interinstitucionales.
2) Detrimento de la imagen institucional. 
3) Incumplimiento de los objetivos planteados.
4)Insatisfacción de la comunidad Unillanista.
5) Disminución de la proyección internacional en la institucion.
6) "&amp;"Perdida de oportunidades para realizar trabajos conjuntos que permitan la retroalimentación en la docencia e investigación")</f>
        <v>1) Pérdida de las relaciones interinstitucionales.
2) Detrimento de la imagen institucional. 
3) Incumplimiento de los objetivos planteados.
4)Insatisfacción de la comunidad Unillanista.
5) Disminución de la proyección internacional en la institucion.
6) Perdida de oportunidades para realizar trabajos conjuntos que permitan la retroalimentación en la docencia e investigación</v>
      </c>
      <c r="I41" s="65" t="str">
        <f ca="1">IFERROR(__xludf.DUMMYFUNCTION("""COMPUTED_VALUE"""),"GRI_01")</f>
        <v>GRI_01</v>
      </c>
      <c r="J41" s="65" t="str">
        <f ca="1">IFERROR(__xludf.DUMMYFUNCTION("""COMPUTED_VALUE"""),"Media")</f>
        <v>Media</v>
      </c>
      <c r="K41" s="65" t="str">
        <f ca="1">IFERROR(__xludf.DUMMYFUNCTION("""COMPUTED_VALUE"""),"Moderado")</f>
        <v>Moderado</v>
      </c>
      <c r="L41" s="65" t="str">
        <f ca="1">IFERROR(__xludf.DUMMYFUNCTION("""COMPUTED_VALUE"""),"Alta")</f>
        <v>Alta</v>
      </c>
      <c r="M41" s="63" t="str">
        <f ca="1">IFERROR(__xludf.DUMMYFUNCTION("""COMPUTED_VALUE"""),"C1: Los profesionales de apoyo y la coordinación de OIRI al inicio de cada mes verifican los tramites internos para la gestión de convenios mediante matriz parametrizada en excel, con el fin de evidenciar que los convenios se encuentren suscritos en los t"&amp;"iempos esperados.
  ")</f>
        <v xml:space="preserve">C1: Los profesionales de apoyo y la coordinación de OIRI al inicio de cada mes verifican los tramites internos para la gestión de convenios mediante matriz parametrizada en excel, con el fin de evidenciar que los convenios se encuentren suscritos en los tiempos esperados.
  </v>
      </c>
      <c r="N41" s="65" t="str">
        <f ca="1">IFERROR(__xludf.DUMMYFUNCTION("""COMPUTED_VALUE"""),"Baja")</f>
        <v>Baja</v>
      </c>
      <c r="O41" s="65" t="str">
        <f ca="1">IFERROR(__xludf.DUMMYFUNCTION("""COMPUTED_VALUE"""),"Moderado")</f>
        <v>Moderado</v>
      </c>
      <c r="P41" s="65" t="str">
        <f ca="1">IFERROR(__xludf.DUMMYFUNCTION("""COMPUTED_VALUE"""),"Media")</f>
        <v>Media</v>
      </c>
      <c r="Q41" s="91" t="str">
        <f ca="1">IFERROR(__xludf.DUMMYFUNCTION("""COMPUTED_VALUE"""),"")</f>
        <v/>
      </c>
      <c r="R41" s="20" t="str">
        <f ca="1">IFERROR(__xludf.DUMMYFUNCTION("""COMPUTED_VALUE"""),"- Realizar seguimiento a la gestión de convenios y entregar a la dirección de curriculo los informes de seguimiento de convenios.")</f>
        <v>- Realizar seguimiento a la gestión de convenios y entregar a la dirección de curriculo los informes de seguimiento de convenios.</v>
      </c>
      <c r="S41" s="40" t="str">
        <f ca="1">IFERROR(__xludf.DUMMYFUNCTION("""COMPUTED_VALUE"""),"Mensual")</f>
        <v>Mensual</v>
      </c>
      <c r="T41" s="14" t="str">
        <f ca="1">IFERROR(__xludf.DUMMYFUNCTION("""COMPUTED_VALUE"""),"Lider OIRI")</f>
        <v>Lider OIRI</v>
      </c>
      <c r="U41" s="55" t="str">
        <f ca="1">IFERROR(__xludf.DUMMYFUNCTION("""COMPUTED_VALUE"""),"Informe mensual de cada convenio")</f>
        <v>Informe mensual de cada convenio</v>
      </c>
      <c r="V41" s="92" t="str">
        <f ca="1">IFERROR(__xludf.DUMMYFUNCTION("""COMPUTED_VALUE"""),"Informar a la institución aliada los motivos de la demora en los tramites del convenio y acordar una nueva fecha.")</f>
        <v>Informar a la institución aliada los motivos de la demora en los tramites del convenio y acordar una nueva fecha.</v>
      </c>
      <c r="W41" s="97" t="str">
        <f ca="1">IFERROR(__xludf.DUMMYFUNCTION("""COMPUTED_VALUE"""),"Correos enviados a las instituciones aliadas")</f>
        <v>Correos enviados a las instituciones aliadas</v>
      </c>
      <c r="X41" s="97" t="str">
        <f ca="1">IFERROR(__xludf.DUMMYFUNCTION("""COMPUTED_VALUE"""),"Líder OIRI")</f>
        <v>Líder OIRI</v>
      </c>
      <c r="Y41" s="97" t="str">
        <f ca="1">IFERROR(__xludf.DUMMYFUNCTION("""COMPUTED_VALUE"""),"Cada vez que se vence el convenio")</f>
        <v>Cada vez que se vence el convenio</v>
      </c>
      <c r="Z41" s="15" t="str">
        <f ca="1">IFERROR(__xludf.DUMMYFUNCTION("""COMPUTED_VALUE"""),"30 de abril")</f>
        <v>30 de abril</v>
      </c>
      <c r="AA41" s="17" t="str">
        <f ca="1">IFERROR(__xludf.DUMMYFUNCTION("""COMPUTED_VALUE"""),"Febrero-Marzo
Abril.")</f>
        <v>Febrero-Marzo
Abril.</v>
      </c>
      <c r="AB41" s="17" t="str">
        <f ca="1">IFERROR(__xludf.DUMMYFUNCTION("""COMPUTED_VALUE"""),"No")</f>
        <v>No</v>
      </c>
      <c r="AC41" s="57" t="str">
        <f ca="1">IFERROR(__xludf.DUMMYFUNCTION("""COMPUTED_VALUE"""),"Durante este monitoreo No se materializó el riesgo.
Acciones asociadas al tratamiento del riesgo:
Acciones realizadas: Seguimiento a 27 convenios vigentes. Actividad 1: Se realizó la elaboración y presentación de los informes de seguimiento mensualmente"&amp;" correspondientes a los 28 convenios en los meses de Febrero, marzo y abril, en cumplimiento con la Resolución Superior No. 1029. Estos informes se basaron en los avances y actividades establecidas en la matriz de convenios, y fueron preparados detallando"&amp;" el cumplimiento de los compromisos, logros, dificultades y propuestas de solución de cada uno de los convenios. Una vez elaborados, se notificó al supervisor para su revisión y firma al final de cada mes (febrero, marzo y abril), asegurando que el proces"&amp;"o se realizara dentro de los plazos establecidos. Los informes fueron entregados al supervisor de manera formal por medio del drive https://docs.google.com/spreadsheets/d/1KhHVCNqFSrclU33O0CBGgqTgWqUwFzaI/edit?gid=154262260#gid=154262260  cada carpeta y m"&amp;"es de cada informe, y se realizó el debido seguimiento para asegurar que fueran revisados y firmados, a lo largo de este proceso, se mantuvo actualizada la matriz de convenios, la cual permitió consolidar el estado de avance de cada convenio. De esta form"&amp;"a, se garantizó el cumplimiento de los procedimientos establecidos por la normativa vigente y la correcta ejecución de las actividades, asegurando que todos los informes de seguimiento fueran entregados puntualmente y con la debida validación por parte de"&amp;"l supervisor. 
Avance sobre los controles existentes: 
Se elabora matriz de seguimiento de convenios, la cual se diligencia de manera mensual, con el fin de llevar el control sobre la elaboración de los informes de los convenios vigentes, se incluye el e"&amp;"nlace del documento correspondiente al mes vigente. Esto nos permite llevar un control claro y organizado a cada uno de los convenios vigentes.
")</f>
        <v xml:space="preserve">Durante este monitoreo No se materializó el riesgo.
Acciones asociadas al tratamiento del riesgo:
Acciones realizadas: Seguimiento a 27 convenios vigentes. Actividad 1: Se realizó la elaboración y presentación de los informes de seguimiento mensualmente correspondientes a los 28 convenios en los meses de Febrero, marzo y abril, en cumplimiento con la Resolución Superior No. 1029. Estos informes se basaron en los avances y actividades establecidas en la matriz de convenios, y fueron preparados detallando el cumplimiento de los compromisos, logros, dificultades y propuestas de solución de cada uno de los convenios. Una vez elaborados, se notificó al supervisor para su revisión y firma al final de cada mes (febrero, marzo y abril), asegurando que el proceso se realizara dentro de los plazos establecidos. Los informes fueron entregados al supervisor de manera formal por medio del drive https://docs.google.com/spreadsheets/d/1KhHVCNqFSrclU33O0CBGgqTgWqUwFzaI/edit?gid=154262260#gid=154262260  cada carpeta y mes de cada informe, y se realizó el debido seguimiento para asegurar que fueran revisados y firmados, a lo largo de este proceso, se mantuvo actualizada la matriz de convenios, la cual permitió consolidar el estado de avance de cada convenio. De esta forma, se garantizó el cumplimiento de los procedimientos establecidos por la normativa vigente y la correcta ejecución de las actividades, asegurando que todos los informes de seguimiento fueran entregados puntualmente y con la debida validación por parte del supervisor. 
Avance sobre los controles existentes: 
Se elabora matriz de seguimiento de convenios, la cual se diligencia de manera mensual, con el fin de llevar el control sobre la elaboración de los informes de los convenios vigentes, se incluye el enlace del documento correspondiente al mes vigente. Esto nos permite llevar un control claro y organizado a cada uno de los convenios vigentes.
</v>
      </c>
      <c r="AD41" s="17" t="str">
        <f ca="1">IFERROR(__xludf.DUMMYFUNCTION("""COMPUTED_VALUE"""),"Profesional de Apoyo proceso de movilidad / Lider OIRI ")</f>
        <v xml:space="preserve">Profesional de Apoyo proceso de movilidad / Lider OIRI </v>
      </c>
      <c r="AE41" s="18" t="str">
        <f ca="1">IFERROR(__xludf.DUMMYFUNCTION("""COMPUTED_VALUE"""),"Evidencia")</f>
        <v>Evidencia</v>
      </c>
      <c r="AF41" s="15" t="str">
        <f ca="1">IFERROR(__xludf.DUMMYFUNCTION("""COMPUTED_VALUE"""),"Si")</f>
        <v>Si</v>
      </c>
      <c r="AG41" s="15" t="str">
        <f ca="1">IFERROR(__xludf.DUMMYFUNCTION("""COMPUTED_VALUE"""),"Ejecutada")</f>
        <v>Ejecutada</v>
      </c>
      <c r="AH41" s="15" t="str">
        <f ca="1">IFERROR(__xludf.DUMMYFUNCTION("""COMPUTED_VALUE"""),"C1: Se verificó la elaboración y actualización mensual de la matriz de seguimiento de convenios, evidenciando control sobre los trámites internos y el seguimiento a los convenios vigentes suscritos por la Institución.
Acción de tratamiento: Se evidenció "&amp;"la elaboración y entrega de informes mensuales de seguimiento de convenios correspondientes a los meses de febrero, marzo y abril, permitiendo el monitoreo de avances, compromisos y estado de ejecución de los convenios vigentes.
Materialización del riesg"&amp;"o: El riesgo no se materializó durante el periodo evaluado.
Conclusión: Se evidenció la ejecución de los controles y acciones de seguimiento definidas para la gestión de convenios, contribuyendo al monitoreo oportuno de los compromisos adquiridos y al fo"&amp;"rtalecimiento de las relaciones interinstitucionales. Se cuenta con soportes documentales que respaldan su ejecución.")</f>
        <v>C1: Se verificó la elaboración y actualización mensual de la matriz de seguimiento de convenios, evidenciando control sobre los trámites internos y el seguimiento a los convenios vigentes suscritos por la Institución.
Acción de tratamiento: Se evidenció la elaboración y entrega de informes mensuales de seguimiento de convenios correspondientes a los meses de febrero, marzo y abril, permitiendo el monitoreo de avances, compromisos y estado de ejecución de los convenios vigentes.
Materialización del riesgo: El riesgo no se materializó durante el periodo evaluado.
Conclusión: Se evidenció la ejecución de los controles y acciones de seguimiento definidas para la gestión de convenios, contribuyendo al monitoreo oportuno de los compromisos adquiridos y al fortalecimiento de las relaciones interinstitucionales. Se cuenta con soportes documentales que respaldan su ejecución.</v>
      </c>
      <c r="AI41" s="15" t="str">
        <f ca="1">IFERROR(__xludf.DUMMYFUNCTION("""COMPUTED_VALUE"""),"30 de abril")</f>
        <v>30 de abril</v>
      </c>
      <c r="AJ41" s="17" t="str">
        <f ca="1">IFERROR(__xludf.DUMMYFUNCTION("""COMPUTED_VALUE"""),"Si")</f>
        <v>Si</v>
      </c>
      <c r="AK41" s="17" t="str">
        <f ca="1">IFERROR(__xludf.DUMMYFUNCTION("""COMPUTED_VALUE"""),"Si")</f>
        <v>Si</v>
      </c>
      <c r="AL41" s="17" t="str">
        <f ca="1">IFERROR(__xludf.DUMMYFUNCTION("""COMPUTED_VALUE"""),"Si")</f>
        <v>Si</v>
      </c>
      <c r="AM41" s="17" t="str">
        <f ca="1">IFERROR(__xludf.DUMMYFUNCTION("""COMPUTED_VALUE"""),"Si")</f>
        <v>Si</v>
      </c>
      <c r="AN41" s="17" t="str">
        <f ca="1">IFERROR(__xludf.DUMMYFUNCTION("""COMPUTED_VALUE"""),"Si")</f>
        <v>Si</v>
      </c>
      <c r="AO41" s="17" t="str">
        <f ca="1">IFERROR(__xludf.DUMMYFUNCTION("""COMPUTED_VALUE"""),"Si")</f>
        <v>Si</v>
      </c>
      <c r="AP41" s="17" t="str">
        <f ca="1">IFERROR(__xludf.DUMMYFUNCTION("""COMPUTED_VALUE"""),"Si")</f>
        <v>Si</v>
      </c>
      <c r="AQ41" s="17" t="str">
        <f ca="1">IFERROR(__xludf.DUMMYFUNCTION("""COMPUTED_VALUE"""),"No")</f>
        <v>No</v>
      </c>
      <c r="AR41" s="17" t="str">
        <f ca="1">IFERROR(__xludf.DUMMYFUNCTION("""COMPUTED_VALUE"""),"No")</f>
        <v>No</v>
      </c>
      <c r="AS41" s="15" t="str">
        <f ca="1">IFERROR(__xludf.DUMMYFUNCTION("""COMPUTED_VALUE"""),"No aplica")</f>
        <v>No aplica</v>
      </c>
      <c r="AT41" s="15" t="str">
        <f ca="1">IFERROR(__xludf.DUMMYFUNCTION("""COMPUTED_VALUE"""),"Recomendaciones: 
1. Establecer la opción de manejo del riesgo residual (Celda Q:11)")</f>
        <v>Recomendaciones: 
1. Establecer la opción de manejo del riesgo residual (Celda Q:11)</v>
      </c>
      <c r="AU41" s="10"/>
    </row>
    <row r="42" spans="1:47" x14ac:dyDescent="0.25">
      <c r="A42" s="25"/>
      <c r="B42" s="86"/>
      <c r="C42" s="86"/>
      <c r="D42" s="86"/>
      <c r="E42" s="89"/>
      <c r="F42" s="64"/>
      <c r="G42" s="64"/>
      <c r="H42" s="64"/>
      <c r="I42" s="64"/>
      <c r="J42" s="64"/>
      <c r="K42" s="64"/>
      <c r="L42" s="64"/>
      <c r="M42" s="64"/>
      <c r="N42" s="64"/>
      <c r="O42" s="64"/>
      <c r="P42" s="64"/>
      <c r="Q42" s="83"/>
      <c r="R42" s="20" t="str">
        <f ca="1">IFERROR(__xludf.DUMMYFUNCTION("""COMPUTED_VALUE"""),"")</f>
        <v/>
      </c>
      <c r="S42" s="42" t="str">
        <f ca="1">IFERROR(__xludf.DUMMYFUNCTION("""COMPUTED_VALUE"""),"")</f>
        <v/>
      </c>
      <c r="T42" s="34"/>
      <c r="U42" s="20"/>
      <c r="V42" s="89"/>
      <c r="W42" s="89"/>
      <c r="X42" s="89"/>
      <c r="Y42" s="89"/>
      <c r="Z42" s="15" t="str">
        <f ca="1">IFERROR(__xludf.DUMMYFUNCTION("""COMPUTED_VALUE"""),"30 de agosto")</f>
        <v>30 de agosto</v>
      </c>
      <c r="AA42" s="17"/>
      <c r="AB42" s="17"/>
      <c r="AC42" s="15"/>
      <c r="AD42" s="17"/>
      <c r="AE42" s="18" t="str">
        <f ca="1">IFERROR(__xludf.DUMMYFUNCTION("""COMPUTED_VALUE"""),"Evidencia")</f>
        <v>Evidencia</v>
      </c>
      <c r="AF42" s="15"/>
      <c r="AG42" s="15"/>
      <c r="AH42" s="15"/>
      <c r="AI42" s="24" t="str">
        <f ca="1">IFERROR(__xludf.DUMMYFUNCTION("""COMPUTED_VALUE"""),"31 de agosto")</f>
        <v>31 de agosto</v>
      </c>
      <c r="AJ42" s="17"/>
      <c r="AK42" s="17"/>
      <c r="AL42" s="17"/>
      <c r="AM42" s="17"/>
      <c r="AN42" s="17"/>
      <c r="AO42" s="17"/>
      <c r="AP42" s="17"/>
      <c r="AQ42" s="17"/>
      <c r="AR42" s="17"/>
      <c r="AS42" s="15"/>
      <c r="AT42" s="15"/>
      <c r="AU42" s="10"/>
    </row>
    <row r="43" spans="1:47" x14ac:dyDescent="0.25">
      <c r="A43" s="25"/>
      <c r="B43" s="86"/>
      <c r="C43" s="86"/>
      <c r="D43" s="87"/>
      <c r="E43" s="76"/>
      <c r="F43" s="61"/>
      <c r="G43" s="61"/>
      <c r="H43" s="61"/>
      <c r="I43" s="61"/>
      <c r="J43" s="61"/>
      <c r="K43" s="61"/>
      <c r="L43" s="61"/>
      <c r="M43" s="61"/>
      <c r="N43" s="61"/>
      <c r="O43" s="61"/>
      <c r="P43" s="61"/>
      <c r="Q43" s="84"/>
      <c r="R43" s="26" t="str">
        <f ca="1">IFERROR(__xludf.DUMMYFUNCTION("""COMPUTED_VALUE"""),"")</f>
        <v/>
      </c>
      <c r="S43" s="43" t="str">
        <f ca="1">IFERROR(__xludf.DUMMYFUNCTION("""COMPUTED_VALUE"""),"")</f>
        <v/>
      </c>
      <c r="T43" s="38"/>
      <c r="U43" s="26"/>
      <c r="V43" s="76"/>
      <c r="W43" s="76"/>
      <c r="X43" s="76"/>
      <c r="Y43" s="76"/>
      <c r="Z43" s="15" t="str">
        <f ca="1">IFERROR(__xludf.DUMMYFUNCTION("""COMPUTED_VALUE"""),"30 de diciembre")</f>
        <v>30 de diciembre</v>
      </c>
      <c r="AA43" s="17"/>
      <c r="AB43" s="17"/>
      <c r="AC43" s="15"/>
      <c r="AD43" s="17"/>
      <c r="AE43" s="18" t="str">
        <f ca="1">IFERROR(__xludf.DUMMYFUNCTION("""COMPUTED_VALUE"""),"Evidencia")</f>
        <v>Evidencia</v>
      </c>
      <c r="AF43" s="15"/>
      <c r="AG43" s="15"/>
      <c r="AH43" s="15"/>
      <c r="AI43" s="24" t="str">
        <f ca="1">IFERROR(__xludf.DUMMYFUNCTION("""COMPUTED_VALUE"""),"31 de diciembre")</f>
        <v>31 de diciembre</v>
      </c>
      <c r="AJ43" s="17"/>
      <c r="AK43" s="17"/>
      <c r="AL43" s="17"/>
      <c r="AM43" s="17"/>
      <c r="AN43" s="17"/>
      <c r="AO43" s="17"/>
      <c r="AP43" s="17"/>
      <c r="AQ43" s="17"/>
      <c r="AR43" s="17"/>
      <c r="AS43" s="15"/>
      <c r="AT43" s="15"/>
      <c r="AU43" s="10"/>
    </row>
    <row r="44" spans="1:47" ht="240" x14ac:dyDescent="0.25">
      <c r="A44" s="25"/>
      <c r="B44" s="86"/>
      <c r="C44" s="86"/>
      <c r="D44" s="85" t="str">
        <f ca="1">IFERROR(__xludf.DUMMYFUNCTION("""COMPUTED_VALUE"""),"Posibilidad de afectación reputacional por el incumplimiento de los compromisos adquiridos por estudiantes y docentes en la movilidad académica debido a la falta de seguimiento en la entrega de los informes de movilidad por parte de los estudiantes y doce"&amp;"ntes.")</f>
        <v>Posibilidad de afectación reputacional por el incumplimiento de los compromisos adquiridos por estudiantes y docentes en la movilidad académica debido a la falta de seguimiento en la entrega de los informes de movilidad por parte de los estudiantes y docentes.</v>
      </c>
      <c r="E44" s="88" t="str">
        <f ca="1">IFERROR(__xludf.DUMMYFUNCTION("""COMPUTED_VALUE"""),"Oficina de Internacionalización y Relaciones Interinstitucionales")</f>
        <v>Oficina de Internacionalización y Relaciones Interinstitucionales</v>
      </c>
      <c r="F44" s="63" t="str">
        <f ca="1">IFERROR(__xludf.DUMMYFUNCTION("""COMPUTED_VALUE"""),"Gestión")</f>
        <v>Gestión</v>
      </c>
      <c r="G44" s="63" t="str">
        <f ca="1">IFERROR(__xludf.DUMMYFUNCTION("""COMPUTED_VALUE"""),"
- Falta de seguimiento en la entrega de los informes de movilidad por parte de los estudiantes y docentes- Falta de interes en el cumplimiento de los compromisos de movilidad por parte de los estudiantes y docentes
")</f>
        <v xml:space="preserve">
- Falta de seguimiento en la entrega de los informes de movilidad por parte de los estudiantes y docentes- Falta de interes en el cumplimiento de los compromisos de movilidad por parte de los estudiantes y docentes
</v>
      </c>
      <c r="H44" s="63" t="str">
        <f ca="1">IFERROR(__xludf.DUMMYFUNCTION("""COMPUTED_VALUE"""),"1) Incumplimiento de la normatividad interna por parte de quienes realizan movilidad académica.
2) Incumplimiento al procedimiento movilidad saliente nacional e internacional.
3) Perdida de credibilidad en la información reportada por el proceso.
4) Retra"&amp;"so en el proceso.")</f>
        <v>1) Incumplimiento de la normatividad interna por parte de quienes realizan movilidad académica.
2) Incumplimiento al procedimiento movilidad saliente nacional e internacional.
3) Perdida de credibilidad en la información reportada por el proceso.
4) Retraso en el proceso.</v>
      </c>
      <c r="I44" s="65" t="str">
        <f ca="1">IFERROR(__xludf.DUMMYFUNCTION("""COMPUTED_VALUE"""),"GRI_02")</f>
        <v>GRI_02</v>
      </c>
      <c r="J44" s="65" t="str">
        <f ca="1">IFERROR(__xludf.DUMMYFUNCTION("""COMPUTED_VALUE"""),"Alta")</f>
        <v>Alta</v>
      </c>
      <c r="K44" s="65" t="str">
        <f ca="1">IFERROR(__xludf.DUMMYFUNCTION("""COMPUTED_VALUE"""),"Moderado")</f>
        <v>Moderado</v>
      </c>
      <c r="L44" s="65" t="str">
        <f ca="1">IFERROR(__xludf.DUMMYFUNCTION("""COMPUTED_VALUE"""),"Alta")</f>
        <v>Alta</v>
      </c>
      <c r="M44" s="63" t="str">
        <f ca="1">IFERROR(__xludf.DUMMYFUNCTION("""COMPUTED_VALUE"""),"C1: El coordinador de OIRI y los profesionales de apoyo de movilidad diligencian el cuadro de movilidad con el fin de realizar seguimiento al estado de la información suministrada por estudiantes y docentes segun el tipo de movilidad
C2: El coordinador de"&amp;" OIRI y los profesionales de apoyo de movilidad verifican el cumplimiento de los requisitos de movilidad acorde a los lineamientos y solicitan por correo electronico soporte de los compromisos segun la movilidad que aplique. 
 ")</f>
        <v xml:space="preserve">C1: El coordinador de OIRI y los profesionales de apoyo de movilidad diligencian el cuadro de movilidad con el fin de realizar seguimiento al estado de la información suministrada por estudiantes y docentes segun el tipo de movilidad
C2: El coordinador de OIRI y los profesionales de apoyo de movilidad verifican el cumplimiento de los requisitos de movilidad acorde a los lineamientos y solicitan por correo electronico soporte de los compromisos segun la movilidad que aplique. 
 </v>
      </c>
      <c r="N44" s="65" t="str">
        <f ca="1">IFERROR(__xludf.DUMMYFUNCTION("""COMPUTED_VALUE"""),"Baja")</f>
        <v>Baja</v>
      </c>
      <c r="O44" s="65" t="str">
        <f ca="1">IFERROR(__xludf.DUMMYFUNCTION("""COMPUTED_VALUE"""),"Moderado")</f>
        <v>Moderado</v>
      </c>
      <c r="P44" s="65" t="str">
        <f ca="1">IFERROR(__xludf.DUMMYFUNCTION("""COMPUTED_VALUE"""),"Media")</f>
        <v>Media</v>
      </c>
      <c r="Q44" s="91" t="str">
        <f ca="1">IFERROR(__xludf.DUMMYFUNCTION("""COMPUTED_VALUE"""),"Reducir")</f>
        <v>Reducir</v>
      </c>
      <c r="R44" s="20" t="str">
        <f ca="1">IFERROR(__xludf.DUMMYFUNCTION("""COMPUTED_VALUE"""),"- Divulgación a la comunidad estudiantil y docente sobre los compromisos a cumplir durante la movilidad academica.")</f>
        <v>- Divulgación a la comunidad estudiantil y docente sobre los compromisos a cumplir durante la movilidad academica.</v>
      </c>
      <c r="S44" s="40" t="str">
        <f ca="1">IFERROR(__xludf.DUMMYFUNCTION("""COMPUTED_VALUE"""),"Anual")</f>
        <v>Anual</v>
      </c>
      <c r="T44" s="32" t="str">
        <f ca="1">IFERROR(__xludf.DUMMYFUNCTION("""COMPUTED_VALUE"""),"Líder OIRI")</f>
        <v>Líder OIRI</v>
      </c>
      <c r="U44" s="41" t="str">
        <f ca="1">IFERROR(__xludf.DUMMYFUNCTION("""COMPUTED_VALUE"""),"Acta o carta de compromiso")</f>
        <v>Acta o carta de compromiso</v>
      </c>
      <c r="V44" s="92" t="str">
        <f ca="1">IFERROR(__xludf.DUMMYFUNCTION("""COMPUTED_VALUE"""),"Informar al comite de relaciones nacionales e internacionales sobre los estudiantes y docentes que incumplieron los requisitos de la convocatoria y de movilidad")</f>
        <v>Informar al comite de relaciones nacionales e internacionales sobre los estudiantes y docentes que incumplieron los requisitos de la convocatoria y de movilidad</v>
      </c>
      <c r="W44" s="97" t="str">
        <f ca="1">IFERROR(__xludf.DUMMYFUNCTION("""COMPUTED_VALUE"""),"Acta de comite")</f>
        <v>Acta de comite</v>
      </c>
      <c r="X44" s="97" t="str">
        <f ca="1">IFERROR(__xludf.DUMMYFUNCTION("""COMPUTED_VALUE"""),"Líder OIRI")</f>
        <v>Líder OIRI</v>
      </c>
      <c r="Y44" s="97" t="str">
        <f ca="1">IFERROR(__xludf.DUMMYFUNCTION("""COMPUTED_VALUE"""),"Cada vez que se requiera informar")</f>
        <v>Cada vez que se requiera informar</v>
      </c>
      <c r="Z44" s="15" t="str">
        <f ca="1">IFERROR(__xludf.DUMMYFUNCTION("""COMPUTED_VALUE"""),"30 de abril")</f>
        <v>30 de abril</v>
      </c>
      <c r="AA44" s="17" t="str">
        <f ca="1">IFERROR(__xludf.DUMMYFUNCTION("""COMPUTED_VALUE"""),"Febrero-Marzo
Abril.")</f>
        <v>Febrero-Marzo
Abril.</v>
      </c>
      <c r="AB44" s="17" t="str">
        <f ca="1">IFERROR(__xludf.DUMMYFUNCTION("""COMPUTED_VALUE"""),"No")</f>
        <v>No</v>
      </c>
      <c r="AC44" s="15" t="str">
        <f ca="1">IFERROR(__xludf.DUMMYFUNCTION("""COMPUTED_VALUE"""),"Durante el primer monitoreo de enero a abril, No se materializó el riesgo.
Acciones Asocialdas al Tratamiento:
El profesional de apoyo de movilidad de estancias largas, hace seguimiento de la entrega de los compromisos académicos y adminsitraticos que a"&amp;"dquieren los estudaintes al ser participantes em movilidad académica en estancias largas (intercambios, prácticas y pasantías), ya estos se encuentran estipuladas en las Cartas de Compromisos que son firmadas por estudiantes y acudientes de movilidad. 
"&amp;"Avances sobre los controles existentes:
El Profesional de Apoyo a cargo del proceso de movilidad académica de larga estancia verifica que la información suministrada por los estudiantes corresponda a los requisitos establecidos en la convocatoria de acuer"&amp;"do con el procedimiento PD-GIT-08 PROCEDIMIENTO MOVILIDAD SALIENTE NACIONAL E INTERNACIONAL. Esta verificación se realiza mediante el cotejo de los soportes documentales contenidos en carpetas digitales individuales por estudiante, las cuales se almacenan"&amp;" en el Drive institucional y se registran en los formatos FO-GIT-01 y FO-GIT-18 Control de Documentos para Estudiantes Salientes.
C1: Se elaboran las matrices ""Cuadro de Intercambios, Prácticas y Pasantías 2025"" y ""Cuadro de Intercambios, Prácticas y "&amp;"Pasantías 2026"" con el fin de para realizar un seguimeinto y verificación de la entrega de los compromisos de los estudiantes en movilidad del segundo semestre de 2025 y primer semestre de 2026. 
C2: El profesional de apoyo realizó las solicitudes de los"&amp;" informes finales de movilidad a los estudiantes que finailizaron movilidad en el 2025-2 a través del correo con el fin de quedar al día y poder cerrar los procesos de movilidad de ese periodo. Asimismo, se realizaron las solicitudes de los estudiantes qu"&amp;"e iniciaron su movilidad en el IPA de 2026 como la entrega de las cartas de compromisos. 
")</f>
        <v xml:space="preserve">Durante el primer monitoreo de enero a abril, No se materializó el riesgo.
Acciones Asocialdas al Tratamiento:
El profesional de apoyo de movilidad de estancias largas, hace seguimiento de la entrega de los compromisos académicos y adminsitraticos que adquieren los estudaintes al ser participantes em movilidad académica en estancias largas (intercambios, prácticas y pasantías), ya estos se encuentran estipuladas en las Cartas de Compromisos que son firmadas por estudiantes y acudientes de movilidad. 
Avances sobre los controles existentes:
El Profesional de Apoyo a cargo del proceso de movilidad académica de larga estancia verifica que la información suministrada por los estudiantes corresponda a los requisitos establecidos en la convocatoria de acuerdo con el procedimiento PD-GIT-08 PROCEDIMIENTO MOVILIDAD SALIENTE NACIONAL E INTERNACIONAL. Esta verificación se realiza mediante el cotejo de los soportes documentales contenidos en carpetas digitales individuales por estudiante, las cuales se almacenan en el Drive institucional y se registran en los formatos FO-GIT-01 y FO-GIT-18 Control de Documentos para Estudiantes Salientes.
C1: Se elaboran las matrices "Cuadro de Intercambios, Prácticas y Pasantías 2025" y "Cuadro de Intercambios, Prácticas y Pasantías 2026" con el fin de para realizar un seguimeinto y verificación de la entrega de los compromisos de los estudiantes en movilidad del segundo semestre de 2025 y primer semestre de 2026. 
C2: El profesional de apoyo realizó las solicitudes de los informes finales de movilidad a los estudiantes que finailizaron movilidad en el 2025-2 a través del correo con el fin de quedar al día y poder cerrar los procesos de movilidad de ese periodo. Asimismo, se realizaron las solicitudes de los estudiantes que iniciaron su movilidad en el IPA de 2026 como la entrega de las cartas de compromisos. 
</v>
      </c>
      <c r="AD44" s="17" t="str">
        <f ca="1">IFERROR(__xludf.DUMMYFUNCTION("""COMPUTED_VALUE"""),"Profesional de Apoyo proceso de movilidad / Lider OIRI ")</f>
        <v xml:space="preserve">Profesional de Apoyo proceso de movilidad / Lider OIRI </v>
      </c>
      <c r="AE44" s="18" t="str">
        <f ca="1">IFERROR(__xludf.DUMMYFUNCTION("""COMPUTED_VALUE"""),"Evidencia")</f>
        <v>Evidencia</v>
      </c>
      <c r="AF44" s="15" t="str">
        <f ca="1">IFERROR(__xludf.DUMMYFUNCTION("""COMPUTED_VALUE"""),"Si")</f>
        <v>Si</v>
      </c>
      <c r="AG44" s="15" t="str">
        <f ca="1">IFERROR(__xludf.DUMMYFUNCTION("""COMPUTED_VALUE"""),"Ejecutada")</f>
        <v>Ejecutada</v>
      </c>
      <c r="AH44" s="15" t="str">
        <f ca="1">IFERROR(__xludf.DUMMYFUNCTION("""COMPUTED_VALUE"""),"C1: Se verificó el diligenciamiento y actualización de las matrices de seguimiento de movilidad académica correspondientes a los periodos 2025 y 2026, evidenciando control sobre el estado de la información y compromisos adquiridos por estudiantes y docent"&amp;"es.
C2: Se evidenció la solicitud y verificación, mediante correo electrónico, de los informes finales y demás soportes requeridos para el cumplimiento de los compromisos asociados a la movilidad académica.
Acción de tratamiento: Se evidenció la suscrip"&amp;"ción de cartas de compromiso por parte de estudiantes participantes en movilidad académica, como mecanismo de fortalecimiento del cumplimiento de los compromisos adquiridos.
Materialización del riesgo: El riesgo no se materializó durante el periodo evalu"&amp;"ado.
Conclusión: Se evidenció la ejecución de los controles y acciones de seguimiento definidas para el proceso de movilidad académica, contribuyendo al control y cumplimiento de los compromisos adquiridos por estudiantes y docentes. Se cuenta con soport"&amp;"es documentales que respaldan su ejecución.")</f>
        <v>C1: Se verificó el diligenciamiento y actualización de las matrices de seguimiento de movilidad académica correspondientes a los periodos 2025 y 2026, evidenciando control sobre el estado de la información y compromisos adquiridos por estudiantes y docentes.
C2: Se evidenció la solicitud y verificación, mediante correo electrónico, de los informes finales y demás soportes requeridos para el cumplimiento de los compromisos asociados a la movilidad académica.
Acción de tratamiento: Se evidenció la suscripción de cartas de compromiso por parte de estudiantes participantes en movilidad académica, como mecanismo de fortalecimiento del cumplimiento de los compromisos adquiridos.
Materialización del riesgo: El riesgo no se materializó durante el periodo evaluado.
Conclusión: Se evidenció la ejecución de los controles y acciones de seguimiento definidas para el proceso de movilidad académica, contribuyendo al control y cumplimiento de los compromisos adquiridos por estudiantes y docentes. Se cuenta con soportes documentales que respaldan su ejecución.</v>
      </c>
      <c r="AI44" s="15" t="str">
        <f ca="1">IFERROR(__xludf.DUMMYFUNCTION("""COMPUTED_VALUE"""),"30 de abril")</f>
        <v>30 de abril</v>
      </c>
      <c r="AJ44" s="17" t="str">
        <f ca="1">IFERROR(__xludf.DUMMYFUNCTION("""COMPUTED_VALUE"""),"Si")</f>
        <v>Si</v>
      </c>
      <c r="AK44" s="17" t="str">
        <f ca="1">IFERROR(__xludf.DUMMYFUNCTION("""COMPUTED_VALUE"""),"Si")</f>
        <v>Si</v>
      </c>
      <c r="AL44" s="17" t="str">
        <f ca="1">IFERROR(__xludf.DUMMYFUNCTION("""COMPUTED_VALUE"""),"Si")</f>
        <v>Si</v>
      </c>
      <c r="AM44" s="17" t="str">
        <f ca="1">IFERROR(__xludf.DUMMYFUNCTION("""COMPUTED_VALUE"""),"Si")</f>
        <v>Si</v>
      </c>
      <c r="AN44" s="17" t="str">
        <f ca="1">IFERROR(__xludf.DUMMYFUNCTION("""COMPUTED_VALUE"""),"Si")</f>
        <v>Si</v>
      </c>
      <c r="AO44" s="17" t="str">
        <f ca="1">IFERROR(__xludf.DUMMYFUNCTION("""COMPUTED_VALUE"""),"Si")</f>
        <v>Si</v>
      </c>
      <c r="AP44" s="17" t="str">
        <f ca="1">IFERROR(__xludf.DUMMYFUNCTION("""COMPUTED_VALUE"""),"Si")</f>
        <v>Si</v>
      </c>
      <c r="AQ44" s="17" t="str">
        <f ca="1">IFERROR(__xludf.DUMMYFUNCTION("""COMPUTED_VALUE"""),"No")</f>
        <v>No</v>
      </c>
      <c r="AR44" s="17" t="str">
        <f ca="1">IFERROR(__xludf.DUMMYFUNCTION("""COMPUTED_VALUE"""),"No")</f>
        <v>No</v>
      </c>
      <c r="AS44" s="15" t="str">
        <f ca="1">IFERROR(__xludf.DUMMYFUNCTION("""COMPUTED_VALUE"""),"No aplica")</f>
        <v>No aplica</v>
      </c>
      <c r="AT44" s="15" t="str">
        <f ca="1">IFERROR(__xludf.DUMMYFUNCTION("""COMPUTED_VALUE"""),"Ninguna")</f>
        <v>Ninguna</v>
      </c>
      <c r="AU44" s="10"/>
    </row>
    <row r="45" spans="1:47" x14ac:dyDescent="0.25">
      <c r="A45" s="25"/>
      <c r="B45" s="86"/>
      <c r="C45" s="86"/>
      <c r="D45" s="86"/>
      <c r="E45" s="89"/>
      <c r="F45" s="64"/>
      <c r="G45" s="64"/>
      <c r="H45" s="64"/>
      <c r="I45" s="64"/>
      <c r="J45" s="64"/>
      <c r="K45" s="64"/>
      <c r="L45" s="64"/>
      <c r="M45" s="64"/>
      <c r="N45" s="64"/>
      <c r="O45" s="64"/>
      <c r="P45" s="64"/>
      <c r="Q45" s="83"/>
      <c r="R45" s="20" t="str">
        <f ca="1">IFERROR(__xludf.DUMMYFUNCTION("""COMPUTED_VALUE"""),"")</f>
        <v/>
      </c>
      <c r="S45" s="42" t="str">
        <f ca="1">IFERROR(__xludf.DUMMYFUNCTION("""COMPUTED_VALUE"""),"")</f>
        <v/>
      </c>
      <c r="T45" s="34"/>
      <c r="U45" s="20"/>
      <c r="V45" s="89"/>
      <c r="W45" s="89"/>
      <c r="X45" s="89"/>
      <c r="Y45" s="89"/>
      <c r="Z45" s="15" t="str">
        <f ca="1">IFERROR(__xludf.DUMMYFUNCTION("""COMPUTED_VALUE"""),"30 de agosto")</f>
        <v>30 de agosto</v>
      </c>
      <c r="AA45" s="17"/>
      <c r="AB45" s="17"/>
      <c r="AC45" s="15"/>
      <c r="AD45" s="17"/>
      <c r="AE45" s="18" t="str">
        <f ca="1">IFERROR(__xludf.DUMMYFUNCTION("""COMPUTED_VALUE"""),"Evidencia")</f>
        <v>Evidencia</v>
      </c>
      <c r="AF45" s="15"/>
      <c r="AG45" s="15"/>
      <c r="AH45" s="15"/>
      <c r="AI45" s="24" t="str">
        <f ca="1">IFERROR(__xludf.DUMMYFUNCTION("""COMPUTED_VALUE"""),"31 de agosto")</f>
        <v>31 de agosto</v>
      </c>
      <c r="AJ45" s="17"/>
      <c r="AK45" s="17"/>
      <c r="AL45" s="17"/>
      <c r="AM45" s="17"/>
      <c r="AN45" s="17"/>
      <c r="AO45" s="17"/>
      <c r="AP45" s="17"/>
      <c r="AQ45" s="17"/>
      <c r="AR45" s="17"/>
      <c r="AS45" s="15"/>
      <c r="AT45" s="15"/>
      <c r="AU45" s="10"/>
    </row>
    <row r="46" spans="1:47" x14ac:dyDescent="0.25">
      <c r="A46" s="25"/>
      <c r="B46" s="86"/>
      <c r="C46" s="86"/>
      <c r="D46" s="87"/>
      <c r="E46" s="76"/>
      <c r="F46" s="61"/>
      <c r="G46" s="61"/>
      <c r="H46" s="61"/>
      <c r="I46" s="61"/>
      <c r="J46" s="61"/>
      <c r="K46" s="61"/>
      <c r="L46" s="61"/>
      <c r="M46" s="61"/>
      <c r="N46" s="61"/>
      <c r="O46" s="61"/>
      <c r="P46" s="61"/>
      <c r="Q46" s="84"/>
      <c r="R46" s="26" t="str">
        <f ca="1">IFERROR(__xludf.DUMMYFUNCTION("""COMPUTED_VALUE"""),"")</f>
        <v/>
      </c>
      <c r="S46" s="43" t="str">
        <f ca="1">IFERROR(__xludf.DUMMYFUNCTION("""COMPUTED_VALUE"""),"")</f>
        <v/>
      </c>
      <c r="T46" s="38"/>
      <c r="U46" s="26"/>
      <c r="V46" s="76"/>
      <c r="W46" s="76"/>
      <c r="X46" s="76"/>
      <c r="Y46" s="76"/>
      <c r="Z46" s="15" t="str">
        <f ca="1">IFERROR(__xludf.DUMMYFUNCTION("""COMPUTED_VALUE"""),"30 de diciembre")</f>
        <v>30 de diciembre</v>
      </c>
      <c r="AA46" s="17"/>
      <c r="AB46" s="17"/>
      <c r="AC46" s="15"/>
      <c r="AD46" s="17"/>
      <c r="AE46" s="18" t="str">
        <f ca="1">IFERROR(__xludf.DUMMYFUNCTION("""COMPUTED_VALUE"""),"Evidencia")</f>
        <v>Evidencia</v>
      </c>
      <c r="AF46" s="15"/>
      <c r="AG46" s="15"/>
      <c r="AH46" s="15"/>
      <c r="AI46" s="24" t="str">
        <f ca="1">IFERROR(__xludf.DUMMYFUNCTION("""COMPUTED_VALUE"""),"31 de diciembre")</f>
        <v>31 de diciembre</v>
      </c>
      <c r="AJ46" s="17"/>
      <c r="AK46" s="17"/>
      <c r="AL46" s="17"/>
      <c r="AM46" s="17"/>
      <c r="AN46" s="17"/>
      <c r="AO46" s="17"/>
      <c r="AP46" s="17"/>
      <c r="AQ46" s="17"/>
      <c r="AR46" s="17"/>
      <c r="AS46" s="15"/>
      <c r="AT46" s="15"/>
      <c r="AU46" s="10"/>
    </row>
    <row r="47" spans="1:47" ht="216" x14ac:dyDescent="0.25">
      <c r="A47" s="25"/>
      <c r="B47" s="86"/>
      <c r="C47" s="86"/>
      <c r="D47" s="85" t="str">
        <f ca="1">IFERROR(__xludf.DUMMYFUNCTION("""COMPUTED_VALUE"""),"Posibilidad de afectación reputacional por disminución de la movilidad saliente de estudiantes de intercambio académico debido a los cambios en el contexto de la Universidad que generan cese de actividades académicas y la falta de divulgación de las oport"&amp;"unidades de movilidad.")</f>
        <v>Posibilidad de afectación reputacional por disminución de la movilidad saliente de estudiantes de intercambio académico debido a los cambios en el contexto de la Universidad que generan cese de actividades académicas y la falta de divulgación de las oportunidades de movilidad.</v>
      </c>
      <c r="E47" s="88" t="str">
        <f ca="1">IFERROR(__xludf.DUMMYFUNCTION("""COMPUTED_VALUE"""),"Oficina de Internacionalización y Relaciones Interinstitucionales")</f>
        <v>Oficina de Internacionalización y Relaciones Interinstitucionales</v>
      </c>
      <c r="F47" s="63" t="str">
        <f ca="1">IFERROR(__xludf.DUMMYFUNCTION("""COMPUTED_VALUE"""),"Gestión")</f>
        <v>Gestión</v>
      </c>
      <c r="G47" s="63" t="str">
        <f ca="1">IFERROR(__xludf.DUMMYFUNCTION("""COMPUTED_VALUE"""),"
- Cambios en el contexto de la Universidad que genera cese de actividades académicas - Falta de divulgación en los programas y oportunidades de movilidad")</f>
        <v xml:space="preserve">
- Cambios en el contexto de la Universidad que genera cese de actividades académicas - Falta de divulgación en los programas y oportunidades de movilidad</v>
      </c>
      <c r="H47" s="63" t="str">
        <f ca="1">IFERROR(__xludf.DUMMYFUNCTION("""COMPUTED_VALUE"""),"1) Afectación en los indicadores de movilidad de los programas de pregrado 
2) Afectacion de los intercambios para los estudiantes de noveno y decimo semestre
3) No se logra el intercambio académico y cultural esperado para fortalecer la formación e inves"&amp;"tigación en la Institución
4) Los estudiantes desaprovechen las oportunidades de crecimiento personal, académico y profesional en contextos multiculturales")</f>
        <v>1) Afectación en los indicadores de movilidad de los programas de pregrado 
2) Afectacion de los intercambios para los estudiantes de noveno y decimo semestre
3) No se logra el intercambio académico y cultural esperado para fortalecer la formación e investigación en la Institución
4) Los estudiantes desaprovechen las oportunidades de crecimiento personal, académico y profesional en contextos multiculturales</v>
      </c>
      <c r="I47" s="65" t="str">
        <f ca="1">IFERROR(__xludf.DUMMYFUNCTION("""COMPUTED_VALUE"""),"GRI_03")</f>
        <v>GRI_03</v>
      </c>
      <c r="J47" s="65" t="str">
        <f ca="1">IFERROR(__xludf.DUMMYFUNCTION("""COMPUTED_VALUE"""),"Media")</f>
        <v>Media</v>
      </c>
      <c r="K47" s="65" t="str">
        <f ca="1">IFERROR(__xludf.DUMMYFUNCTION("""COMPUTED_VALUE"""),"Moderado")</f>
        <v>Moderado</v>
      </c>
      <c r="L47" s="65" t="str">
        <f ca="1">IFERROR(__xludf.DUMMYFUNCTION("""COMPUTED_VALUE"""),"Alta")</f>
        <v>Alta</v>
      </c>
      <c r="M47" s="63" t="str">
        <f ca="1">IFERROR(__xludf.DUMMYFUNCTION("""COMPUTED_VALUE"""),"C1:  La coordinación de OIRI y profesionales de apoyo diligencian la matriz de movilidad como herramienta de verificación como soporte de seguimiento para el cumplimiento de los lineamientos según el tipo de movilidad. 
")</f>
        <v xml:space="preserve">C1:  La coordinación de OIRI y profesionales de apoyo diligencian la matriz de movilidad como herramienta de verificación como soporte de seguimiento para el cumplimiento de los lineamientos según el tipo de movilidad. 
</v>
      </c>
      <c r="N47" s="65" t="str">
        <f ca="1">IFERROR(__xludf.DUMMYFUNCTION("""COMPUTED_VALUE"""),"Baja")</f>
        <v>Baja</v>
      </c>
      <c r="O47" s="65" t="str">
        <f ca="1">IFERROR(__xludf.DUMMYFUNCTION("""COMPUTED_VALUE"""),"Moderado")</f>
        <v>Moderado</v>
      </c>
      <c r="P47" s="65" t="str">
        <f ca="1">IFERROR(__xludf.DUMMYFUNCTION("""COMPUTED_VALUE"""),"Media")</f>
        <v>Media</v>
      </c>
      <c r="Q47" s="91" t="str">
        <f ca="1">IFERROR(__xludf.DUMMYFUNCTION("""COMPUTED_VALUE"""),"Reducir")</f>
        <v>Reducir</v>
      </c>
      <c r="R47" s="20" t="str">
        <f ca="1">IFERROR(__xludf.DUMMYFUNCTION("""COMPUTED_VALUE"""),"Divulgación de las oportunidades de movilidad.")</f>
        <v>Divulgación de las oportunidades de movilidad.</v>
      </c>
      <c r="S47" s="40" t="str">
        <f ca="1">IFERROR(__xludf.DUMMYFUNCTION("""COMPUTED_VALUE"""),"Semestral")</f>
        <v>Semestral</v>
      </c>
      <c r="T47" s="32" t="str">
        <f ca="1">IFERROR(__xludf.DUMMYFUNCTION("""COMPUTED_VALUE"""),"Líder OIRI")</f>
        <v>Líder OIRI</v>
      </c>
      <c r="U47" s="41" t="str">
        <f ca="1">IFERROR(__xludf.DUMMYFUNCTION("""COMPUTED_VALUE"""),"Correos, piezas gráficas o actas de reunion")</f>
        <v>Correos, piezas gráficas o actas de reunion</v>
      </c>
      <c r="V47" s="92" t="str">
        <f ca="1">IFERROR(__xludf.DUMMYFUNCTION("""COMPUTED_VALUE"""),"Solicitar plan de contigencia al Consejo Académico para que se realice cursos intensivos a estudiantes seleccionados y que puedan culminar sus cursos antes de las fechas establecidas por R.Académica ")</f>
        <v xml:space="preserve">Solicitar plan de contigencia al Consejo Académico para que se realice cursos intensivos a estudiantes seleccionados y que puedan culminar sus cursos antes de las fechas establecidas por R.Académica </v>
      </c>
      <c r="W47" s="97" t="str">
        <f ca="1">IFERROR(__xludf.DUMMYFUNCTION("""COMPUTED_VALUE"""),"Oficios enviados a facultades, Vicerrectoría Académica y Comunicado por parte del Consejo Académico")</f>
        <v>Oficios enviados a facultades, Vicerrectoría Académica y Comunicado por parte del Consejo Académico</v>
      </c>
      <c r="X47" s="97" t="str">
        <f ca="1">IFERROR(__xludf.DUMMYFUNCTION("""COMPUTED_VALUE"""),"Líder OIRI")</f>
        <v>Líder OIRI</v>
      </c>
      <c r="Y47" s="97" t="str">
        <f ca="1">IFERROR(__xludf.DUMMYFUNCTION("""COMPUTED_VALUE"""),"Cada vez que se requiera")</f>
        <v>Cada vez que se requiera</v>
      </c>
      <c r="Z47" s="15" t="str">
        <f ca="1">IFERROR(__xludf.DUMMYFUNCTION("""COMPUTED_VALUE"""),"30 de abril")</f>
        <v>30 de abril</v>
      </c>
      <c r="AA47" s="17" t="str">
        <f ca="1">IFERROR(__xludf.DUMMYFUNCTION("""COMPUTED_VALUE"""),"Febrero-Marzo
Abril.")</f>
        <v>Febrero-Marzo
Abril.</v>
      </c>
      <c r="AB47" s="17" t="str">
        <f ca="1">IFERROR(__xludf.DUMMYFUNCTION("""COMPUTED_VALUE"""),"No")</f>
        <v>No</v>
      </c>
      <c r="AC47" s="15" t="str">
        <f ca="1">IFERROR(__xludf.DUMMYFUNCTION("""COMPUTED_VALUE"""),"
Durante este monitoreo No se materializó el riesgo, 
Acciones de tratamiento:
 Resultados de las convocatorias de movilidad de corta estancia se encuentra vigente hasta el mes de Mayo.  
C1. Publicación de convocatorias en el micrositio de Internacio"&amp;"nalización (https://internacionalizacion.unillanos.edu.co/): A través del Micrositio de la Oficina de Internacionalización los estudiantes interesados en realizar movilidad saliente pudieron consultar la información detallada sobre los lineamientos de cad"&amp;"a convocatoria. 
C2. Socialización de la convocatoria: Las convocatorias se presentaron en Consejos de Facultad, Comités de Programa y Eventos Académicos donde nos abrieron un espacio para la divulgación de las convocatorias internas, con el fin de dar a"&amp;" conocer los lineamientos de cada convocatoria. 
Avance sobre los controles existentes:
Se realizó el registro del seguimiento de cada estudiante y/o docente coordinador postulado para acceder al apoyo económico en la matriz: ""REPOSITORIO CONSOLIDADO M"&amp;"OVILIDAD 2026"", en la cual se registró la información general de cada movilidad académica, facilitando el cumplimiento de cada una de las etapas del procedimiento. 
")</f>
        <v xml:space="preserve">
Durante este monitoreo No se materializó el riesgo, 
Acciones de tratamiento:
 Resultados de las convocatorias de movilidad de corta estancia se encuentra vigente hasta el mes de Mayo.  
C1. Publicación de convocatorias en el micrositio de Internacionalización (https://internacionalizacion.unillanos.edu.co/): A través del Micrositio de la Oficina de Internacionalización los estudiantes interesados en realizar movilidad saliente pudieron consultar la información detallada sobre los lineamientos de cada convocatoria. 
C2. Socialización de la convocatoria: Las convocatorias se presentaron en Consejos de Facultad, Comités de Programa y Eventos Académicos donde nos abrieron un espacio para la divulgación de las convocatorias internas, con el fin de dar a conocer los lineamientos de cada convocatoria. 
Avance sobre los controles existentes:
Se realizó el registro del seguimiento de cada estudiante y/o docente coordinador postulado para acceder al apoyo económico en la matriz: "REPOSITORIO CONSOLIDADO MOVILIDAD 2026", en la cual se registró la información general de cada movilidad académica, facilitando el cumplimiento de cada una de las etapas del procedimiento. 
</v>
      </c>
      <c r="AD47" s="17" t="str">
        <f ca="1">IFERROR(__xludf.DUMMYFUNCTION("""COMPUTED_VALUE"""),"Profesional de Apoyo proceso de movilidad / Lider OIRI ")</f>
        <v xml:space="preserve">Profesional de Apoyo proceso de movilidad / Lider OIRI </v>
      </c>
      <c r="AE47" s="18" t="str">
        <f ca="1">IFERROR(__xludf.DUMMYFUNCTION("""COMPUTED_VALUE"""),"Evidencia")</f>
        <v>Evidencia</v>
      </c>
      <c r="AF47" s="15" t="str">
        <f ca="1">IFERROR(__xludf.DUMMYFUNCTION("""COMPUTED_VALUE"""),"Si")</f>
        <v>Si</v>
      </c>
      <c r="AG47" s="15" t="str">
        <f ca="1">IFERROR(__xludf.DUMMYFUNCTION("""COMPUTED_VALUE"""),"Ejecutada")</f>
        <v>Ejecutada</v>
      </c>
      <c r="AH47" s="15" t="str">
        <f ca="1">IFERROR(__xludf.DUMMYFUNCTION("""COMPUTED_VALUE"""),"C1: Se verificó el diligenciamiento y actualización de la matriz de movilidad académica como herramienta de seguimiento y control para las convocatorias y procesos de movilidad saliente.
Acción de tratamiento: Se evidenció la divulgación de oportunidades"&amp;" de movilidad mediante publicaciones en el micrositio institucional, piezas gráficas y espacios de socialización en Consejos de Facultad, Comités de Programa y eventos académicos.
Materialización del riesgo: El riesgo no se materializó durante el periodo"&amp;" evaluado.
Conclusión: Se evidenció la ejecución de los controles y acciones de divulgación definidas para fortalecer la participación en los procesos de movilidad académica. Se cuenta con soportes documentales que respaldan su ejecución, manteniéndose e"&amp;"l riesgo bajo control.")</f>
        <v>C1: Se verificó el diligenciamiento y actualización de la matriz de movilidad académica como herramienta de seguimiento y control para las convocatorias y procesos de movilidad saliente.
Acción de tratamiento: Se evidenció la divulgación de oportunidades de movilidad mediante publicaciones en el micrositio institucional, piezas gráficas y espacios de socialización en Consejos de Facultad, Comités de Programa y eventos académicos.
Materialización del riesgo: El riesgo no se materializó durante el periodo evaluado.
Conclusión: Se evidenció la ejecución de los controles y acciones de divulgación definidas para fortalecer la participación en los procesos de movilidad académica. Se cuenta con soportes documentales que respaldan su ejecución, manteniéndose el riesgo bajo control.</v>
      </c>
      <c r="AI47" s="15" t="str">
        <f ca="1">IFERROR(__xludf.DUMMYFUNCTION("""COMPUTED_VALUE"""),"30 de abril")</f>
        <v>30 de abril</v>
      </c>
      <c r="AJ47" s="17" t="str">
        <f ca="1">IFERROR(__xludf.DUMMYFUNCTION("""COMPUTED_VALUE"""),"Si")</f>
        <v>Si</v>
      </c>
      <c r="AK47" s="17" t="str">
        <f ca="1">IFERROR(__xludf.DUMMYFUNCTION("""COMPUTED_VALUE"""),"Si")</f>
        <v>Si</v>
      </c>
      <c r="AL47" s="17" t="str">
        <f ca="1">IFERROR(__xludf.DUMMYFUNCTION("""COMPUTED_VALUE"""),"Si")</f>
        <v>Si</v>
      </c>
      <c r="AM47" s="17" t="str">
        <f ca="1">IFERROR(__xludf.DUMMYFUNCTION("""COMPUTED_VALUE"""),"Si")</f>
        <v>Si</v>
      </c>
      <c r="AN47" s="17" t="str">
        <f ca="1">IFERROR(__xludf.DUMMYFUNCTION("""COMPUTED_VALUE"""),"Si")</f>
        <v>Si</v>
      </c>
      <c r="AO47" s="17" t="str">
        <f ca="1">IFERROR(__xludf.DUMMYFUNCTION("""COMPUTED_VALUE"""),"Si")</f>
        <v>Si</v>
      </c>
      <c r="AP47" s="17" t="str">
        <f ca="1">IFERROR(__xludf.DUMMYFUNCTION("""COMPUTED_VALUE"""),"Si")</f>
        <v>Si</v>
      </c>
      <c r="AQ47" s="17" t="str">
        <f ca="1">IFERROR(__xludf.DUMMYFUNCTION("""COMPUTED_VALUE"""),"No")</f>
        <v>No</v>
      </c>
      <c r="AR47" s="17" t="str">
        <f ca="1">IFERROR(__xludf.DUMMYFUNCTION("""COMPUTED_VALUE"""),"No")</f>
        <v>No</v>
      </c>
      <c r="AS47" s="15" t="str">
        <f ca="1">IFERROR(__xludf.DUMMYFUNCTION("""COMPUTED_VALUE"""),"No aplica")</f>
        <v>No aplica</v>
      </c>
      <c r="AT47" s="15" t="str">
        <f ca="1">IFERROR(__xludf.DUMMYFUNCTION("""COMPUTED_VALUE"""),"Ninguna")</f>
        <v>Ninguna</v>
      </c>
      <c r="AU47" s="10"/>
    </row>
    <row r="48" spans="1:47" x14ac:dyDescent="0.25">
      <c r="A48" s="25"/>
      <c r="B48" s="86"/>
      <c r="C48" s="86"/>
      <c r="D48" s="86"/>
      <c r="E48" s="89"/>
      <c r="F48" s="64"/>
      <c r="G48" s="64"/>
      <c r="H48" s="64"/>
      <c r="I48" s="64"/>
      <c r="J48" s="64"/>
      <c r="K48" s="64"/>
      <c r="L48" s="64"/>
      <c r="M48" s="64"/>
      <c r="N48" s="64"/>
      <c r="O48" s="64"/>
      <c r="P48" s="64"/>
      <c r="Q48" s="83"/>
      <c r="R48" s="20" t="str">
        <f ca="1">IFERROR(__xludf.DUMMYFUNCTION("""COMPUTED_VALUE"""),"")</f>
        <v/>
      </c>
      <c r="S48" s="42" t="str">
        <f ca="1">IFERROR(__xludf.DUMMYFUNCTION("""COMPUTED_VALUE"""),"")</f>
        <v/>
      </c>
      <c r="T48" s="34"/>
      <c r="U48" s="20"/>
      <c r="V48" s="89"/>
      <c r="W48" s="89"/>
      <c r="X48" s="89"/>
      <c r="Y48" s="89"/>
      <c r="Z48" s="15" t="str">
        <f ca="1">IFERROR(__xludf.DUMMYFUNCTION("""COMPUTED_VALUE"""),"30 de agosto")</f>
        <v>30 de agosto</v>
      </c>
      <c r="AA48" s="17"/>
      <c r="AB48" s="17"/>
      <c r="AC48" s="15"/>
      <c r="AD48" s="17"/>
      <c r="AE48" s="18" t="str">
        <f ca="1">IFERROR(__xludf.DUMMYFUNCTION("""COMPUTED_VALUE"""),"Evidencia")</f>
        <v>Evidencia</v>
      </c>
      <c r="AF48" s="15"/>
      <c r="AG48" s="15"/>
      <c r="AH48" s="15"/>
      <c r="AI48" s="24" t="str">
        <f ca="1">IFERROR(__xludf.DUMMYFUNCTION("""COMPUTED_VALUE"""),"31 de agosto")</f>
        <v>31 de agosto</v>
      </c>
      <c r="AJ48" s="17"/>
      <c r="AK48" s="17"/>
      <c r="AL48" s="17"/>
      <c r="AM48" s="17"/>
      <c r="AN48" s="17"/>
      <c r="AO48" s="17"/>
      <c r="AP48" s="17"/>
      <c r="AQ48" s="17"/>
      <c r="AR48" s="17"/>
      <c r="AS48" s="15"/>
      <c r="AT48" s="15"/>
      <c r="AU48" s="10"/>
    </row>
    <row r="49" spans="1:47" x14ac:dyDescent="0.25">
      <c r="A49" s="25"/>
      <c r="B49" s="87"/>
      <c r="C49" s="87"/>
      <c r="D49" s="87"/>
      <c r="E49" s="76"/>
      <c r="F49" s="61"/>
      <c r="G49" s="61"/>
      <c r="H49" s="61"/>
      <c r="I49" s="61"/>
      <c r="J49" s="61"/>
      <c r="K49" s="61"/>
      <c r="L49" s="61"/>
      <c r="M49" s="61"/>
      <c r="N49" s="61"/>
      <c r="O49" s="61"/>
      <c r="P49" s="61"/>
      <c r="Q49" s="84"/>
      <c r="R49" s="26" t="str">
        <f ca="1">IFERROR(__xludf.DUMMYFUNCTION("""COMPUTED_VALUE"""),"")</f>
        <v/>
      </c>
      <c r="S49" s="43" t="str">
        <f ca="1">IFERROR(__xludf.DUMMYFUNCTION("""COMPUTED_VALUE"""),"")</f>
        <v/>
      </c>
      <c r="T49" s="38"/>
      <c r="U49" s="26"/>
      <c r="V49" s="76"/>
      <c r="W49" s="76"/>
      <c r="X49" s="76"/>
      <c r="Y49" s="76"/>
      <c r="Z49" s="15" t="str">
        <f ca="1">IFERROR(__xludf.DUMMYFUNCTION("""COMPUTED_VALUE"""),"30 de diciembre")</f>
        <v>30 de diciembre</v>
      </c>
      <c r="AA49" s="17"/>
      <c r="AB49" s="17"/>
      <c r="AC49" s="15"/>
      <c r="AD49" s="17"/>
      <c r="AE49" s="18" t="str">
        <f ca="1">IFERROR(__xludf.DUMMYFUNCTION("""COMPUTED_VALUE"""),"Evidencia")</f>
        <v>Evidencia</v>
      </c>
      <c r="AF49" s="15"/>
      <c r="AG49" s="15"/>
      <c r="AH49" s="15"/>
      <c r="AI49" s="24" t="str">
        <f ca="1">IFERROR(__xludf.DUMMYFUNCTION("""COMPUTED_VALUE"""),"31 de diciembre")</f>
        <v>31 de diciembre</v>
      </c>
      <c r="AJ49" s="17"/>
      <c r="AK49" s="17"/>
      <c r="AL49" s="17"/>
      <c r="AM49" s="17"/>
      <c r="AN49" s="17"/>
      <c r="AO49" s="17"/>
      <c r="AP49" s="17"/>
      <c r="AQ49" s="17"/>
      <c r="AR49" s="17"/>
      <c r="AS49" s="15"/>
      <c r="AT49" s="15"/>
      <c r="AU49" s="10"/>
    </row>
    <row r="50" spans="1:47" ht="180" x14ac:dyDescent="0.25">
      <c r="A50" s="25"/>
      <c r="B50" s="90" t="s">
        <v>63</v>
      </c>
      <c r="C50" s="85" t="str">
        <f ca="1">IFERROR(__xludf.DUMMYFUNCTION("IMPORTRANGE(""https://docs.google.com/spreadsheets/d/14-pTONUvOB2Wlzcqxsk28ez7o8jgCBc5-ROM5FAZlgE/edit?gid=2098233099#gid=2098233099"",""Matriz_riesgos!C11:AT25"")"),"Formar integralmente ciudadanos, profesionales y científicos, capaces de adaptar y generar conocimiento para el desarrollo de la Orinoquia y del país. ")</f>
        <v xml:space="preserve">Formar integralmente ciudadanos, profesionales y científicos, capaces de adaptar y generar conocimiento para el desarrollo de la Orinoquia y del país. </v>
      </c>
      <c r="D50" s="92" t="str">
        <f ca="1">IFERROR(__xludf.DUMMYFUNCTION("""COMPUTED_VALUE"""),"Posibilidad de afectación reputacional, por baja satisfacción de los usuarios frente a la prestación del servicio de docencia, debido a desconocimiento o desatención de las directrices institucionales por parte de docentes y supervisores")</f>
        <v>Posibilidad de afectación reputacional, por baja satisfacción de los usuarios frente a la prestación del servicio de docencia, debido a desconocimiento o desatención de las directrices institucionales por parte de docentes y supervisores</v>
      </c>
      <c r="E50" s="63" t="str">
        <f ca="1">IFERROR(__xludf.DUMMYFUNCTION("""COMPUTED_VALUE"""),"Vicerrectoría Académica")</f>
        <v>Vicerrectoría Académica</v>
      </c>
      <c r="F50" s="63" t="str">
        <f ca="1">IFERROR(__xludf.DUMMYFUNCTION("""COMPUTED_VALUE"""),"Gestión")</f>
        <v>Gestión</v>
      </c>
      <c r="G50" s="63" t="str">
        <f ca="1">IFERROR(__xludf.DUMMYFUNCTION("""COMPUTED_VALUE"""),"- Desconocimiento o desatención de las directrices institucionales por parte de docentes y supervisores
- Ausencia de reglamentación respecto a las funciones y obligaciones de los docentes de planta, ocasionales y catedráticos")</f>
        <v>- Desconocimiento o desatención de las directrices institucionales por parte de docentes y supervisores
- Ausencia de reglamentación respecto a las funciones y obligaciones de los docentes de planta, ocasionales y catedráticos</v>
      </c>
      <c r="H50" s="63" t="str">
        <f ca="1">IFERROR(__xludf.DUMMYFUNCTION("""COMPUTED_VALUE"""),"1. Incumplimiento de los requisitos ofertados a los estudiantes
2. Detrimento patrimonial
3. Afectación a la imagen institucional
4. Intervención de órganos de control
5. Generación de traumatismos en los procesos misionales y administrativos")</f>
        <v>1. Incumplimiento de los requisitos ofertados a los estudiantes
2. Detrimento patrimonial
3. Afectación a la imagen institucional
4. Intervención de órganos de control
5. Generación de traumatismos en los procesos misionales y administrativos</v>
      </c>
      <c r="I50" s="65" t="str">
        <f ca="1">IFERROR(__xludf.DUMMYFUNCTION("""COMPUTED_VALUE"""),"DOC_01")</f>
        <v>DOC_01</v>
      </c>
      <c r="J50" s="65" t="str">
        <f ca="1">IFERROR(__xludf.DUMMYFUNCTION("""COMPUTED_VALUE"""),"Media")</f>
        <v>Media</v>
      </c>
      <c r="K50" s="65" t="str">
        <f ca="1">IFERROR(__xludf.DUMMYFUNCTION("""COMPUTED_VALUE"""),"Moderado")</f>
        <v>Moderado</v>
      </c>
      <c r="L50" s="65" t="str">
        <f ca="1">IFERROR(__xludf.DUMMYFUNCTION("""COMPUTED_VALUE"""),"Alta")</f>
        <v>Alta</v>
      </c>
      <c r="M50" s="63" t="str">
        <f ca="1">IFERROR(__xludf.DUMMYFUNCTION("""COMPUTED_VALUE"""),"- La Vicerrectoría Académica durante la inducción y reinducción que se lleva a cabo antes del inicio de calendario académico de cada semestre, sensibiliza a los docentes y directores de programa sobre sus responsabilidades frente a la prestación del servi"&amp;"cio de docencia
- El Comité de Programa, establece las generalidades del diseño de curso de programas presenciales y el docente titular establece particularidades del desarrollo del curso (FO-DOC-81 y FO-DOC-140), y se entrega a la dirección del Programa "&amp;"Académico correspondiente
- El docente titular de cada curso (para el caso de docentes catedráticos) controla la asistencia de los estudiantes (FO-DOC-23) a cada clase y reporta de manera semanal a la dirección del programa académico correspondiente
- El "&amp;"Consejo Académico establece calendarios especiales en los casos en que se presente inicio extemporáneo de las clases, con el fin de garantizar la prestación del servicio ")</f>
        <v xml:space="preserve">- La Vicerrectoría Académica durante la inducción y reinducción que se lleva a cabo antes del inicio de calendario académico de cada semestre, sensibiliza a los docentes y directores de programa sobre sus responsabilidades frente a la prestación del servicio de docencia
- El Comité de Programa, establece las generalidades del diseño de curso de programas presenciales y el docente titular establece particularidades del desarrollo del curso (FO-DOC-81 y FO-DOC-140), y se entrega a la dirección del Programa Académico correspondiente
- El docente titular de cada curso (para el caso de docentes catedráticos) controla la asistencia de los estudiantes (FO-DOC-23) a cada clase y reporta de manera semanal a la dirección del programa académico correspondiente
- El Consejo Académico establece calendarios especiales en los casos en que se presente inicio extemporáneo de las clases, con el fin de garantizar la prestación del servicio </v>
      </c>
      <c r="N50" s="65" t="str">
        <f ca="1">IFERROR(__xludf.DUMMYFUNCTION("""COMPUTED_VALUE"""),"Muy baja")</f>
        <v>Muy baja</v>
      </c>
      <c r="O50" s="65" t="str">
        <f ca="1">IFERROR(__xludf.DUMMYFUNCTION("""COMPUTED_VALUE"""),"Moderado")</f>
        <v>Moderado</v>
      </c>
      <c r="P50" s="65" t="str">
        <f ca="1">IFERROR(__xludf.DUMMYFUNCTION("""COMPUTED_VALUE"""),"Media")</f>
        <v>Media</v>
      </c>
      <c r="Q50" s="91" t="str">
        <f ca="1">IFERROR(__xludf.DUMMYFUNCTION("""COMPUTED_VALUE"""),"Reducir")</f>
        <v>Reducir</v>
      </c>
      <c r="R50" s="20" t="str">
        <f ca="1">IFERROR(__xludf.DUMMYFUNCTION("""COMPUTED_VALUE"""),"Sensibilizar a los docentes y directores de programa, sobre le procedimiento PD-DOC-38")</f>
        <v>Sensibilizar a los docentes y directores de programa, sobre le procedimiento PD-DOC-38</v>
      </c>
      <c r="S50" s="40" t="str">
        <f ca="1">IFERROR(__xludf.DUMMYFUNCTION("""COMPUTED_VALUE"""),"Semestral")</f>
        <v>Semestral</v>
      </c>
      <c r="T50" s="14" t="str">
        <f ca="1">IFERROR(__xludf.DUMMYFUNCTION("""COMPUTED_VALUE"""),"Vicerrectoría Académica")</f>
        <v>Vicerrectoría Académica</v>
      </c>
      <c r="U50" s="55" t="str">
        <f ca="1">IFERROR(__xludf.DUMMYFUNCTION("""COMPUTED_VALUE"""),"Correo electrónico
Pieza publicitaria")</f>
        <v>Correo electrónico
Pieza publicitaria</v>
      </c>
      <c r="V50" s="92" t="str">
        <f ca="1">IFERROR(__xludf.DUMMYFUNCTION("""COMPUTED_VALUE"""),"Abordar la situación al interior de los respectivos Comités de Programa y Consejos de Facultad con miras a documentar  el hecho de tal forma que se refleje en la evaluación del desempeño del docente, y a su vez informar de lo pertinente a la Oficina de Co"&amp;"ntrol Interno de Gestión ")</f>
        <v xml:space="preserve">Abordar la situación al interior de los respectivos Comités de Programa y Consejos de Facultad con miras a documentar  el hecho de tal forma que se refleje en la evaluación del desempeño del docente, y a su vez informar de lo pertinente a la Oficina de Control Interno de Gestión </v>
      </c>
      <c r="W50" s="97" t="str">
        <f ca="1">IFERROR(__xludf.DUMMYFUNCTION("""COMPUTED_VALUE"""),"Actas de Comités de Programa y Consejos de Facultad")</f>
        <v>Actas de Comités de Programa y Consejos de Facultad</v>
      </c>
      <c r="X50" s="97" t="str">
        <f ca="1">IFERROR(__xludf.DUMMYFUNCTION("""COMPUTED_VALUE"""),"Comités de Programas y Consejos de Facultad")</f>
        <v>Comités de Programas y Consejos de Facultad</v>
      </c>
      <c r="Y50" s="97" t="str">
        <f ca="1">IFERROR(__xludf.DUMMYFUNCTION("""COMPUTED_VALUE"""),"Inmediatamente se evidecie la materialización del riesgo")</f>
        <v>Inmediatamente se evidecie la materialización del riesgo</v>
      </c>
      <c r="Z50" s="15" t="str">
        <f ca="1">IFERROR(__xludf.DUMMYFUNCTION("""COMPUTED_VALUE"""),"30 de abril")</f>
        <v>30 de abril</v>
      </c>
      <c r="AA50" s="17" t="str">
        <f ca="1">IFERROR(__xludf.DUMMYFUNCTION("""COMPUTED_VALUE"""),"Inicio I Primer Periodo Acedemico")</f>
        <v>Inicio I Primer Periodo Acedemico</v>
      </c>
      <c r="AB50" s="17" t="str">
        <f ca="1">IFERROR(__xludf.DUMMYFUNCTION("""COMPUTED_VALUE"""),"No")</f>
        <v>No</v>
      </c>
      <c r="AC50" s="15" t="str">
        <f ca="1">IFERROR(__xludf.DUMMYFUNCTION("""COMPUTED_VALUE"""),"
Acciones asociadas a la aplicación de controles del riesgo : 
C.1: Por parte de la Vicerrectoria Académica se sensibilizó durante la Jornada de inducción y reinducción (realizada el 22 de enero de 2026) a docentes en cargos académico administrativos com"&amp;"o directores de unidad académica, directores de programasy secretarios académicos, sobre el Procedimiento para el desarrollo de las actividades de docencia contempladas en el procedimiento PD-DOC-38, 
C.2 : Los Directores de Programa son los encargados de"&amp;" administrar el currículo, en casos donde se identifique la necesidad de actualizar o modificar aspectos del desarrollo del curso (ajustes curriculares, cambios pedagógicos o actualización de contenidos)referente al FO-DOC-81  el Director de Programa lide"&amp;"ra la intervención técnica y son presentados ante el Comite de Programa para su aval final, garantizando así la actualización pertinente, asi mismo los docentes diligencian el formato  FO-DOC-140, conforme lo descrito en el FO-DOC-81. 
C.3 : El control de"&amp;" asistencia académica se lleva a cabo mediante el formato FO-DOC-23. Los docentes catedráticos cumplen con el registro en cada clase y su posterior entrega a la Dirección de Programa, asegurando así el cumplimiento efectivo de los cronogramas académicos. "&amp;" Los directores de programa deben realizar una revisión permanente de los registros de control de asistencia de las clases y tutorías desarrolladas en cada uno de los cursos del programa.
C.4 : De conformidad a la Resolución Académica 099 de 2025 , se ha "&amp;"dado cumplimiento a las actividades previstas en el periodo 2026-1, las notas de primer corte en su totalidad no fueron registradas por los docentes debido a diferentes situaciones (permisos académicos, prácticas extramuro, contratación de docentes catedr"&amp;"áticos posterior a la fecha de inicio de clase) sin embargo, el Consejo Académico autorizó el cargue de dichas notas para la fecha del segundo corte. La relación de notas pendientes fue remitida a cada Facultad. ")</f>
        <v xml:space="preserve">
Acciones asociadas a la aplicación de controles del riesgo : 
C.1: Por parte de la Vicerrectoria Académica se sensibilizó durante la Jornada de inducción y reinducción (realizada el 22 de enero de 2026) a docentes en cargos académico administrativos como directores de unidad académica, directores de programasy secretarios académicos, sobre el Procedimiento para el desarrollo de las actividades de docencia contempladas en el procedimiento PD-DOC-38, 
C.2 : Los Directores de Programa son los encargados de administrar el currículo, en casos donde se identifique la necesidad de actualizar o modificar aspectos del desarrollo del curso (ajustes curriculares, cambios pedagógicos o actualización de contenidos)referente al FO-DOC-81  el Director de Programa lidera la intervención técnica y son presentados ante el Comite de Programa para su aval final, garantizando así la actualización pertinente, asi mismo los docentes diligencian el formato  FO-DOC-140, conforme lo descrito en el FO-DOC-81. 
C.3 : El control de asistencia académica se lleva a cabo mediante el formato FO-DOC-23. Los docentes catedráticos cumplen con el registro en cada clase y su posterior entrega a la Dirección de Programa, asegurando así el cumplimiento efectivo de los cronogramas académicos.  Los directores de programa deben realizar una revisión permanente de los registros de control de asistencia de las clases y tutorías desarrolladas en cada uno de los cursos del programa.
C.4 : De conformidad a la Resolución Académica 099 de 2025 , se ha dado cumplimiento a las actividades previstas en el periodo 2026-1, las notas de primer corte en su totalidad no fueron registradas por los docentes debido a diferentes situaciones (permisos académicos, prácticas extramuro, contratación de docentes catedráticos posterior a la fecha de inicio de clase) sin embargo, el Consejo Académico autorizó el cargue de dichas notas para la fecha del segundo corte. La relación de notas pendientes fue remitida a cada Facultad. </v>
      </c>
      <c r="AD50" s="17" t="str">
        <f ca="1">IFERROR(__xludf.DUMMYFUNCTION("""COMPUTED_VALUE"""),"Vicerrectoria académica")</f>
        <v>Vicerrectoria académica</v>
      </c>
      <c r="AE50" s="18" t="str">
        <f ca="1">IFERROR(__xludf.DUMMYFUNCTION("""COMPUTED_VALUE"""),"Evidencia")</f>
        <v>Evidencia</v>
      </c>
      <c r="AF50" s="15" t="str">
        <f ca="1">IFERROR(__xludf.DUMMYFUNCTION("""COMPUTED_VALUE"""),"Si")</f>
        <v>Si</v>
      </c>
      <c r="AG50" s="15" t="str">
        <f ca="1">IFERROR(__xludf.DUMMYFUNCTION("""COMPUTED_VALUE"""),"Ejecutada")</f>
        <v>Ejecutada</v>
      </c>
      <c r="AH50" s="15" t="str">
        <f ca="1">IFERROR(__xludf.DUMMYFUNCTION("""COMPUTED_VALUE"""),"Durante el periodo evaluado no se materializó el riesgo.                                                                                                                                                                                                       "&amp;"                                                                                       C1: La Vicerrectoría Académica realizó jornada de inducción y reinducción a docentes y directivos académicos sobre el procedimiento PD-DOC-38 y las responsabilidades fr"&amp;"ente a la prestación del servicio de docencia.
C2: Los Directores de Programa realizaron seguimiento a la aplicación de los formatos FO-DOC-81 y FO-DOC-140 para el desarrollo de los cursos.
C3: Los docentes catedráticos efectuaron el control de asistenc"&amp;"ia mediante el formato FO-DOC-23, con revisión por parte de las Direcciones de Programa.
C4: Se realizó seguimiento al cumplimiento del calendario académico y al registro de notas conforme a la Resolución Académica 099 de 2025.
Conclusión:
Los controles"&amp;" fueron ejecutados adecuadamente y el riesgo se mantiene bajo control durante el periodo evaluado.                                                                                                 ")</f>
        <v xml:space="preserve">Durante el periodo evaluado no se materializó el riesgo.                                                                                                                                                                                                                                                                                              C1: La Vicerrectoría Académica realizó jornada de inducción y reinducción a docentes y directivos académicos sobre el procedimiento PD-DOC-38 y las responsabilidades frente a la prestación del servicio de docencia.
C2: Los Directores de Programa realizaron seguimiento a la aplicación de los formatos FO-DOC-81 y FO-DOC-140 para el desarrollo de los cursos.
C3: Los docentes catedráticos efectuaron el control de asistencia mediante el formato FO-DOC-23, con revisión por parte de las Direcciones de Programa.
C4: Se realizó seguimiento al cumplimiento del calendario académico y al registro de notas conforme a la Resolución Académica 099 de 2025.
Conclusión:
Los controles fueron ejecutados adecuadamente y el riesgo se mantiene bajo control durante el periodo evaluado.                                                                                                 </v>
      </c>
      <c r="AI50" s="15" t="str">
        <f ca="1">IFERROR(__xludf.DUMMYFUNCTION("""COMPUTED_VALUE"""),"30 de abril")</f>
        <v>30 de abril</v>
      </c>
      <c r="AJ50" s="17" t="str">
        <f ca="1">IFERROR(__xludf.DUMMYFUNCTION("""COMPUTED_VALUE"""),"Si")</f>
        <v>Si</v>
      </c>
      <c r="AK50" s="17" t="str">
        <f ca="1">IFERROR(__xludf.DUMMYFUNCTION("""COMPUTED_VALUE"""),"Si")</f>
        <v>Si</v>
      </c>
      <c r="AL50" s="17" t="str">
        <f ca="1">IFERROR(__xludf.DUMMYFUNCTION("""COMPUTED_VALUE"""),"Si")</f>
        <v>Si</v>
      </c>
      <c r="AM50" s="17" t="str">
        <f ca="1">IFERROR(__xludf.DUMMYFUNCTION("""COMPUTED_VALUE"""),"Si")</f>
        <v>Si</v>
      </c>
      <c r="AN50" s="17" t="str">
        <f ca="1">IFERROR(__xludf.DUMMYFUNCTION("""COMPUTED_VALUE"""),"Si")</f>
        <v>Si</v>
      </c>
      <c r="AO50" s="17" t="str">
        <f ca="1">IFERROR(__xludf.DUMMYFUNCTION("""COMPUTED_VALUE"""),"Si")</f>
        <v>Si</v>
      </c>
      <c r="AP50" s="17" t="str">
        <f ca="1">IFERROR(__xludf.DUMMYFUNCTION("""COMPUTED_VALUE"""),"Si")</f>
        <v>Si</v>
      </c>
      <c r="AQ50" s="17" t="str">
        <f ca="1">IFERROR(__xludf.DUMMYFUNCTION("""COMPUTED_VALUE"""),"No")</f>
        <v>No</v>
      </c>
      <c r="AR50" s="17" t="str">
        <f ca="1">IFERROR(__xludf.DUMMYFUNCTION("""COMPUTED_VALUE"""),"No")</f>
        <v>No</v>
      </c>
      <c r="AS50" s="15" t="str">
        <f ca="1">IFERROR(__xludf.DUMMYFUNCTION("""COMPUTED_VALUE"""),"No aplica")</f>
        <v>No aplica</v>
      </c>
      <c r="AT50" s="15" t="str">
        <f ca="1">IFERROR(__xludf.DUMMYFUNCTION("""COMPUTED_VALUE"""),"Ninguna.")</f>
        <v>Ninguna.</v>
      </c>
      <c r="AU50" s="10"/>
    </row>
    <row r="51" spans="1:47" x14ac:dyDescent="0.25">
      <c r="A51" s="25"/>
      <c r="B51" s="86"/>
      <c r="C51" s="86"/>
      <c r="D51" s="89"/>
      <c r="E51" s="64"/>
      <c r="F51" s="64"/>
      <c r="G51" s="64"/>
      <c r="H51" s="64"/>
      <c r="I51" s="64"/>
      <c r="J51" s="64"/>
      <c r="K51" s="64"/>
      <c r="L51" s="64"/>
      <c r="M51" s="64"/>
      <c r="N51" s="64"/>
      <c r="O51" s="64"/>
      <c r="P51" s="64"/>
      <c r="Q51" s="83"/>
      <c r="R51" s="20" t="str">
        <f ca="1">IFERROR(__xludf.DUMMYFUNCTION("""COMPUTED_VALUE"""),"")</f>
        <v/>
      </c>
      <c r="S51" s="42" t="str">
        <f ca="1">IFERROR(__xludf.DUMMYFUNCTION("""COMPUTED_VALUE"""),"")</f>
        <v/>
      </c>
      <c r="T51" s="34"/>
      <c r="U51" s="20"/>
      <c r="V51" s="89"/>
      <c r="W51" s="89"/>
      <c r="X51" s="89"/>
      <c r="Y51" s="89"/>
      <c r="Z51" s="15" t="str">
        <f ca="1">IFERROR(__xludf.DUMMYFUNCTION("""COMPUTED_VALUE"""),"30 de agosto")</f>
        <v>30 de agosto</v>
      </c>
      <c r="AA51" s="17"/>
      <c r="AB51" s="17"/>
      <c r="AC51" s="15"/>
      <c r="AD51" s="17"/>
      <c r="AE51" s="18" t="str">
        <f ca="1">IFERROR(__xludf.DUMMYFUNCTION("""COMPUTED_VALUE"""),"Evidencia")</f>
        <v>Evidencia</v>
      </c>
      <c r="AF51" s="15"/>
      <c r="AG51" s="15"/>
      <c r="AH51" s="15"/>
      <c r="AI51" s="24" t="str">
        <f ca="1">IFERROR(__xludf.DUMMYFUNCTION("""COMPUTED_VALUE"""),"31 de agosto")</f>
        <v>31 de agosto</v>
      </c>
      <c r="AJ51" s="17"/>
      <c r="AK51" s="17"/>
      <c r="AL51" s="17"/>
      <c r="AM51" s="17"/>
      <c r="AN51" s="17"/>
      <c r="AO51" s="17"/>
      <c r="AP51" s="17"/>
      <c r="AQ51" s="17"/>
      <c r="AR51" s="17"/>
      <c r="AS51" s="15"/>
      <c r="AT51" s="15"/>
      <c r="AU51" s="10"/>
    </row>
    <row r="52" spans="1:47" x14ac:dyDescent="0.25">
      <c r="A52" s="25"/>
      <c r="B52" s="86"/>
      <c r="C52" s="86"/>
      <c r="D52" s="76"/>
      <c r="E52" s="61"/>
      <c r="F52" s="61"/>
      <c r="G52" s="61"/>
      <c r="H52" s="61"/>
      <c r="I52" s="61"/>
      <c r="J52" s="61"/>
      <c r="K52" s="61"/>
      <c r="L52" s="61"/>
      <c r="M52" s="61"/>
      <c r="N52" s="61"/>
      <c r="O52" s="61"/>
      <c r="P52" s="61"/>
      <c r="Q52" s="84"/>
      <c r="R52" s="26" t="str">
        <f ca="1">IFERROR(__xludf.DUMMYFUNCTION("""COMPUTED_VALUE"""),"")</f>
        <v/>
      </c>
      <c r="S52" s="43" t="str">
        <f ca="1">IFERROR(__xludf.DUMMYFUNCTION("""COMPUTED_VALUE"""),"")</f>
        <v/>
      </c>
      <c r="T52" s="38"/>
      <c r="U52" s="26"/>
      <c r="V52" s="76"/>
      <c r="W52" s="76"/>
      <c r="X52" s="76"/>
      <c r="Y52" s="76"/>
      <c r="Z52" s="15" t="str">
        <f ca="1">IFERROR(__xludf.DUMMYFUNCTION("""COMPUTED_VALUE"""),"30 de diciembre")</f>
        <v>30 de diciembre</v>
      </c>
      <c r="AA52" s="17"/>
      <c r="AB52" s="17"/>
      <c r="AC52" s="15"/>
      <c r="AD52" s="17"/>
      <c r="AE52" s="18" t="str">
        <f ca="1">IFERROR(__xludf.DUMMYFUNCTION("""COMPUTED_VALUE"""),"Evidencia")</f>
        <v>Evidencia</v>
      </c>
      <c r="AF52" s="15"/>
      <c r="AG52" s="15"/>
      <c r="AH52" s="15"/>
      <c r="AI52" s="24" t="str">
        <f ca="1">IFERROR(__xludf.DUMMYFUNCTION("""COMPUTED_VALUE"""),"31 de diciembre")</f>
        <v>31 de diciembre</v>
      </c>
      <c r="AJ52" s="17"/>
      <c r="AK52" s="17"/>
      <c r="AL52" s="17"/>
      <c r="AM52" s="17"/>
      <c r="AN52" s="17"/>
      <c r="AO52" s="17"/>
      <c r="AP52" s="17"/>
      <c r="AQ52" s="17"/>
      <c r="AR52" s="17"/>
      <c r="AS52" s="15"/>
      <c r="AT52" s="15"/>
      <c r="AU52" s="10"/>
    </row>
    <row r="53" spans="1:47" ht="240" x14ac:dyDescent="0.25">
      <c r="A53" s="25"/>
      <c r="B53" s="86"/>
      <c r="C53" s="86"/>
      <c r="D53" s="88" t="str">
        <f ca="1">IFERROR(__xludf.DUMMYFUNCTION("""COMPUTED_VALUE"""),"Posibilidad de afectación económica y reputacional por demoras en la creación de programas académicos, debido a debilidades en la aplicación de controles en las diferentes etapas del proceso")</f>
        <v>Posibilidad de afectación económica y reputacional por demoras en la creación de programas académicos, debido a debilidades en la aplicación de controles en las diferentes etapas del proceso</v>
      </c>
      <c r="E53" s="63" t="str">
        <f ca="1">IFERROR(__xludf.DUMMYFUNCTION("""COMPUTED_VALUE"""),"Vicerrectoría Académica")</f>
        <v>Vicerrectoría Académica</v>
      </c>
      <c r="F53" s="63" t="str">
        <f ca="1">IFERROR(__xludf.DUMMYFUNCTION("""COMPUTED_VALUE"""),"Gestión")</f>
        <v>Gestión</v>
      </c>
      <c r="G53" s="63" t="str">
        <f ca="1">IFERROR(__xludf.DUMMYFUNCTION("""COMPUTED_VALUE"""),"- La Institución no ha expedido regulaciones oportunas y pertinentes en materia de creación de programas académicos de pregrado y posgrado
- No existen criterios institucionales que articulen las propuestas de programas nuevos con las tendencias nacionale"&amp;"s e internacionales de las áreas de conocimiento")</f>
        <v>- La Institución no ha expedido regulaciones oportunas y pertinentes en materia de creación de programas académicos de pregrado y posgrado
- No existen criterios institucionales que articulen las propuestas de programas nuevos con las tendencias nacionales e internacionales de las áreas de conocimiento</v>
      </c>
      <c r="H53" s="63" t="str">
        <f ca="1">IFERROR(__xludf.DUMMYFUNCTION("""COMPUTED_VALUE"""),"1. Detrimento patrimonial
2. Ineficiencia en el uso de los recursos
3. Afectación a la imagen institucional frente a los usuarios y la comunidad en general
4. Intervención de organismos de control
5. Pérdida de competitividad y responsabilidad social fren"&amp;"te a los nuevos conocimientos")</f>
        <v>1. Detrimento patrimonial
2. Ineficiencia en el uso de los recursos
3. Afectación a la imagen institucional frente a los usuarios y la comunidad en general
4. Intervención de organismos de control
5. Pérdida de competitividad y responsabilidad social frente a los nuevos conocimientos</v>
      </c>
      <c r="I53" s="65" t="str">
        <f ca="1">IFERROR(__xludf.DUMMYFUNCTION("""COMPUTED_VALUE"""),"DOC_02")</f>
        <v>DOC_02</v>
      </c>
      <c r="J53" s="65" t="str">
        <f ca="1">IFERROR(__xludf.DUMMYFUNCTION("""COMPUTED_VALUE"""),"Media")</f>
        <v>Media</v>
      </c>
      <c r="K53" s="65" t="str">
        <f ca="1">IFERROR(__xludf.DUMMYFUNCTION("""COMPUTED_VALUE"""),"Menor")</f>
        <v>Menor</v>
      </c>
      <c r="L53" s="65" t="str">
        <f ca="1">IFERROR(__xludf.DUMMYFUNCTION("""COMPUTED_VALUE"""),"Media")</f>
        <v>Media</v>
      </c>
      <c r="M53" s="63" t="str">
        <f ca="1">IFERROR(__xludf.DUMMYFUNCTION("""COMPUTED_VALUE"""),"- El Consejo Superior expidió la resolución superior No. 005 de 2023, “Por la cual se establecen los lineamientos para la creación de programas de pregrado y posgrado en la Universidad de los Llanos”, y la vicerrectoría Académica informó la expedición de "&amp;"la norma a las partes interesadas pertinentes.
- La Vicerrectoría Académica, en articulación con Acreditación y Dirección General de Currículo, establecieron controles y responsables en las diferentes etapas de la creación de programas académicos de pregr"&amp;"ado y posgrado, mediante la actualización del ""PD-DOC-12 PROCEDIMIENTO PARA LA CREACIÓN DE PROGRAMAS ACADÉMICOS"", las cuales se aplican cada vez que se inicia el proceso de creación de un programa académico
- Las Facultades que han presentado nuevos pro"&amp;"gramas académicos de pregrado o posgrado para creación, financiados con recursos de estampilla, reportan mensualmente la información de la ejecución de avances a la oficina de Planeación, desde donde a su vez, se reporta en el DIARI de la Contraloría Gene"&amp;"ral de la República.
- Los docentes que participen en la formulación de propuestas para nuevos programas académicos cuentan con las herramientas de Proyección Financiera Inicial para pregrado y posgrado (FO-DIE-25 y FO-DIE-26), las cuales se aplican en ca"&amp;"da proceso de creación de programas
- La Vicerrectoría Académica estableció los requisitos mínimos para la presentación de propuestas de creación de programas nuevos, con el fin de identificar la pertinencia y viabilidad de la oferta, mediante el formato "&amp;"FO-DOC-139, el cual se aplica en cada proceso de creación de programas")</f>
        <v>- El Consejo Superior expidió la resolución superior No. 005 de 2023, “Por la cual se establecen los lineamientos para la creación de programas de pregrado y posgrado en la Universidad de los Llanos”, y la vicerrectoría Académica informó la expedición de la norma a las partes interesadas pertinentes.
- La Vicerrectoría Académica, en articulación con Acreditación y Dirección General de Currículo, establecieron controles y responsables en las diferentes etapas de la creación de programas académicos de pregrado y posgrado, mediante la actualización del "PD-DOC-12 PROCEDIMIENTO PARA LA CREACIÓN DE PROGRAMAS ACADÉMICOS", las cuales se aplican cada vez que se inicia el proceso de creación de un programa académico
- Las Facultades que han presentado nuevos programas académicos de pregrado o posgrado para creación, financiados con recursos de estampilla, reportan mensualmente la información de la ejecución de avances a la oficina de Planeación, desde donde a su vez, se reporta en el DIARI de la Contraloría General de la República.
- Los docentes que participen en la formulación de propuestas para nuevos programas académicos cuentan con las herramientas de Proyección Financiera Inicial para pregrado y posgrado (FO-DIE-25 y FO-DIE-26), las cuales se aplican en cada proceso de creación de programas
- La Vicerrectoría Académica estableció los requisitos mínimos para la presentación de propuestas de creación de programas nuevos, con el fin de identificar la pertinencia y viabilidad de la oferta, mediante el formato FO-DOC-139, el cual se aplica en cada proceso de creación de programas</v>
      </c>
      <c r="N53" s="65" t="str">
        <f ca="1">IFERROR(__xludf.DUMMYFUNCTION("""COMPUTED_VALUE"""),"Muy baja")</f>
        <v>Muy baja</v>
      </c>
      <c r="O53" s="65" t="str">
        <f ca="1">IFERROR(__xludf.DUMMYFUNCTION("""COMPUTED_VALUE"""),"Menor")</f>
        <v>Menor</v>
      </c>
      <c r="P53" s="65" t="str">
        <f ca="1">IFERROR(__xludf.DUMMYFUNCTION("""COMPUTED_VALUE"""),"Baja")</f>
        <v>Baja</v>
      </c>
      <c r="Q53" s="91" t="str">
        <f ca="1">IFERROR(__xludf.DUMMYFUNCTION("""COMPUTED_VALUE"""),"")</f>
        <v/>
      </c>
      <c r="R53" s="20" t="str">
        <f ca="1">IFERROR(__xludf.DUMMYFUNCTION("""COMPUTED_VALUE"""),"Realizar reuniones de seguimiento del avance de los programas nuevos por parte de la Vicerrectoría Académica")</f>
        <v>Realizar reuniones de seguimiento del avance de los programas nuevos por parte de la Vicerrectoría Académica</v>
      </c>
      <c r="S53" s="40" t="str">
        <f ca="1">IFERROR(__xludf.DUMMYFUNCTION("""COMPUTED_VALUE"""),"Bimensual")</f>
        <v>Bimensual</v>
      </c>
      <c r="T53" s="32" t="str">
        <f ca="1">IFERROR(__xludf.DUMMYFUNCTION("""COMPUTED_VALUE"""),"Vicerractora Académica")</f>
        <v>Vicerractora Académica</v>
      </c>
      <c r="U53" s="41" t="str">
        <f ca="1">IFERROR(__xludf.DUMMYFUNCTION("""COMPUTED_VALUE"""),"Registros de asistencia")</f>
        <v>Registros de asistencia</v>
      </c>
      <c r="V53" s="92" t="str">
        <f ca="1">IFERROR(__xludf.DUMMYFUNCTION("""COMPUTED_VALUE"""),"Seguimiento, acompañamiento y asesoria por parte de la Dirección General de Currículo, con el fin de evitar o corregir situaciones no deseadas")</f>
        <v>Seguimiento, acompañamiento y asesoria por parte de la Dirección General de Currículo, con el fin de evitar o corregir situaciones no deseadas</v>
      </c>
      <c r="W53" s="97" t="str">
        <f ca="1">IFERROR(__xludf.DUMMYFUNCTION("""COMPUTED_VALUE"""),"Acta de reunión")</f>
        <v>Acta de reunión</v>
      </c>
      <c r="X53" s="97" t="str">
        <f ca="1">IFERROR(__xludf.DUMMYFUNCTION("""COMPUTED_VALUE"""),"Dirección General de Currículo
Secretaría Técnica de Acreditación")</f>
        <v>Dirección General de Currículo
Secretaría Técnica de Acreditación</v>
      </c>
      <c r="Y53" s="97" t="str">
        <f ca="1">IFERROR(__xludf.DUMMYFUNCTION("""COMPUTED_VALUE"""),"11 meses")</f>
        <v>11 meses</v>
      </c>
      <c r="Z53" s="15" t="str">
        <f ca="1">IFERROR(__xludf.DUMMYFUNCTION("""COMPUTED_VALUE"""),"30 de abril")</f>
        <v>30 de abril</v>
      </c>
      <c r="AA53" s="56">
        <f ca="1">IFERROR(__xludf.DUMMYFUNCTION("""COMPUTED_VALUE"""),46140)</f>
        <v>46140</v>
      </c>
      <c r="AB53" s="17" t="str">
        <f ca="1">IFERROR(__xludf.DUMMYFUNCTION("""COMPUTED_VALUE"""),"No")</f>
        <v>No</v>
      </c>
      <c r="AC53" s="15" t="str">
        <f ca="1">IFERROR(__xludf.DUMMYFUNCTION("""COMPUTED_VALUE"""),"Durante el monitoreo NO  se materializó el riesgo 
Acciones asociadas a la aplicación de controles de Riesgo 
C.1:  Se garantiza que las partes interesadas apliquen los lineamientos actualizados para la creación de programas de pregrado y posgrado de la "&amp;"Universidad de los Llanos, Se comparte información de las nuevos programas de pregrado y posgrado que han sido allegadas a esta Dirección  entre enero y abril de 2026 (FO-DOC-139), las cuales, se aclara, se encuentran en proceso de revisión por parte de l"&amp;"a Dirección General de Currículo.
C.2: Se informa que durante el presente periodo  no se reporta movimiento en el rubro o registro presupuestal , por lo cual no se generó ejecución ni novedades en los programas financiados con recursos de estampilla para "&amp;"el ciclo reportado. Finalizado el periodo de Ley de Garantías se procederá con el inicio formal del proyecto y la ejecución de los recursos, garantizando en todo momento la trazabilidad, transparencia y legalidad en el manejo de los fondos.
C.3: Se han ve"&amp;"nido diligenciando los formatos FO-DIE-25 y FO-DIE-26 en todos los proyectos de creación de nuevos programas académicos. Los docentes formuladores emplean estas herramientas de Proyección Financiera Inicial para garantizar la sostenibilidad y viabilidad e"&amp;"conómica de las propuestas, integrándolas como parte fundamental del soporte documental entregado ante las instancias correspondientes. 
C.4: Los docentes vinculados a la formulación de nuevos programas académicos disponen y hacen uso efectivo de las herr"&amp;"amientas de Proyección Financiera Inicial (formatos FO-DIE-25 y FO-DIE-26). Estos instrumentos se integran de manera obligatoria y sistemática en cada proceso de creación de programas, garantizando la viabilidad financiera desde la etapa de pregrado hasta"&amp;" posgrado.""
C.5: Las propuestas relacionadas con nuevos programas académicos han sido presentadas a través del formato FO-DOC-139 con sus respectivos anexos. Este mecanismo permite validar los requisitos mínimos de pertinencia y viabilidad en cada proces"&amp;"o de creación de programas iniciado por la institución.")</f>
        <v>Durante el monitoreo NO  se materializó el riesgo 
Acciones asociadas a la aplicación de controles de Riesgo 
C.1:  Se garantiza que las partes interesadas apliquen los lineamientos actualizados para la creación de programas de pregrado y posgrado de la Universidad de los Llanos, Se comparte información de las nuevos programas de pregrado y posgrado que han sido allegadas a esta Dirección  entre enero y abril de 2026 (FO-DOC-139), las cuales, se aclara, se encuentran en proceso de revisión por parte de la Dirección General de Currículo.
C.2: Se informa que durante el presente periodo  no se reporta movimiento en el rubro o registro presupuestal , por lo cual no se generó ejecución ni novedades en los programas financiados con recursos de estampilla para el ciclo reportado. Finalizado el periodo de Ley de Garantías se procederá con el inicio formal del proyecto y la ejecución de los recursos, garantizando en todo momento la trazabilidad, transparencia y legalidad en el manejo de los fondos.
C.3: Se han venido diligenciando los formatos FO-DIE-25 y FO-DIE-26 en todos los proyectos de creación de nuevos programas académicos. Los docentes formuladores emplean estas herramientas de Proyección Financiera Inicial para garantizar la sostenibilidad y viabilidad económica de las propuestas, integrándolas como parte fundamental del soporte documental entregado ante las instancias correspondientes. 
C.4: Los docentes vinculados a la formulación de nuevos programas académicos disponen y hacen uso efectivo de las herramientas de Proyección Financiera Inicial (formatos FO-DIE-25 y FO-DIE-26). Estos instrumentos se integran de manera obligatoria y sistemática en cada proceso de creación de programas, garantizando la viabilidad financiera desde la etapa de pregrado hasta posgrado."
C.5: Las propuestas relacionadas con nuevos programas académicos han sido presentadas a través del formato FO-DOC-139 con sus respectivos anexos. Este mecanismo permite validar los requisitos mínimos de pertinencia y viabilidad en cada proceso de creación de programas iniciado por la institución.</v>
      </c>
      <c r="AD53" s="17" t="str">
        <f ca="1">IFERROR(__xludf.DUMMYFUNCTION("""COMPUTED_VALUE"""),"Vicerectoria Academica ")</f>
        <v xml:space="preserve">Vicerectoria Academica </v>
      </c>
      <c r="AE53" s="18" t="str">
        <f ca="1">IFERROR(__xludf.DUMMYFUNCTION("""COMPUTED_VALUE"""),"Evidencia")</f>
        <v>Evidencia</v>
      </c>
      <c r="AF53" s="15" t="str">
        <f ca="1">IFERROR(__xludf.DUMMYFUNCTION("""COMPUTED_VALUE"""),"No")</f>
        <v>No</v>
      </c>
      <c r="AG53" s="15" t="str">
        <f ca="1">IFERROR(__xludf.DUMMYFUNCTION("""COMPUTED_VALUE"""),"En proceso")</f>
        <v>En proceso</v>
      </c>
      <c r="AH53" s="15" t="str">
        <f ca="1">IFERROR(__xludf.DUMMYFUNCTION("""COMPUTED_VALUE"""),"C1: El proceso reportó la aplicación de los lineamientos para la creación de programas académicos mediante el uso del formato FO-DOC-139; sin embargo, las evidencias aportadas no permiten verificar claramente la ejecución del control, debido a que la info"&amp;"rmación se encuentra desorganizada y algunos archivos no permiten su apertura.
C2: Durante el periodo evaluado no se presentó ejecución presupuestal relacionada con programas financiados con recursos de estampilla, debido a la Ley de Garantías; por tanto"&amp;", no se evidenciaron actividades asociadas a este control.
C3–C4: El proceso informó la utilización de los formatos FO-DIE-25 y FO-DIE-26 para la formulación financiera de nuevos programas académicos; no obstante, las evidencias aportadas no permiten ver"&amp;"ificar la aplicación efectiva de estos controles, debido a inconsistencias en la organización de los soportes y archivos que no son accesibles.
C5: Se reportó la presentación de propuestas de programas académicos mediante el formato FO-DOC-139; sin embar"&amp;"go, las evidencias no permiten validar de manera suficiente la ejecución del control.
Materialización del riesgo: El riesgo no se materializó durante el periodo evaluado.
Conclusión: Las evidencias aportadas no se encuentran organizadas conforme a los c"&amp;"ontroles establecidos en la matriz de riesgos, dificultando la trazabilidad y verificación del monitoreo realizado. Adicionalmente, se identificaron archivos adjuntos que no permiten su apertura. Se recomienda que, para próximos monitoreos, las evidencias"&amp;" se organicen por cada control y acción de mejora correspondiente, facilitando así la validación de su ejecución.")</f>
        <v>C1: El proceso reportó la aplicación de los lineamientos para la creación de programas académicos mediante el uso del formato FO-DOC-139; sin embargo, las evidencias aportadas no permiten verificar claramente la ejecución del control, debido a que la información se encuentra desorganizada y algunos archivos no permiten su apertura.
C2: Durante el periodo evaluado no se presentó ejecución presupuestal relacionada con programas financiados con recursos de estampilla, debido a la Ley de Garantías; por tanto, no se evidenciaron actividades asociadas a este control.
C3–C4: El proceso informó la utilización de los formatos FO-DIE-25 y FO-DIE-26 para la formulación financiera de nuevos programas académicos; no obstante, las evidencias aportadas no permiten verificar la aplicación efectiva de estos controles, debido a inconsistencias en la organización de los soportes y archivos que no son accesibles.
C5: Se reportó la presentación de propuestas de programas académicos mediante el formato FO-DOC-139; sin embargo, las evidencias no permiten validar de manera suficiente la ejecución del control.
Materialización del riesgo: El riesgo no se materializó durante el periodo evaluado.
Conclusión: Las evidencias aportadas no se encuentran organizadas conforme a los controles establecidos en la matriz de riesgos, dificultando la trazabilidad y verificación del monitoreo realizado. Adicionalmente, se identificaron archivos adjuntos que no permiten su apertura. Se recomienda que, para próximos monitoreos, las evidencias se organicen por cada control y acción de mejora correspondiente, facilitando así la validación de su ejecución.</v>
      </c>
      <c r="AI53" s="15" t="str">
        <f ca="1">IFERROR(__xludf.DUMMYFUNCTION("""COMPUTED_VALUE"""),"30 de abril")</f>
        <v>30 de abril</v>
      </c>
      <c r="AJ53" s="17" t="str">
        <f ca="1">IFERROR(__xludf.DUMMYFUNCTION("""COMPUTED_VALUE"""),"Si")</f>
        <v>Si</v>
      </c>
      <c r="AK53" s="17" t="str">
        <f ca="1">IFERROR(__xludf.DUMMYFUNCTION("""COMPUTED_VALUE"""),"Si")</f>
        <v>Si</v>
      </c>
      <c r="AL53" s="17" t="str">
        <f ca="1">IFERROR(__xludf.DUMMYFUNCTION("""COMPUTED_VALUE"""),"Si")</f>
        <v>Si</v>
      </c>
      <c r="AM53" s="17" t="str">
        <f ca="1">IFERROR(__xludf.DUMMYFUNCTION("""COMPUTED_VALUE"""),"Si")</f>
        <v>Si</v>
      </c>
      <c r="AN53" s="17" t="str">
        <f ca="1">IFERROR(__xludf.DUMMYFUNCTION("""COMPUTED_VALUE"""),"No")</f>
        <v>No</v>
      </c>
      <c r="AO53" s="17" t="str">
        <f ca="1">IFERROR(__xludf.DUMMYFUNCTION("""COMPUTED_VALUE"""),"Si")</f>
        <v>Si</v>
      </c>
      <c r="AP53" s="17" t="str">
        <f ca="1">IFERROR(__xludf.DUMMYFUNCTION("""COMPUTED_VALUE"""),"Si")</f>
        <v>Si</v>
      </c>
      <c r="AQ53" s="17" t="str">
        <f ca="1">IFERROR(__xludf.DUMMYFUNCTION("""COMPUTED_VALUE"""),"No")</f>
        <v>No</v>
      </c>
      <c r="AR53" s="17" t="str">
        <f ca="1">IFERROR(__xludf.DUMMYFUNCTION("""COMPUTED_VALUE"""),"No")</f>
        <v>No</v>
      </c>
      <c r="AS53" s="15" t="str">
        <f ca="1">IFERROR(__xludf.DUMMYFUNCTION("""COMPUTED_VALUE"""),"No aplica")</f>
        <v>No aplica</v>
      </c>
      <c r="AT53" s="15" t="str">
        <f ca="1">IFERROR(__xludf.DUMMYFUNCTION("""COMPUTED_VALUE"""),"Recomendaciones:
1. Establecer la opción de manejo del riesgo residual (celda Q:14)
2. Fortalecer la clasificación y organización de los soportes aportados para verificar la ejecución de los controles. Así mismo asegurar que cuando se compartan las carpet"&amp;"as de evidencias se otorguen los respectivos permisos de acceso.")</f>
        <v>Recomendaciones:
1. Establecer la opción de manejo del riesgo residual (celda Q:14)
2. Fortalecer la clasificación y organización de los soportes aportados para verificar la ejecución de los controles. Así mismo asegurar que cuando se compartan las carpetas de evidencias se otorguen los respectivos permisos de acceso.</v>
      </c>
      <c r="AU53" s="10"/>
    </row>
    <row r="54" spans="1:47" x14ac:dyDescent="0.25">
      <c r="A54" s="25"/>
      <c r="B54" s="86"/>
      <c r="C54" s="86"/>
      <c r="D54" s="89"/>
      <c r="E54" s="64"/>
      <c r="F54" s="64"/>
      <c r="G54" s="64"/>
      <c r="H54" s="64"/>
      <c r="I54" s="64"/>
      <c r="J54" s="64"/>
      <c r="K54" s="64"/>
      <c r="L54" s="64"/>
      <c r="M54" s="64"/>
      <c r="N54" s="64"/>
      <c r="O54" s="64"/>
      <c r="P54" s="64"/>
      <c r="Q54" s="83"/>
      <c r="R54" s="20" t="str">
        <f ca="1">IFERROR(__xludf.DUMMYFUNCTION("""COMPUTED_VALUE"""),"")</f>
        <v/>
      </c>
      <c r="S54" s="42" t="str">
        <f ca="1">IFERROR(__xludf.DUMMYFUNCTION("""COMPUTED_VALUE"""),"")</f>
        <v/>
      </c>
      <c r="T54" s="34"/>
      <c r="U54" s="20"/>
      <c r="V54" s="89"/>
      <c r="W54" s="89"/>
      <c r="X54" s="89"/>
      <c r="Y54" s="89"/>
      <c r="Z54" s="15" t="str">
        <f ca="1">IFERROR(__xludf.DUMMYFUNCTION("""COMPUTED_VALUE"""),"30 de agosto")</f>
        <v>30 de agosto</v>
      </c>
      <c r="AA54" s="17"/>
      <c r="AB54" s="17"/>
      <c r="AC54" s="15"/>
      <c r="AD54" s="17"/>
      <c r="AE54" s="18" t="str">
        <f ca="1">IFERROR(__xludf.DUMMYFUNCTION("""COMPUTED_VALUE"""),"Evidencia")</f>
        <v>Evidencia</v>
      </c>
      <c r="AF54" s="15"/>
      <c r="AG54" s="15"/>
      <c r="AH54" s="15"/>
      <c r="AI54" s="24" t="str">
        <f ca="1">IFERROR(__xludf.DUMMYFUNCTION("""COMPUTED_VALUE"""),"31 de agosto")</f>
        <v>31 de agosto</v>
      </c>
      <c r="AJ54" s="17"/>
      <c r="AK54" s="17"/>
      <c r="AL54" s="17"/>
      <c r="AM54" s="17"/>
      <c r="AN54" s="17"/>
      <c r="AO54" s="17"/>
      <c r="AP54" s="17"/>
      <c r="AQ54" s="17"/>
      <c r="AR54" s="17"/>
      <c r="AS54" s="15"/>
      <c r="AT54" s="15"/>
      <c r="AU54" s="10"/>
    </row>
    <row r="55" spans="1:47" x14ac:dyDescent="0.25">
      <c r="A55" s="25"/>
      <c r="B55" s="86"/>
      <c r="C55" s="86"/>
      <c r="D55" s="76"/>
      <c r="E55" s="61"/>
      <c r="F55" s="61"/>
      <c r="G55" s="61"/>
      <c r="H55" s="61"/>
      <c r="I55" s="61"/>
      <c r="J55" s="61"/>
      <c r="K55" s="61"/>
      <c r="L55" s="61"/>
      <c r="M55" s="61"/>
      <c r="N55" s="61"/>
      <c r="O55" s="61"/>
      <c r="P55" s="61"/>
      <c r="Q55" s="84"/>
      <c r="R55" s="26" t="str">
        <f ca="1">IFERROR(__xludf.DUMMYFUNCTION("""COMPUTED_VALUE"""),"")</f>
        <v/>
      </c>
      <c r="S55" s="43" t="str">
        <f ca="1">IFERROR(__xludf.DUMMYFUNCTION("""COMPUTED_VALUE"""),"")</f>
        <v/>
      </c>
      <c r="T55" s="38"/>
      <c r="U55" s="26"/>
      <c r="V55" s="76"/>
      <c r="W55" s="76"/>
      <c r="X55" s="76"/>
      <c r="Y55" s="76"/>
      <c r="Z55" s="15" t="str">
        <f ca="1">IFERROR(__xludf.DUMMYFUNCTION("""COMPUTED_VALUE"""),"30 de diciembre")</f>
        <v>30 de diciembre</v>
      </c>
      <c r="AA55" s="17"/>
      <c r="AB55" s="17"/>
      <c r="AC55" s="15"/>
      <c r="AD55" s="17"/>
      <c r="AE55" s="18" t="str">
        <f ca="1">IFERROR(__xludf.DUMMYFUNCTION("""COMPUTED_VALUE"""),"Evidencia")</f>
        <v>Evidencia</v>
      </c>
      <c r="AF55" s="15"/>
      <c r="AG55" s="15"/>
      <c r="AH55" s="15"/>
      <c r="AI55" s="24" t="str">
        <f ca="1">IFERROR(__xludf.DUMMYFUNCTION("""COMPUTED_VALUE"""),"31 de diciembre")</f>
        <v>31 de diciembre</v>
      </c>
      <c r="AJ55" s="17"/>
      <c r="AK55" s="17"/>
      <c r="AL55" s="17"/>
      <c r="AM55" s="17"/>
      <c r="AN55" s="17"/>
      <c r="AO55" s="17"/>
      <c r="AP55" s="17"/>
      <c r="AQ55" s="17"/>
      <c r="AR55" s="17"/>
      <c r="AS55" s="15"/>
      <c r="AT55" s="15"/>
      <c r="AU55" s="10"/>
    </row>
    <row r="56" spans="1:47" ht="156" x14ac:dyDescent="0.25">
      <c r="A56" s="25"/>
      <c r="B56" s="86"/>
      <c r="C56" s="86"/>
      <c r="D56" s="88" t="str">
        <f ca="1">IFERROR(__xludf.DUMMYFUNCTION("""COMPUTED_VALUE"""),"Posibilidad de afectación económica y reputacional por indebido manejo de la información del Sistema de Información Académica de Unillanos - SIAU, para favorecimiento de un tercero")</f>
        <v>Posibilidad de afectación económica y reputacional por indebido manejo de la información del Sistema de Información Académica de Unillanos - SIAU, para favorecimiento de un tercero</v>
      </c>
      <c r="E56" s="63" t="str">
        <f ca="1">IFERROR(__xludf.DUMMYFUNCTION("""COMPUTED_VALUE"""),"Oficina de Admisiones, Registro y Control Académico")</f>
        <v>Oficina de Admisiones, Registro y Control Académico</v>
      </c>
      <c r="F56" s="63" t="str">
        <f ca="1">IFERROR(__xludf.DUMMYFUNCTION("""COMPUTED_VALUE"""),"Corrupción")</f>
        <v>Corrupción</v>
      </c>
      <c r="G56" s="63" t="str">
        <f ca="1">IFERROR(__xludf.DUMMYFUNCTION("""COMPUTED_VALUE"""),"- Indebido cuidado profesional del personal administrativo
- Controles débiles en el acceso a la información
- Sistema de informacion SIAU incompleto para realizar la totalidad de funciones a cargo de la Oficina de Admisiones- Debilidades en el respaldo d"&amp;"e la información del SIAU")</f>
        <v>- Indebido cuidado profesional del personal administrativo
- Controles débiles en el acceso a la información
- Sistema de informacion SIAU incompleto para realizar la totalidad de funciones a cargo de la Oficina de Admisiones- Debilidades en el respaldo de la información del SIAU</v>
      </c>
      <c r="H56" s="63" t="str">
        <f ca="1">IFERROR(__xludf.DUMMYFUNCTION("""COMPUTED_VALUE"""),"1. Avales sin cumplir requisitos para trámites de grado y otorgamiento de títulos
2. Pérdida de la integridad de la información académica de los usuarios
3. Intervención de órganos de control
4. Afectación a la imagen institucional
5. Desconfianza en los "&amp;"resultados generados por el proceso
6. Pérdida de recursos, por recibos de matrícula generados incorrectamente")</f>
        <v>1. Avales sin cumplir requisitos para trámites de grado y otorgamiento de títulos
2. Pérdida de la integridad de la información académica de los usuarios
3. Intervención de órganos de control
4. Afectación a la imagen institucional
5. Desconfianza en los resultados generados por el proceso
6. Pérdida de recursos, por recibos de matrícula generados incorrectamente</v>
      </c>
      <c r="I56" s="65" t="str">
        <f ca="1">IFERROR(__xludf.DUMMYFUNCTION("""COMPUTED_VALUE"""),"DOC_03")</f>
        <v>DOC_03</v>
      </c>
      <c r="J56" s="65" t="str">
        <f ca="1">IFERROR(__xludf.DUMMYFUNCTION("""COMPUTED_VALUE"""),"Media")</f>
        <v>Media</v>
      </c>
      <c r="K56" s="65" t="str">
        <f ca="1">IFERROR(__xludf.DUMMYFUNCTION("""COMPUTED_VALUE"""),"Mayor")</f>
        <v>Mayor</v>
      </c>
      <c r="L56" s="65" t="str">
        <f ca="1">IFERROR(__xludf.DUMMYFUNCTION("""COMPUTED_VALUE"""),"Extrema")</f>
        <v>Extrema</v>
      </c>
      <c r="M56" s="63" t="str">
        <f ca="1">IFERROR(__xludf.DUMMYFUNCTION("""COMPUTED_VALUE"""),"- El personal de la oficina de Admisiones, en cada corte de grados, verifica el cumplimiento de los requisitos por parte de los aspirantes a título de grado y posgrado, de acuerdo a las listas de chequeo, y remite el listado de los graduandos a la Secreta"&amp;"ría General
- El jefe de la oficina de admisiones, cuando se identifican las necesidades en términos de la funcionalidad del sistema SIAU reporta a la oficina de Sistemas para el respectivo desarrollo, en el formato establecido
- La oficina de admisiones "&amp;"y la oficina de sistemas, realizan auditorías aleatorias anuales a una muestra del proceso de cancelación de cursos y semestre, y al proceso de modificación de notas, con el fin de detectar posibles anomalías")</f>
        <v>- El personal de la oficina de Admisiones, en cada corte de grados, verifica el cumplimiento de los requisitos por parte de los aspirantes a título de grado y posgrado, de acuerdo a las listas de chequeo, y remite el listado de los graduandos a la Secretaría General
- El jefe de la oficina de admisiones, cuando se identifican las necesidades en términos de la funcionalidad del sistema SIAU reporta a la oficina de Sistemas para el respectivo desarrollo, en el formato establecido
- La oficina de admisiones y la oficina de sistemas, realizan auditorías aleatorias anuales a una muestra del proceso de cancelación de cursos y semestre, y al proceso de modificación de notas, con el fin de detectar posibles anomalías</v>
      </c>
      <c r="N56" s="65" t="str">
        <f ca="1">IFERROR(__xludf.DUMMYFUNCTION("""COMPUTED_VALUE"""),"Baja")</f>
        <v>Baja</v>
      </c>
      <c r="O56" s="65" t="str">
        <f ca="1">IFERROR(__xludf.DUMMYFUNCTION("""COMPUTED_VALUE"""),"Mayor")</f>
        <v>Mayor</v>
      </c>
      <c r="P56" s="65" t="str">
        <f ca="1">IFERROR(__xludf.DUMMYFUNCTION("""COMPUTED_VALUE"""),"Alta")</f>
        <v>Alta</v>
      </c>
      <c r="Q56" s="91" t="str">
        <f ca="1">IFERROR(__xludf.DUMMYFUNCTION("""COMPUTED_VALUE"""),"Reducir")</f>
        <v>Reducir</v>
      </c>
      <c r="R56" s="20" t="str">
        <f ca="1">IFERROR(__xludf.DUMMYFUNCTION("""COMPUTED_VALUE"""),"Realizar sensiblización al equipo de trabajo de la Oficina de Admisiones, Registro y Control Académico sobre la integridad de los datos en el Sistema de Información SIAU")</f>
        <v>Realizar sensiblización al equipo de trabajo de la Oficina de Admisiones, Registro y Control Académico sobre la integridad de los datos en el Sistema de Información SIAU</v>
      </c>
      <c r="S56" s="40">
        <f ca="1">IFERROR(__xludf.DUMMYFUNCTION("""COMPUTED_VALUE"""),46295)</f>
        <v>46295</v>
      </c>
      <c r="T56" s="32" t="str">
        <f ca="1">IFERROR(__xludf.DUMMYFUNCTION("""COMPUTED_VALUE"""),"Jefe OARCA")</f>
        <v>Jefe OARCA</v>
      </c>
      <c r="U56" s="41" t="str">
        <f ca="1">IFERROR(__xludf.DUMMYFUNCTION("""COMPUTED_VALUE"""),"Registros de asistencia")</f>
        <v>Registros de asistencia</v>
      </c>
      <c r="V56" s="92" t="str">
        <f ca="1">IFERROR(__xludf.DUMMYFUNCTION("""COMPUTED_VALUE"""),"Evaluar la situacion presentada, notificarlo a la Vicerrectoria Academica y remitirlo a los organos de control en caso que sea pertinente")</f>
        <v>Evaluar la situacion presentada, notificarlo a la Vicerrectoria Academica y remitirlo a los organos de control en caso que sea pertinente</v>
      </c>
      <c r="W56" s="97" t="str">
        <f ca="1">IFERROR(__xludf.DUMMYFUNCTION("""COMPUTED_VALUE"""),"Oficio de notificacion a vicerrectoria academica y organos de control.")</f>
        <v>Oficio de notificacion a vicerrectoria academica y organos de control.</v>
      </c>
      <c r="X56" s="97" t="str">
        <f ca="1">IFERROR(__xludf.DUMMYFUNCTION("""COMPUTED_VALUE"""),"Jefe Oficina de Admisiones Registro y Control Academico")</f>
        <v>Jefe Oficina de Admisiones Registro y Control Academico</v>
      </c>
      <c r="Y56" s="97" t="str">
        <f ca="1">IFERROR(__xludf.DUMMYFUNCTION("""COMPUTED_VALUE"""),"5 dias habiles luego de su deteccion")</f>
        <v>5 dias habiles luego de su deteccion</v>
      </c>
      <c r="Z56" s="15" t="str">
        <f ca="1">IFERROR(__xludf.DUMMYFUNCTION("""COMPUTED_VALUE"""),"30 de abril")</f>
        <v>30 de abril</v>
      </c>
      <c r="AA56" s="17" t="str">
        <f ca="1">IFERROR(__xludf.DUMMYFUNCTION("""COMPUTED_VALUE"""),"Enero hasta Abril")</f>
        <v>Enero hasta Abril</v>
      </c>
      <c r="AB56" s="17" t="str">
        <f ca="1">IFERROR(__xludf.DUMMYFUNCTION("""COMPUTED_VALUE"""),"No")</f>
        <v>No</v>
      </c>
      <c r="AC56" s="15" t="str">
        <f ca="1">IFERROR(__xludf.DUMMYFUNCTION("""COMPUTED_VALUE"""),"* En la vigencia Enero - Abril se relizó la verificacion de cumplimiento de requisitos a estudiantes para grado. En constancia se remiteron 04 oficios a la Secretaria General.
* En el plazo de ejecucion se han remitido solicitudes a la Oficina de Sistema"&amp;"s, en pro del mejoramiento y ajuste del Sistema de Informacion SIAU.
* La auditoria del proceso de cancelacion de cursos, cancelacion de semestre y modificacion de notas, se realizará para proximos monitoreos
* La sensibilizacion al equipo de trabajo de"&amp;" la Oficina de Admisiones, Registro y Control Académico sobre la integridad de los datos en el Sistema de Información SIAU, se realizara para proximos monitoreos.")</f>
        <v>* En la vigencia Enero - Abril se relizó la verificacion de cumplimiento de requisitos a estudiantes para grado. En constancia se remiteron 04 oficios a la Secretaria General.
* En el plazo de ejecucion se han remitido solicitudes a la Oficina de Sistemas, en pro del mejoramiento y ajuste del Sistema de Informacion SIAU.
* La auditoria del proceso de cancelacion de cursos, cancelacion de semestre y modificacion de notas, se realizará para proximos monitoreos
* La sensibilizacion al equipo de trabajo de la Oficina de Admisiones, Registro y Control Académico sobre la integridad de los datos en el Sistema de Información SIAU, se realizara para proximos monitoreos.</v>
      </c>
      <c r="AD56" s="17" t="str">
        <f ca="1">IFERROR(__xludf.DUMMYFUNCTION("""COMPUTED_VALUE"""),"Jefe Oficina de Admisiones, Registro y Control Academico")</f>
        <v>Jefe Oficina de Admisiones, Registro y Control Academico</v>
      </c>
      <c r="AE56" s="18" t="str">
        <f ca="1">IFERROR(__xludf.DUMMYFUNCTION("""COMPUTED_VALUE"""),"Evidencia")</f>
        <v>Evidencia</v>
      </c>
      <c r="AF56" s="15" t="str">
        <f ca="1">IFERROR(__xludf.DUMMYFUNCTION("""COMPUTED_VALUE"""),"Si")</f>
        <v>Si</v>
      </c>
      <c r="AG56" s="15" t="str">
        <f ca="1">IFERROR(__xludf.DUMMYFUNCTION("""COMPUTED_VALUE"""),"Ejecutada")</f>
        <v>Ejecutada</v>
      </c>
      <c r="AH56" s="15" t="str">
        <f ca="1">IFERROR(__xludf.DUMMYFUNCTION("""COMPUTED_VALUE"""),"Durante el periodo monitoreado no se materializó el riesgo.
C1: Se evidenció la verificación de requisitos de estudiantes para grado y la remisión de oficios a Secretaría General correspondientes a reportes de estudiantes de pregrado y posgrado, soportad"&amp;"os mediante comunicaciones oficiales.
C2: Se evidenció el envío de solicitudes a la Oficina de Sistemas para ajustes y mejoras del Sistema de Información SIAU, soportadas mediante correos y solicitudes de modificación al sistema.
C3: La auditoría aleato"&amp;"ria al proceso de cancelación de cursos, cancelación de semestre y modificación de notas no fue ejecutada durante el periodo monitoreado, por lo que no se evidencian soportes de aplicación del control.
Frente a la acción de tratamiento, la sensibilizació"&amp;"n al equipo de trabajo sobre la integridad de los datos en el sistema SIAU no se ejecutó durante el presente monitoreo y queda programada para próximos seguimientos.")</f>
        <v>Durante el periodo monitoreado no se materializó el riesgo.
C1: Se evidenció la verificación de requisitos de estudiantes para grado y la remisión de oficios a Secretaría General correspondientes a reportes de estudiantes de pregrado y posgrado, soportados mediante comunicaciones oficiales.
C2: Se evidenció el envío de solicitudes a la Oficina de Sistemas para ajustes y mejoras del Sistema de Información SIAU, soportadas mediante correos y solicitudes de modificación al sistema.
C3: La auditoría aleatoria al proceso de cancelación de cursos, cancelación de semestre y modificación de notas no fue ejecutada durante el periodo monitoreado, por lo que no se evidencian soportes de aplicación del control.
Frente a la acción de tratamiento, la sensibilización al equipo de trabajo sobre la integridad de los datos en el sistema SIAU no se ejecutó durante el presente monitoreo y queda programada para próximos seguimientos.</v>
      </c>
      <c r="AI56" s="15" t="str">
        <f ca="1">IFERROR(__xludf.DUMMYFUNCTION("""COMPUTED_VALUE"""),"30 de abril")</f>
        <v>30 de abril</v>
      </c>
      <c r="AJ56" s="17" t="str">
        <f ca="1">IFERROR(__xludf.DUMMYFUNCTION("""COMPUTED_VALUE"""),"Si")</f>
        <v>Si</v>
      </c>
      <c r="AK56" s="17" t="str">
        <f ca="1">IFERROR(__xludf.DUMMYFUNCTION("""COMPUTED_VALUE"""),"Si")</f>
        <v>Si</v>
      </c>
      <c r="AL56" s="17" t="str">
        <f ca="1">IFERROR(__xludf.DUMMYFUNCTION("""COMPUTED_VALUE"""),"Si")</f>
        <v>Si</v>
      </c>
      <c r="AM56" s="17" t="str">
        <f ca="1">IFERROR(__xludf.DUMMYFUNCTION("""COMPUTED_VALUE"""),"Si")</f>
        <v>Si</v>
      </c>
      <c r="AN56" s="17" t="str">
        <f ca="1">IFERROR(__xludf.DUMMYFUNCTION("""COMPUTED_VALUE"""),"Si")</f>
        <v>Si</v>
      </c>
      <c r="AO56" s="17" t="str">
        <f ca="1">IFERROR(__xludf.DUMMYFUNCTION("""COMPUTED_VALUE"""),"Si")</f>
        <v>Si</v>
      </c>
      <c r="AP56" s="17" t="str">
        <f ca="1">IFERROR(__xludf.DUMMYFUNCTION("""COMPUTED_VALUE"""),"Si")</f>
        <v>Si</v>
      </c>
      <c r="AQ56" s="17" t="str">
        <f ca="1">IFERROR(__xludf.DUMMYFUNCTION("""COMPUTED_VALUE"""),"No")</f>
        <v>No</v>
      </c>
      <c r="AR56" s="17" t="str">
        <f ca="1">IFERROR(__xludf.DUMMYFUNCTION("""COMPUTED_VALUE"""),"No")</f>
        <v>No</v>
      </c>
      <c r="AS56" s="15" t="str">
        <f ca="1">IFERROR(__xludf.DUMMYFUNCTION("""COMPUTED_VALUE"""),"No aplica")</f>
        <v>No aplica</v>
      </c>
      <c r="AT56" s="15" t="str">
        <f ca="1">IFERROR(__xludf.DUMMYFUNCTION("""COMPUTED_VALUE"""),"Ninguna")</f>
        <v>Ninguna</v>
      </c>
      <c r="AU56" s="10"/>
    </row>
    <row r="57" spans="1:47" x14ac:dyDescent="0.25">
      <c r="A57" s="25"/>
      <c r="B57" s="86"/>
      <c r="C57" s="86"/>
      <c r="D57" s="89"/>
      <c r="E57" s="64"/>
      <c r="F57" s="64"/>
      <c r="G57" s="64"/>
      <c r="H57" s="64"/>
      <c r="I57" s="64"/>
      <c r="J57" s="64"/>
      <c r="K57" s="64"/>
      <c r="L57" s="64"/>
      <c r="M57" s="64"/>
      <c r="N57" s="64"/>
      <c r="O57" s="64"/>
      <c r="P57" s="64"/>
      <c r="Q57" s="83"/>
      <c r="R57" s="20" t="str">
        <f ca="1">IFERROR(__xludf.DUMMYFUNCTION("""COMPUTED_VALUE"""),"")</f>
        <v/>
      </c>
      <c r="S57" s="42" t="str">
        <f ca="1">IFERROR(__xludf.DUMMYFUNCTION("""COMPUTED_VALUE"""),"")</f>
        <v/>
      </c>
      <c r="T57" s="34"/>
      <c r="U57" s="20"/>
      <c r="V57" s="89"/>
      <c r="W57" s="89"/>
      <c r="X57" s="89"/>
      <c r="Y57" s="89"/>
      <c r="Z57" s="15" t="str">
        <f ca="1">IFERROR(__xludf.DUMMYFUNCTION("""COMPUTED_VALUE"""),"30 de agosto")</f>
        <v>30 de agosto</v>
      </c>
      <c r="AA57" s="17"/>
      <c r="AB57" s="17"/>
      <c r="AC57" s="15"/>
      <c r="AD57" s="17"/>
      <c r="AE57" s="18" t="str">
        <f ca="1">IFERROR(__xludf.DUMMYFUNCTION("""COMPUTED_VALUE"""),"Evidencia")</f>
        <v>Evidencia</v>
      </c>
      <c r="AF57" s="15"/>
      <c r="AG57" s="15"/>
      <c r="AH57" s="15"/>
      <c r="AI57" s="24" t="str">
        <f ca="1">IFERROR(__xludf.DUMMYFUNCTION("""COMPUTED_VALUE"""),"31 de agosto")</f>
        <v>31 de agosto</v>
      </c>
      <c r="AJ57" s="17"/>
      <c r="AK57" s="17"/>
      <c r="AL57" s="17"/>
      <c r="AM57" s="17"/>
      <c r="AN57" s="17"/>
      <c r="AO57" s="17"/>
      <c r="AP57" s="17"/>
      <c r="AQ57" s="17"/>
      <c r="AR57" s="17"/>
      <c r="AS57" s="15"/>
      <c r="AT57" s="15"/>
      <c r="AU57" s="10"/>
    </row>
    <row r="58" spans="1:47" x14ac:dyDescent="0.25">
      <c r="A58" s="25"/>
      <c r="B58" s="86"/>
      <c r="C58" s="86"/>
      <c r="D58" s="76"/>
      <c r="E58" s="61"/>
      <c r="F58" s="61"/>
      <c r="G58" s="61"/>
      <c r="H58" s="61"/>
      <c r="I58" s="61"/>
      <c r="J58" s="61"/>
      <c r="K58" s="61"/>
      <c r="L58" s="61"/>
      <c r="M58" s="61"/>
      <c r="N58" s="61"/>
      <c r="O58" s="61"/>
      <c r="P58" s="61"/>
      <c r="Q58" s="84"/>
      <c r="R58" s="26" t="str">
        <f ca="1">IFERROR(__xludf.DUMMYFUNCTION("""COMPUTED_VALUE"""),"")</f>
        <v/>
      </c>
      <c r="S58" s="43" t="str">
        <f ca="1">IFERROR(__xludf.DUMMYFUNCTION("""COMPUTED_VALUE"""),"")</f>
        <v/>
      </c>
      <c r="T58" s="38"/>
      <c r="U58" s="26"/>
      <c r="V58" s="76"/>
      <c r="W58" s="76"/>
      <c r="X58" s="76"/>
      <c r="Y58" s="76"/>
      <c r="Z58" s="15" t="str">
        <f ca="1">IFERROR(__xludf.DUMMYFUNCTION("""COMPUTED_VALUE"""),"30 de diciembre")</f>
        <v>30 de diciembre</v>
      </c>
      <c r="AA58" s="17"/>
      <c r="AB58" s="17"/>
      <c r="AC58" s="15"/>
      <c r="AD58" s="17"/>
      <c r="AE58" s="18" t="str">
        <f ca="1">IFERROR(__xludf.DUMMYFUNCTION("""COMPUTED_VALUE"""),"Evidencia")</f>
        <v>Evidencia</v>
      </c>
      <c r="AF58" s="15"/>
      <c r="AG58" s="15"/>
      <c r="AH58" s="15"/>
      <c r="AI58" s="24" t="str">
        <f ca="1">IFERROR(__xludf.DUMMYFUNCTION("""COMPUTED_VALUE"""),"31 de diciembre")</f>
        <v>31 de diciembre</v>
      </c>
      <c r="AJ58" s="17"/>
      <c r="AK58" s="17"/>
      <c r="AL58" s="17"/>
      <c r="AM58" s="17"/>
      <c r="AN58" s="17"/>
      <c r="AO58" s="17"/>
      <c r="AP58" s="17"/>
      <c r="AQ58" s="17"/>
      <c r="AR58" s="17"/>
      <c r="AS58" s="15"/>
      <c r="AT58" s="15"/>
      <c r="AU58" s="10"/>
    </row>
    <row r="59" spans="1:47" ht="240" x14ac:dyDescent="0.25">
      <c r="A59" s="25"/>
      <c r="B59" s="86"/>
      <c r="C59" s="86"/>
      <c r="D59" s="88" t="str">
        <f ca="1">IFERROR(__xludf.DUMMYFUNCTION("""COMPUTED_VALUE"""),"Posibilidad de afectación económica y reputacional por pérdida de fiabilidad e integridad de la información del Centro de Idiomas, debido a debilidades en la aplicación de controles en la gestión de la información")</f>
        <v>Posibilidad de afectación económica y reputacional por pérdida de fiabilidad e integridad de la información del Centro de Idiomas, debido a debilidades en la aplicación de controles en la gestión de la información</v>
      </c>
      <c r="E59" s="63" t="str">
        <f ca="1">IFERROR(__xludf.DUMMYFUNCTION("""COMPUTED_VALUE"""),"Centro de Idiomas")</f>
        <v>Centro de Idiomas</v>
      </c>
      <c r="F59" s="63" t="str">
        <f ca="1">IFERROR(__xludf.DUMMYFUNCTION("""COMPUTED_VALUE"""),"Gestión")</f>
        <v>Gestión</v>
      </c>
      <c r="G59" s="63" t="str">
        <f ca="1">IFERROR(__xludf.DUMMYFUNCTION("""COMPUTED_VALUE"""),"- Controles ineficaces en la gestión de la información
- Carencia de mecanismos de copias de respaldo para garantizar recuperabilidad de la información
- Indebido cuidado profesional de las personas que administran o tienen acceso al sistema de informació"&amp;"n")</f>
        <v>- Controles ineficaces en la gestión de la información
- Carencia de mecanismos de copias de respaldo para garantizar recuperabilidad de la información
- Indebido cuidado profesional de las personas que administran o tienen acceso al sistema de información</v>
      </c>
      <c r="H59" s="63" t="str">
        <f ca="1">IFERROR(__xludf.DUMMYFUNCTION("""COMPUTED_VALUE"""),"1. Incumplimiento de requisitos legales o del cliente.
2. Generación de salidas no conformes.
3. Afectación a la imagen del Centro de idiomas
4. Reprocesos")</f>
        <v>1. Incumplimiento de requisitos legales o del cliente.
2. Generación de salidas no conformes.
3. Afectación a la imagen del Centro de idiomas
4. Reprocesos</v>
      </c>
      <c r="I59" s="65" t="str">
        <f ca="1">IFERROR(__xludf.DUMMYFUNCTION("""COMPUTED_VALUE"""),"DOC_04")</f>
        <v>DOC_04</v>
      </c>
      <c r="J59" s="65" t="str">
        <f ca="1">IFERROR(__xludf.DUMMYFUNCTION("""COMPUTED_VALUE"""),"Media")</f>
        <v>Media</v>
      </c>
      <c r="K59" s="65" t="str">
        <f ca="1">IFERROR(__xludf.DUMMYFUNCTION("""COMPUTED_VALUE"""),"Moderado")</f>
        <v>Moderado</v>
      </c>
      <c r="L59" s="65" t="str">
        <f ca="1">IFERROR(__xludf.DUMMYFUNCTION("""COMPUTED_VALUE"""),"Alta")</f>
        <v>Alta</v>
      </c>
      <c r="M59" s="63" t="str">
        <f ca="1">IFERROR(__xludf.DUMMYFUNCTION("""COMPUTED_VALUE"""),"- El profesional de apoyo del Centro de Idiomas, realiza al inicio de cada semestre la verificación de la completitud de la información cargada por estudiantes externos matriculados.
- El profesional de apoyo de la oficina de Sistemas, programa la realiza"&amp;"ción de back-up diario a la información del SIAU
- El director del Centro de idiomas, asigna semestralmente las responsabilidades al personal de este Centro, relacionadas con la administración de la información de los usuarios del Centro de Idiomas
- El t"&amp;"écnico de apoyo del Centro de Idiomas realiza cada semestre sensibilización al personal de este Centro sobre el ""PT-DOC-01 Protocolo de respaldo y restauración de la información del Centro de Idiomas"" ")</f>
        <v xml:space="preserve">- El profesional de apoyo del Centro de Idiomas, realiza al inicio de cada semestre la verificación de la completitud de la información cargada por estudiantes externos matriculados.
- El profesional de apoyo de la oficina de Sistemas, programa la realización de back-up diario a la información del SIAU
- El director del Centro de idiomas, asigna semestralmente las responsabilidades al personal de este Centro, relacionadas con la administración de la información de los usuarios del Centro de Idiomas
- El técnico de apoyo del Centro de Idiomas realiza cada semestre sensibilización al personal de este Centro sobre el "PT-DOC-01 Protocolo de respaldo y restauración de la información del Centro de Idiomas" </v>
      </c>
      <c r="N59" s="65" t="str">
        <f ca="1">IFERROR(__xludf.DUMMYFUNCTION("""COMPUTED_VALUE"""),"Muy baja")</f>
        <v>Muy baja</v>
      </c>
      <c r="O59" s="65" t="str">
        <f ca="1">IFERROR(__xludf.DUMMYFUNCTION("""COMPUTED_VALUE"""),"Menor")</f>
        <v>Menor</v>
      </c>
      <c r="P59" s="65" t="str">
        <f ca="1">IFERROR(__xludf.DUMMYFUNCTION("""COMPUTED_VALUE"""),"Baja")</f>
        <v>Baja</v>
      </c>
      <c r="Q59" s="91" t="str">
        <f ca="1">IFERROR(__xludf.DUMMYFUNCTION("""COMPUTED_VALUE"""),"Aceptar")</f>
        <v>Aceptar</v>
      </c>
      <c r="R59" s="20" t="str">
        <f ca="1">IFERROR(__xludf.DUMMYFUNCTION("""COMPUTED_VALUE"""),"N/A")</f>
        <v>N/A</v>
      </c>
      <c r="S59" s="40" t="str">
        <f ca="1">IFERROR(__xludf.DUMMYFUNCTION("""COMPUTED_VALUE"""),"N/A")</f>
        <v>N/A</v>
      </c>
      <c r="T59" s="32" t="str">
        <f ca="1">IFERROR(__xludf.DUMMYFUNCTION("""COMPUTED_VALUE"""),"N/A")</f>
        <v>N/A</v>
      </c>
      <c r="U59" s="41" t="str">
        <f ca="1">IFERROR(__xludf.DUMMYFUNCTION("""COMPUTED_VALUE"""),"N/A")</f>
        <v>N/A</v>
      </c>
      <c r="V59" s="92" t="str">
        <f ca="1">IFERROR(__xludf.DUMMYFUNCTION("""COMPUTED_VALUE"""),"Revisión de la trazabilidad y recuperación de la información, a través de los diferentes medios disponibles")</f>
        <v>Revisión de la trazabilidad y recuperación de la información, a través de los diferentes medios disponibles</v>
      </c>
      <c r="W59" s="97" t="str">
        <f ca="1">IFERROR(__xludf.DUMMYFUNCTION("""COMPUTED_VALUE"""),"Información recuperada y disponible en el Sistema de Información")</f>
        <v>Información recuperada y disponible en el Sistema de Información</v>
      </c>
      <c r="X59" s="97" t="str">
        <f ca="1">IFERROR(__xludf.DUMMYFUNCTION("""COMPUTED_VALUE"""),"Director Centro de Idiomas - 
Jefe oficina de sistemas")</f>
        <v>Director Centro de Idiomas - 
Jefe oficina de sistemas</v>
      </c>
      <c r="Y59" s="97" t="str">
        <f ca="1">IFERROR(__xludf.DUMMYFUNCTION("""COMPUTED_VALUE"""),"15 días")</f>
        <v>15 días</v>
      </c>
      <c r="Z59" s="15" t="str">
        <f ca="1">IFERROR(__xludf.DUMMYFUNCTION("""COMPUTED_VALUE"""),"30 de abril")</f>
        <v>30 de abril</v>
      </c>
      <c r="AA59" s="17" t="str">
        <f ca="1">IFERROR(__xludf.DUMMYFUNCTION("""COMPUTED_VALUE"""),"Enero-Abril")</f>
        <v>Enero-Abril</v>
      </c>
      <c r="AB59" s="17" t="str">
        <f ca="1">IFERROR(__xludf.DUMMYFUNCTION("""COMPUTED_VALUE"""),"No")</f>
        <v>No</v>
      </c>
      <c r="AC59" s="15" t="str">
        <f ca="1">IFERROR(__xludf.DUMMYFUNCTION("""COMPUTED_VALUE"""),"Para este corte se realizaron los controles establecidos para el riesgo evaluado.
Control 1: El personal del Centro de Idiomas realizó el Acta 01, en la cual se socializó el proceso de aprobación de documentos de matrícula y el protocolo PT-DOC-02 “Proto"&amp;"colo de Reprogramación y Comunicación al Usuario”, explicando el procedimiento para la validación de documentos de matrícula. Asimismo, mediante el documento “Soportes de Matrícula” se realiza la verificación de la información. Aunque a la fecha no se ha "&amp;"cargado la información correspondiente al período 2026-1 en dicho documento, la revisión de documentos ya fue realizada en las bases de datos correspondientes.
Control 2: El control relacionado con la programación de backups del Centro de Idiomas quedó e"&amp;"stablecido en el Acta 02 del 15 de enero, donde, conforme al protocolo PT-DOC-01 “Protocolo de Backup de la Información”, se aprobó el cronograma de copias de seguridad diarias par procesos de matrículas y mensuales para las demás actividades del Centro d"&amp;"e Idiomas.
Control 3: El control relacionado con la asignación semestral de responsabilidades sobre la administración de la información de usuarios ya no se realiza de esa manera desde la implementación del protocolo PT-DOC-01, debido a que este document"&amp;"o define directamente las áreas responsables, correos institucionales y manejo de la documentación. Por lo anterior, se considera necesario reformular este control en el monitoreo de riesgos.
Control 4: La sensibilización al personal del Centro de Idioma"&amp;"s sobre el protocolo PT-DOC-01 fue realizada el 15 de enero mediante el Acta 02, donde se explicó el paso a paso del proceso establecido.
Respecto a la acción de contingencia relacionada con la revisión de trazabilidad y recuperación de la información, e"&amp;"sta no fue ejecutada debido a que el riesgo no se materializó.")</f>
        <v>Para este corte se realizaron los controles establecidos para el riesgo evaluado.
Control 1: El personal del Centro de Idiomas realizó el Acta 01, en la cual se socializó el proceso de aprobación de documentos de matrícula y el protocolo PT-DOC-02 “Protocolo de Reprogramación y Comunicación al Usuario”, explicando el procedimiento para la validación de documentos de matrícula. Asimismo, mediante el documento “Soportes de Matrícula” se realiza la verificación de la información. Aunque a la fecha no se ha cargado la información correspondiente al período 2026-1 en dicho documento, la revisión de documentos ya fue realizada en las bases de datos correspondientes.
Control 2: El control relacionado con la programación de backups del Centro de Idiomas quedó establecido en el Acta 02 del 15 de enero, donde, conforme al protocolo PT-DOC-01 “Protocolo de Backup de la Información”, se aprobó el cronograma de copias de seguridad diarias par procesos de matrículas y mensuales para las demás actividades del Centro de Idiomas.
Control 3: El control relacionado con la asignación semestral de responsabilidades sobre la administración de la información de usuarios ya no se realiza de esa manera desde la implementación del protocolo PT-DOC-01, debido a que este documento define directamente las áreas responsables, correos institucionales y manejo de la documentación. Por lo anterior, se considera necesario reformular este control en el monitoreo de riesgos.
Control 4: La sensibilización al personal del Centro de Idiomas sobre el protocolo PT-DOC-01 fue realizada el 15 de enero mediante el Acta 02, donde se explicó el paso a paso del proceso establecido.
Respecto a la acción de contingencia relacionada con la revisión de trazabilidad y recuperación de la información, esta no fue ejecutada debido a que el riesgo no se materializó.</v>
      </c>
      <c r="AD59" s="17" t="str">
        <f ca="1">IFERROR(__xludf.DUMMYFUNCTION("""COMPUTED_VALUE"""),"Centro de idiomas")</f>
        <v>Centro de idiomas</v>
      </c>
      <c r="AE59" s="18" t="str">
        <f ca="1">IFERROR(__xludf.DUMMYFUNCTION("""COMPUTED_VALUE"""),"Evidencia")</f>
        <v>Evidencia</v>
      </c>
      <c r="AF59" s="15" t="str">
        <f ca="1">IFERROR(__xludf.DUMMYFUNCTION("""COMPUTED_VALUE"""),"Si")</f>
        <v>Si</v>
      </c>
      <c r="AG59" s="15" t="str">
        <f ca="1">IFERROR(__xludf.DUMMYFUNCTION("""COMPUTED_VALUE"""),"En proceso")</f>
        <v>En proceso</v>
      </c>
      <c r="AH59" s="15" t="str">
        <f ca="1">IFERROR(__xludf.DUMMYFUNCTION("""COMPUTED_VALUE"""),"C1: Se evidenció mediante Acta 01 la socialización del proceso de validación de documentos de matrícula y revisión de información de estudiantes.
C2: Se evidenció mediante Acta 02 la aprobación del cronograma de copias de seguridad conforme al protocolo "&amp;"PT-DOC-01.
C3: El proceso informó que este control ya no se ejecuta conforme a lo definido inicialmente, debido a la implementación del protocolo PT-DOC-01, por lo que se recomienda actualizar el control en la matriz de riesgos.
C4: Se evidenció sensibi"&amp;"lización al personal del Centro de Idiomas sobre el protocolo PT-DOC-01 mediante Acta 02 del 15 de enero de 2026.
Materialización del riesgo: El riesgo no se materializó durante el periodo evaluado.
Conclusión: Los controles cuentan parcialmente con evi"&amp;"dencias de ejecución. Se recomienda actualizar el control C3 y fortalecer la trazabilidad de la información reportada en próximos monitoreos.")</f>
        <v>C1: Se evidenció mediante Acta 01 la socialización del proceso de validación de documentos de matrícula y revisión de información de estudiantes.
C2: Se evidenció mediante Acta 02 la aprobación del cronograma de copias de seguridad conforme al protocolo PT-DOC-01.
C3: El proceso informó que este control ya no se ejecuta conforme a lo definido inicialmente, debido a la implementación del protocolo PT-DOC-01, por lo que se recomienda actualizar el control en la matriz de riesgos.
C4: Se evidenció sensibilización al personal del Centro de Idiomas sobre el protocolo PT-DOC-01 mediante Acta 02 del 15 de enero de 2026.
Materialización del riesgo: El riesgo no se materializó durante el periodo evaluado.
Conclusión: Los controles cuentan parcialmente con evidencias de ejecución. Se recomienda actualizar el control C3 y fortalecer la trazabilidad de la información reportada en próximos monitoreos.</v>
      </c>
      <c r="AI59" s="15" t="str">
        <f ca="1">IFERROR(__xludf.DUMMYFUNCTION("""COMPUTED_VALUE"""),"30 de abril")</f>
        <v>30 de abril</v>
      </c>
      <c r="AJ59" s="17" t="str">
        <f ca="1">IFERROR(__xludf.DUMMYFUNCTION("""COMPUTED_VALUE"""),"Si")</f>
        <v>Si</v>
      </c>
      <c r="AK59" s="17" t="str">
        <f ca="1">IFERROR(__xludf.DUMMYFUNCTION("""COMPUTED_VALUE"""),"Si")</f>
        <v>Si</v>
      </c>
      <c r="AL59" s="17" t="str">
        <f ca="1">IFERROR(__xludf.DUMMYFUNCTION("""COMPUTED_VALUE"""),"Si")</f>
        <v>Si</v>
      </c>
      <c r="AM59" s="17" t="str">
        <f ca="1">IFERROR(__xludf.DUMMYFUNCTION("""COMPUTED_VALUE"""),"Si")</f>
        <v>Si</v>
      </c>
      <c r="AN59" s="17" t="str">
        <f ca="1">IFERROR(__xludf.DUMMYFUNCTION("""COMPUTED_VALUE"""),"Si")</f>
        <v>Si</v>
      </c>
      <c r="AO59" s="17" t="str">
        <f ca="1">IFERROR(__xludf.DUMMYFUNCTION("""COMPUTED_VALUE"""),"Si")</f>
        <v>Si</v>
      </c>
      <c r="AP59" s="17" t="str">
        <f ca="1">IFERROR(__xludf.DUMMYFUNCTION("""COMPUTED_VALUE"""),"Si")</f>
        <v>Si</v>
      </c>
      <c r="AQ59" s="17" t="str">
        <f ca="1">IFERROR(__xludf.DUMMYFUNCTION("""COMPUTED_VALUE"""),"No")</f>
        <v>No</v>
      </c>
      <c r="AR59" s="17" t="str">
        <f ca="1">IFERROR(__xludf.DUMMYFUNCTION("""COMPUTED_VALUE"""),"No")</f>
        <v>No</v>
      </c>
      <c r="AS59" s="15" t="str">
        <f ca="1">IFERROR(__xludf.DUMMYFUNCTION("""COMPUTED_VALUE"""),"No aplica")</f>
        <v>No aplica</v>
      </c>
      <c r="AT59" s="15" t="str">
        <f ca="1">IFERROR(__xludf.DUMMYFUNCTION("""COMPUTED_VALUE"""),"Ninguna")</f>
        <v>Ninguna</v>
      </c>
      <c r="AU59" s="10"/>
    </row>
    <row r="60" spans="1:47" x14ac:dyDescent="0.25">
      <c r="A60" s="25"/>
      <c r="B60" s="86"/>
      <c r="C60" s="86"/>
      <c r="D60" s="89"/>
      <c r="E60" s="64"/>
      <c r="F60" s="64"/>
      <c r="G60" s="64"/>
      <c r="H60" s="64"/>
      <c r="I60" s="64"/>
      <c r="J60" s="64"/>
      <c r="K60" s="64"/>
      <c r="L60" s="64"/>
      <c r="M60" s="64"/>
      <c r="N60" s="64"/>
      <c r="O60" s="64"/>
      <c r="P60" s="64"/>
      <c r="Q60" s="83"/>
      <c r="R60" s="20" t="str">
        <f ca="1">IFERROR(__xludf.DUMMYFUNCTION("""COMPUTED_VALUE"""),"")</f>
        <v/>
      </c>
      <c r="S60" s="42" t="str">
        <f ca="1">IFERROR(__xludf.DUMMYFUNCTION("""COMPUTED_VALUE"""),"")</f>
        <v/>
      </c>
      <c r="T60" s="34"/>
      <c r="U60" s="20"/>
      <c r="V60" s="89"/>
      <c r="W60" s="89"/>
      <c r="X60" s="89"/>
      <c r="Y60" s="89"/>
      <c r="Z60" s="15" t="str">
        <f ca="1">IFERROR(__xludf.DUMMYFUNCTION("""COMPUTED_VALUE"""),"30 de agosto")</f>
        <v>30 de agosto</v>
      </c>
      <c r="AA60" s="17"/>
      <c r="AB60" s="17"/>
      <c r="AC60" s="15"/>
      <c r="AD60" s="17"/>
      <c r="AE60" s="18" t="str">
        <f ca="1">IFERROR(__xludf.DUMMYFUNCTION("""COMPUTED_VALUE"""),"Evidencia")</f>
        <v>Evidencia</v>
      </c>
      <c r="AF60" s="15"/>
      <c r="AG60" s="15"/>
      <c r="AH60" s="15"/>
      <c r="AI60" s="24" t="str">
        <f ca="1">IFERROR(__xludf.DUMMYFUNCTION("""COMPUTED_VALUE"""),"31 de agosto")</f>
        <v>31 de agosto</v>
      </c>
      <c r="AJ60" s="17"/>
      <c r="AK60" s="17"/>
      <c r="AL60" s="17"/>
      <c r="AM60" s="17"/>
      <c r="AN60" s="17"/>
      <c r="AO60" s="17"/>
      <c r="AP60" s="17"/>
      <c r="AQ60" s="17"/>
      <c r="AR60" s="17"/>
      <c r="AS60" s="15"/>
      <c r="AT60" s="15"/>
      <c r="AU60" s="10"/>
    </row>
    <row r="61" spans="1:47" x14ac:dyDescent="0.25">
      <c r="A61" s="25"/>
      <c r="B61" s="86"/>
      <c r="C61" s="86"/>
      <c r="D61" s="76"/>
      <c r="E61" s="61"/>
      <c r="F61" s="61"/>
      <c r="G61" s="61"/>
      <c r="H61" s="61"/>
      <c r="I61" s="61"/>
      <c r="J61" s="61"/>
      <c r="K61" s="61"/>
      <c r="L61" s="61"/>
      <c r="M61" s="61"/>
      <c r="N61" s="61"/>
      <c r="O61" s="61"/>
      <c r="P61" s="61"/>
      <c r="Q61" s="84"/>
      <c r="R61" s="26" t="str">
        <f ca="1">IFERROR(__xludf.DUMMYFUNCTION("""COMPUTED_VALUE"""),"")</f>
        <v/>
      </c>
      <c r="S61" s="43" t="str">
        <f ca="1">IFERROR(__xludf.DUMMYFUNCTION("""COMPUTED_VALUE"""),"")</f>
        <v/>
      </c>
      <c r="T61" s="38"/>
      <c r="U61" s="26"/>
      <c r="V61" s="76"/>
      <c r="W61" s="76"/>
      <c r="X61" s="76"/>
      <c r="Y61" s="76"/>
      <c r="Z61" s="15" t="str">
        <f ca="1">IFERROR(__xludf.DUMMYFUNCTION("""COMPUTED_VALUE"""),"30 de diciembre")</f>
        <v>30 de diciembre</v>
      </c>
      <c r="AA61" s="17"/>
      <c r="AB61" s="17"/>
      <c r="AC61" s="15"/>
      <c r="AD61" s="17"/>
      <c r="AE61" s="18" t="str">
        <f ca="1">IFERROR(__xludf.DUMMYFUNCTION("""COMPUTED_VALUE"""),"Evidencia")</f>
        <v>Evidencia</v>
      </c>
      <c r="AF61" s="15"/>
      <c r="AG61" s="15"/>
      <c r="AH61" s="15"/>
      <c r="AI61" s="24" t="str">
        <f ca="1">IFERROR(__xludf.DUMMYFUNCTION("""COMPUTED_VALUE"""),"31 de diciembre")</f>
        <v>31 de diciembre</v>
      </c>
      <c r="AJ61" s="17"/>
      <c r="AK61" s="17"/>
      <c r="AL61" s="17"/>
      <c r="AM61" s="17"/>
      <c r="AN61" s="17"/>
      <c r="AO61" s="17"/>
      <c r="AP61" s="17"/>
      <c r="AQ61" s="17"/>
      <c r="AR61" s="17"/>
      <c r="AS61" s="15"/>
      <c r="AT61" s="15"/>
      <c r="AU61" s="10"/>
    </row>
    <row r="62" spans="1:47" ht="132" x14ac:dyDescent="0.25">
      <c r="A62" s="25"/>
      <c r="B62" s="86"/>
      <c r="C62" s="86"/>
      <c r="D62" s="88" t="str">
        <f ca="1">IFERROR(__xludf.DUMMYFUNCTION("""COMPUTED_VALUE"""),"Posibilidad de afectación económica y reputacional debido a interrupción en la prestación de los servicios a usuarios internos y externos, debido a alteraciones de orden público o diferencias en el calendario académico del Centro de Idiomas respecto al ca"&amp;"lendario académico de los programas de pregrado.")</f>
        <v>Posibilidad de afectación económica y reputacional debido a interrupción en la prestación de los servicios a usuarios internos y externos, debido a alteraciones de orden público o diferencias en el calendario académico del Centro de Idiomas respecto al calendario académico de los programas de pregrado.</v>
      </c>
      <c r="E62" s="63" t="str">
        <f ca="1">IFERROR(__xludf.DUMMYFUNCTION("""COMPUTED_VALUE"""),"Centro de Idiomas")</f>
        <v>Centro de Idiomas</v>
      </c>
      <c r="F62" s="63" t="str">
        <f ca="1">IFERROR(__xludf.DUMMYFUNCTION("""COMPUTED_VALUE"""),"Gestión")</f>
        <v>Gestión</v>
      </c>
      <c r="G62" s="63" t="str">
        <f ca="1">IFERROR(__xludf.DUMMYFUNCTION("""COMPUTED_VALUE"""),"- Debilidades en la normatividad interna, que regule la prestación de los servicios del Centro de Idiomas, para estudiantes BULL
- Diferencias en el calendario académico del Centro de Idiomas respecto al calendario académico de los programas de pregrado, "&amp;"lo cual genera insuficiencia de personal académico administrativo
- Infraestructura física insuficiente para la prestación del servicio")</f>
        <v>- Debilidades en la normatividad interna, que regule la prestación de los servicios del Centro de Idiomas, para estudiantes BULL
- Diferencias en el calendario académico del Centro de Idiomas respecto al calendario académico de los programas de pregrado, lo cual genera insuficiencia de personal académico administrativo
- Infraestructura física insuficiente para la prestación del servicio</v>
      </c>
      <c r="H62" s="63" t="str">
        <f ca="1">IFERROR(__xludf.DUMMYFUNCTION("""COMPUTED_VALUE"""),"1. Retrasos en el calendario académico
2. Afectación a los usuarios
3. Descenso en la cantidad de usuarios externos
4. Detrimentro patrimonial
5. Baja satisfacción de los usuarios, especialmente los externos")</f>
        <v>1. Retrasos en el calendario académico
2. Afectación a los usuarios
3. Descenso en la cantidad de usuarios externos
4. Detrimentro patrimonial
5. Baja satisfacción de los usuarios, especialmente los externos</v>
      </c>
      <c r="I62" s="65" t="str">
        <f ca="1">IFERROR(__xludf.DUMMYFUNCTION("""COMPUTED_VALUE"""),"DOC_05")</f>
        <v>DOC_05</v>
      </c>
      <c r="J62" s="65" t="str">
        <f ca="1">IFERROR(__xludf.DUMMYFUNCTION("""COMPUTED_VALUE"""),"Media")</f>
        <v>Media</v>
      </c>
      <c r="K62" s="65" t="str">
        <f ca="1">IFERROR(__xludf.DUMMYFUNCTION("""COMPUTED_VALUE"""),"Moderado")</f>
        <v>Moderado</v>
      </c>
      <c r="L62" s="65" t="str">
        <f ca="1">IFERROR(__xludf.DUMMYFUNCTION("""COMPUTED_VALUE"""),"Alta")</f>
        <v>Alta</v>
      </c>
      <c r="M62" s="63" t="str">
        <f ca="1">IFERROR(__xludf.DUMMYFUNCTION("""COMPUTED_VALUE"""),"- El director del Centro de Idiomas solicita a la Facultad de Ciencias Humanas y de la Educación cada semestre, la contratación del personal académico y administrativo necesario para garantizar la prestación de los servicios del Centro de Idiomas
- Los do"&amp;"centes del Centro de Idiomas, concertan con los estudiantes horarios para la reposición de clases o actividades complementarias cuando se presentan retrasos o cambios en la prestación del servicio
- El Director del Centro de Idiomas comunica a los usuario"&amp;"s internos y externos, cuando se presentan cambios en la prestación del servicio  ")</f>
        <v xml:space="preserve">- El director del Centro de Idiomas solicita a la Facultad de Ciencias Humanas y de la Educación cada semestre, la contratación del personal académico y administrativo necesario para garantizar la prestación de los servicios del Centro de Idiomas
- Los docentes del Centro de Idiomas, concertan con los estudiantes horarios para la reposición de clases o actividades complementarias cuando se presentan retrasos o cambios en la prestación del servicio
- El Director del Centro de Idiomas comunica a los usuarios internos y externos, cuando se presentan cambios en la prestación del servicio  </v>
      </c>
      <c r="N62" s="65" t="str">
        <f ca="1">IFERROR(__xludf.DUMMYFUNCTION("""COMPUTED_VALUE"""),"Baja")</f>
        <v>Baja</v>
      </c>
      <c r="O62" s="65" t="str">
        <f ca="1">IFERROR(__xludf.DUMMYFUNCTION("""COMPUTED_VALUE"""),"Menor")</f>
        <v>Menor</v>
      </c>
      <c r="P62" s="65" t="str">
        <f ca="1">IFERROR(__xludf.DUMMYFUNCTION("""COMPUTED_VALUE"""),"Baja")</f>
        <v>Baja</v>
      </c>
      <c r="Q62" s="91" t="str">
        <f ca="1">IFERROR(__xludf.DUMMYFUNCTION("""COMPUTED_VALUE"""),"Aceptar")</f>
        <v>Aceptar</v>
      </c>
      <c r="R62" s="20" t="str">
        <f ca="1">IFERROR(__xludf.DUMMYFUNCTION("""COMPUTED_VALUE"""),"N/A")</f>
        <v>N/A</v>
      </c>
      <c r="S62" s="40" t="str">
        <f ca="1">IFERROR(__xludf.DUMMYFUNCTION("""COMPUTED_VALUE"""),"N/A")</f>
        <v>N/A</v>
      </c>
      <c r="T62" s="32" t="str">
        <f ca="1">IFERROR(__xludf.DUMMYFUNCTION("""COMPUTED_VALUE"""),"N/A")</f>
        <v>N/A</v>
      </c>
      <c r="U62" s="41" t="str">
        <f ca="1">IFERROR(__xludf.DUMMYFUNCTION("""COMPUTED_VALUE"""),"N/A")</f>
        <v>N/A</v>
      </c>
      <c r="V62" s="92" t="str">
        <f ca="1">IFERROR(__xludf.DUMMYFUNCTION("""COMPUTED_VALUE"""),"Los docentes del Centro de Idiomas, concertan con los estudiantes horarios para la reposición de clases o actividades complementarias")</f>
        <v>Los docentes del Centro de Idiomas, concertan con los estudiantes horarios para la reposición de clases o actividades complementarias</v>
      </c>
      <c r="W62" s="97" t="str">
        <f ca="1">IFERROR(__xludf.DUMMYFUNCTION("""COMPUTED_VALUE"""),"Acta de reunión")</f>
        <v>Acta de reunión</v>
      </c>
      <c r="X62" s="97" t="str">
        <f ca="1">IFERROR(__xludf.DUMMYFUNCTION("""COMPUTED_VALUE"""),"Docentes del Centro de Idiomas")</f>
        <v>Docentes del Centro de Idiomas</v>
      </c>
      <c r="Y62" s="97" t="str">
        <f ca="1">IFERROR(__xludf.DUMMYFUNCTION("""COMPUTED_VALUE"""),"15 días hábiles")</f>
        <v>15 días hábiles</v>
      </c>
      <c r="Z62" s="15" t="str">
        <f ca="1">IFERROR(__xludf.DUMMYFUNCTION("""COMPUTED_VALUE"""),"30 de abril")</f>
        <v>30 de abril</v>
      </c>
      <c r="AA62" s="17" t="str">
        <f ca="1">IFERROR(__xludf.DUMMYFUNCTION("""COMPUTED_VALUE"""),"Enero-Abril")</f>
        <v>Enero-Abril</v>
      </c>
      <c r="AB62" s="17" t="str">
        <f ca="1">IFERROR(__xludf.DUMMYFUNCTION("""COMPUTED_VALUE"""),"No")</f>
        <v>No</v>
      </c>
      <c r="AC62" s="15" t="str">
        <f ca="1">IFERROR(__xludf.DUMMYFUNCTION("""COMPUTED_VALUE"""),"Para este corte se realizaron los controles establecidos para el riesgo evaluado.
Control 1: Respecto a la contratación del personal académico y administrativo requerido para garantizar la prestación del servicio del Centro de Idiomas, el 27 de octubre d"&amp;"e 2025 se realizó la solicitud de personal administrativo, evidenciándose soporte mediante correos electrónicos. Asimismo, el 3 de diciembre de 2025 se enviaron las proyecciones de responsabilidades académicas 2026-1 para docentes Bull y externos, y el 17"&amp;" de febrero de 2026 se remitió la modificación de responsabilidades académicas para los programas de Extensión a la Comunidad y Bull.
Control 2: La acción de contingencia relacionada con la coordinación de horarios para reposición de clases o actividades"&amp;" complementarias no fue ejecutada, debido a que el riesgo no se materializó.
Control 3: La comunicación a usuarios internos y externos sobre cambios en la prestación del servicio no se realizó, ya que no se presentó materialización del riesgo.")</f>
        <v>Para este corte se realizaron los controles establecidos para el riesgo evaluado.
Control 1: Respecto a la contratación del personal académico y administrativo requerido para garantizar la prestación del servicio del Centro de Idiomas, el 27 de octubre de 2025 se realizó la solicitud de personal administrativo, evidenciándose soporte mediante correos electrónicos. Asimismo, el 3 de diciembre de 2025 se enviaron las proyecciones de responsabilidades académicas 2026-1 para docentes Bull y externos, y el 17 de febrero de 2026 se remitió la modificación de responsabilidades académicas para los programas de Extensión a la Comunidad y Bull.
Control 2: La acción de contingencia relacionada con la coordinación de horarios para reposición de clases o actividades complementarias no fue ejecutada, debido a que el riesgo no se materializó.
Control 3: La comunicación a usuarios internos y externos sobre cambios en la prestación del servicio no se realizó, ya que no se presentó materialización del riesgo.</v>
      </c>
      <c r="AD62" s="17" t="str">
        <f ca="1">IFERROR(__xludf.DUMMYFUNCTION("""COMPUTED_VALUE"""),"Centro de Idiomas")</f>
        <v>Centro de Idiomas</v>
      </c>
      <c r="AE62" s="18" t="str">
        <f ca="1">IFERROR(__xludf.DUMMYFUNCTION("""COMPUTED_VALUE"""),"Evidencia")</f>
        <v>Evidencia</v>
      </c>
      <c r="AF62" s="15" t="str">
        <f ca="1">IFERROR(__xludf.DUMMYFUNCTION("""COMPUTED_VALUE"""),"Si")</f>
        <v>Si</v>
      </c>
      <c r="AG62" s="15" t="str">
        <f ca="1">IFERROR(__xludf.DUMMYFUNCTION("""COMPUTED_VALUE"""),"Ejecutada")</f>
        <v>Ejecutada</v>
      </c>
      <c r="AH62" s="15" t="str">
        <f ca="1">IFERROR(__xludf.DUMMYFUNCTION("""COMPUTED_VALUE"""),"Durante el periodo monitoreado no se materializó el riesgo.
C1: Se evidenció la realización de solicitudes y ajustes relacionados con la contratación y asignación de personal académico y administrativo para garantizar la prestación del servicio del Centr"&amp;"o de Idiomas, soportado mediante correos electrónicos, revisión de actividades y proyecciones académicas para programas BULL y Extensión a la Comunidad.
C2: La acción relacionada con la reposición de clases o actividades complementarias no fue ejecutada,"&amp;" debido a que no se presentaron interrupciones en la prestación del servicio.
C3: No se evidenciaron comunicaciones sobre cambios en la prestación del servicio, teniendo en cuenta que el riesgo no se materializó durante el periodo evaluado.")</f>
        <v>Durante el periodo monitoreado no se materializó el riesgo.
C1: Se evidenció la realización de solicitudes y ajustes relacionados con la contratación y asignación de personal académico y administrativo para garantizar la prestación del servicio del Centro de Idiomas, soportado mediante correos electrónicos, revisión de actividades y proyecciones académicas para programas BULL y Extensión a la Comunidad.
C2: La acción relacionada con la reposición de clases o actividades complementarias no fue ejecutada, debido a que no se presentaron interrupciones en la prestación del servicio.
C3: No se evidenciaron comunicaciones sobre cambios en la prestación del servicio, teniendo en cuenta que el riesgo no se materializó durante el periodo evaluado.</v>
      </c>
      <c r="AI62" s="15" t="str">
        <f ca="1">IFERROR(__xludf.DUMMYFUNCTION("""COMPUTED_VALUE"""),"30 de abril")</f>
        <v>30 de abril</v>
      </c>
      <c r="AJ62" s="17" t="str">
        <f ca="1">IFERROR(__xludf.DUMMYFUNCTION("""COMPUTED_VALUE"""),"Si")</f>
        <v>Si</v>
      </c>
      <c r="AK62" s="17" t="str">
        <f ca="1">IFERROR(__xludf.DUMMYFUNCTION("""COMPUTED_VALUE"""),"Si")</f>
        <v>Si</v>
      </c>
      <c r="AL62" s="17" t="str">
        <f ca="1">IFERROR(__xludf.DUMMYFUNCTION("""COMPUTED_VALUE"""),"Si")</f>
        <v>Si</v>
      </c>
      <c r="AM62" s="17" t="str">
        <f ca="1">IFERROR(__xludf.DUMMYFUNCTION("""COMPUTED_VALUE"""),"Si")</f>
        <v>Si</v>
      </c>
      <c r="AN62" s="17" t="str">
        <f ca="1">IFERROR(__xludf.DUMMYFUNCTION("""COMPUTED_VALUE"""),"Si")</f>
        <v>Si</v>
      </c>
      <c r="AO62" s="17" t="str">
        <f ca="1">IFERROR(__xludf.DUMMYFUNCTION("""COMPUTED_VALUE"""),"Si")</f>
        <v>Si</v>
      </c>
      <c r="AP62" s="17" t="str">
        <f ca="1">IFERROR(__xludf.DUMMYFUNCTION("""COMPUTED_VALUE"""),"Si")</f>
        <v>Si</v>
      </c>
      <c r="AQ62" s="17" t="str">
        <f ca="1">IFERROR(__xludf.DUMMYFUNCTION("""COMPUTED_VALUE"""),"No")</f>
        <v>No</v>
      </c>
      <c r="AR62" s="17" t="str">
        <f ca="1">IFERROR(__xludf.DUMMYFUNCTION("""COMPUTED_VALUE"""),"No")</f>
        <v>No</v>
      </c>
      <c r="AS62" s="15" t="str">
        <f ca="1">IFERROR(__xludf.DUMMYFUNCTION("""COMPUTED_VALUE"""),"No aplica")</f>
        <v>No aplica</v>
      </c>
      <c r="AT62" s="15" t="str">
        <f ca="1">IFERROR(__xludf.DUMMYFUNCTION("""COMPUTED_VALUE"""),"Ninguna")</f>
        <v>Ninguna</v>
      </c>
      <c r="AU62" s="10"/>
    </row>
    <row r="63" spans="1:47" x14ac:dyDescent="0.25">
      <c r="A63" s="25"/>
      <c r="B63" s="86"/>
      <c r="C63" s="86"/>
      <c r="D63" s="89"/>
      <c r="E63" s="64"/>
      <c r="F63" s="64"/>
      <c r="G63" s="64"/>
      <c r="H63" s="64"/>
      <c r="I63" s="64"/>
      <c r="J63" s="64"/>
      <c r="K63" s="64"/>
      <c r="L63" s="64"/>
      <c r="M63" s="64"/>
      <c r="N63" s="64"/>
      <c r="O63" s="64"/>
      <c r="P63" s="64"/>
      <c r="Q63" s="83"/>
      <c r="R63" s="20" t="str">
        <f ca="1">IFERROR(__xludf.DUMMYFUNCTION("""COMPUTED_VALUE"""),"")</f>
        <v/>
      </c>
      <c r="S63" s="42" t="str">
        <f ca="1">IFERROR(__xludf.DUMMYFUNCTION("""COMPUTED_VALUE"""),"")</f>
        <v/>
      </c>
      <c r="T63" s="34"/>
      <c r="U63" s="20"/>
      <c r="V63" s="89"/>
      <c r="W63" s="89"/>
      <c r="X63" s="89"/>
      <c r="Y63" s="89"/>
      <c r="Z63" s="15" t="str">
        <f ca="1">IFERROR(__xludf.DUMMYFUNCTION("""COMPUTED_VALUE"""),"30 de agosto")</f>
        <v>30 de agosto</v>
      </c>
      <c r="AA63" s="17"/>
      <c r="AB63" s="17"/>
      <c r="AC63" s="15"/>
      <c r="AD63" s="17"/>
      <c r="AE63" s="18" t="str">
        <f ca="1">IFERROR(__xludf.DUMMYFUNCTION("""COMPUTED_VALUE"""),"Evidencia")</f>
        <v>Evidencia</v>
      </c>
      <c r="AF63" s="15"/>
      <c r="AG63" s="15"/>
      <c r="AH63" s="15"/>
      <c r="AI63" s="24" t="str">
        <f ca="1">IFERROR(__xludf.DUMMYFUNCTION("""COMPUTED_VALUE"""),"31 de agosto")</f>
        <v>31 de agosto</v>
      </c>
      <c r="AJ63" s="17"/>
      <c r="AK63" s="17"/>
      <c r="AL63" s="17"/>
      <c r="AM63" s="17"/>
      <c r="AN63" s="17"/>
      <c r="AO63" s="17"/>
      <c r="AP63" s="17"/>
      <c r="AQ63" s="17"/>
      <c r="AR63" s="17"/>
      <c r="AS63" s="15"/>
      <c r="AT63" s="15"/>
      <c r="AU63" s="10"/>
    </row>
    <row r="64" spans="1:47" x14ac:dyDescent="0.25">
      <c r="A64" s="25"/>
      <c r="B64" s="87"/>
      <c r="C64" s="87"/>
      <c r="D64" s="76"/>
      <c r="E64" s="61"/>
      <c r="F64" s="61"/>
      <c r="G64" s="61"/>
      <c r="H64" s="61"/>
      <c r="I64" s="61"/>
      <c r="J64" s="61"/>
      <c r="K64" s="61"/>
      <c r="L64" s="61"/>
      <c r="M64" s="61"/>
      <c r="N64" s="61"/>
      <c r="O64" s="61"/>
      <c r="P64" s="61"/>
      <c r="Q64" s="84"/>
      <c r="R64" s="26" t="str">
        <f ca="1">IFERROR(__xludf.DUMMYFUNCTION("""COMPUTED_VALUE"""),"")</f>
        <v/>
      </c>
      <c r="S64" s="43" t="str">
        <f ca="1">IFERROR(__xludf.DUMMYFUNCTION("""COMPUTED_VALUE"""),"")</f>
        <v/>
      </c>
      <c r="T64" s="38"/>
      <c r="U64" s="26"/>
      <c r="V64" s="76"/>
      <c r="W64" s="76"/>
      <c r="X64" s="76"/>
      <c r="Y64" s="76"/>
      <c r="Z64" s="15" t="str">
        <f ca="1">IFERROR(__xludf.DUMMYFUNCTION("""COMPUTED_VALUE"""),"30 de diciembre")</f>
        <v>30 de diciembre</v>
      </c>
      <c r="AA64" s="17"/>
      <c r="AB64" s="17"/>
      <c r="AC64" s="15"/>
      <c r="AD64" s="17"/>
      <c r="AE64" s="18" t="str">
        <f ca="1">IFERROR(__xludf.DUMMYFUNCTION("""COMPUTED_VALUE"""),"Evidencia")</f>
        <v>Evidencia</v>
      </c>
      <c r="AF64" s="15"/>
      <c r="AG64" s="15"/>
      <c r="AH64" s="15"/>
      <c r="AI64" s="24" t="str">
        <f ca="1">IFERROR(__xludf.DUMMYFUNCTION("""COMPUTED_VALUE"""),"31 de diciembre")</f>
        <v>31 de diciembre</v>
      </c>
      <c r="AJ64" s="17"/>
      <c r="AK64" s="17"/>
      <c r="AL64" s="17"/>
      <c r="AM64" s="17"/>
      <c r="AN64" s="17"/>
      <c r="AO64" s="17"/>
      <c r="AP64" s="17"/>
      <c r="AQ64" s="17"/>
      <c r="AR64" s="17"/>
      <c r="AS64" s="15"/>
      <c r="AT64" s="15"/>
      <c r="AU64" s="10"/>
    </row>
    <row r="65" spans="1:47" ht="264" x14ac:dyDescent="0.25">
      <c r="A65" s="25"/>
      <c r="B65" s="90" t="s">
        <v>64</v>
      </c>
      <c r="C65" s="85" t="str">
        <f ca="1">IFERROR(__xludf.DUMMYFUNCTION("IMPORTRANGE(""https://docs.google.com/spreadsheets/d/1VefRanYmSAjKd4MF_vaCeQnKxRtE1uPwO5mX0FJH4nU/edit?gid=2098233099#gid=2098233099"",""Matriz_riesgos!C11:TS16"")"),"Fomentar y apoyar las actividades conducentes a la generación y aplicación del conocimiento, a través de investigación científica y desarrollo tecnológico. ")</f>
        <v xml:space="preserve">Fomentar y apoyar las actividades conducentes a la generación y aplicación del conocimiento, a través de investigación científica y desarrollo tecnológico. </v>
      </c>
      <c r="D65" s="88" t="str">
        <f ca="1">IFERROR(__xludf.DUMMYFUNCTION("""COMPUTED_VALUE"""),"Afectación reputacional y económica por similitud de obras y productos de investigación debido al bajo uso de herramientas tecnológicas, desconocimiento de la normatividad o indebido cuidado profesional de los autores.")</f>
        <v>Afectación reputacional y económica por similitud de obras y productos de investigación debido al bajo uso de herramientas tecnológicas, desconocimiento de la normatividad o indebido cuidado profesional de los autores.</v>
      </c>
      <c r="E65" s="63" t="str">
        <f ca="1">IFERROR(__xludf.DUMMYFUNCTION("""COMPUTED_VALUE"""),"Dirección General de Investigaciones")</f>
        <v>Dirección General de Investigaciones</v>
      </c>
      <c r="F65" s="63" t="str">
        <f ca="1">IFERROR(__xludf.DUMMYFUNCTION("""COMPUTED_VALUE"""),"Gestión")</f>
        <v>Gestión</v>
      </c>
      <c r="G65" s="63" t="str">
        <f ca="1">IFERROR(__xludf.DUMMYFUNCTION("""COMPUTED_VALUE"""),"
- Desconocimiento de la normatividad
- Bajo uso de la herramienta tecnológica para la identificación de similitud de textos.")</f>
        <v xml:space="preserve">
- Desconocimiento de la normatividad
- Bajo uso de la herramienta tecnológica para la identificación de similitud de textos.</v>
      </c>
      <c r="H65" s="63" t="str">
        <f ca="1">IFERROR(__xludf.DUMMYFUNCTION("""COMPUTED_VALUE"""),"1. Intervención de órganos de control.
2. Detrimento patrimonial.
3. Disminución de los indicadores institucionales.
4. Deterioro de la imagen institucional.
5. Perdida de recursos financieros.")</f>
        <v>1. Intervención de órganos de control.
2. Detrimento patrimonial.
3. Disminución de los indicadores institucionales.
4. Deterioro de la imagen institucional.
5. Perdida de recursos financieros.</v>
      </c>
      <c r="I65" s="65" t="str">
        <f ca="1">IFERROR(__xludf.DUMMYFUNCTION("""COMPUTED_VALUE"""),"INV_01")</f>
        <v>INV_01</v>
      </c>
      <c r="J65" s="65" t="str">
        <f ca="1">IFERROR(__xludf.DUMMYFUNCTION("""COMPUTED_VALUE"""),"Media")</f>
        <v>Media</v>
      </c>
      <c r="K65" s="65" t="str">
        <f ca="1">IFERROR(__xludf.DUMMYFUNCTION("""COMPUTED_VALUE"""),"Mayor")</f>
        <v>Mayor</v>
      </c>
      <c r="L65" s="65" t="str">
        <f ca="1">IFERROR(__xludf.DUMMYFUNCTION("""COMPUTED_VALUE"""),"Extrema")</f>
        <v>Extrema</v>
      </c>
      <c r="M65" s="63" t="str">
        <f ca="1">IFERROR(__xludf.DUMMYFUNCTION("""COMPUTED_VALUE"""),"C1: El Director Técnico de Investigaciones, directores de centro de investigación de facultad o Vicerrector académico efectuan capacitaciones sobre orientaciones de competencias en publicación académica , gestión de la información y verificación de integr"&amp;"idad académica.
C2:El Director Técnico de Investigaciones gestiona la suscripción anual de la herramienta virtual para la similitud de textos. 
  ")</f>
        <v xml:space="preserve">C1: El Director Técnico de Investigaciones, directores de centro de investigación de facultad o Vicerrector académico efectuan capacitaciones sobre orientaciones de competencias en publicación académica , gestión de la información y verificación de integridad académica.
C2:El Director Técnico de Investigaciones gestiona la suscripción anual de la herramienta virtual para la similitud de textos. 
  </v>
      </c>
      <c r="N65" s="65" t="str">
        <f ca="1">IFERROR(__xludf.DUMMYFUNCTION("""COMPUTED_VALUE"""),"Muy baja")</f>
        <v>Muy baja</v>
      </c>
      <c r="O65" s="65" t="str">
        <f ca="1">IFERROR(__xludf.DUMMYFUNCTION("""COMPUTED_VALUE"""),"Mayor")</f>
        <v>Mayor</v>
      </c>
      <c r="P65" s="65" t="str">
        <f ca="1">IFERROR(__xludf.DUMMYFUNCTION("""COMPUTED_VALUE"""),"Alta")</f>
        <v>Alta</v>
      </c>
      <c r="Q65" s="91" t="str">
        <f ca="1">IFERROR(__xludf.DUMMYFUNCTION("""COMPUTED_VALUE"""),"Reducir")</f>
        <v>Reducir</v>
      </c>
      <c r="R65" s="20" t="str">
        <f ca="1">IFERROR(__xludf.DUMMYFUNCTION("""COMPUTED_VALUE"""),"- Divulgación del estatuto de propiedad intelectual y/o normatividad de citación de textos.")</f>
        <v>- Divulgación del estatuto de propiedad intelectual y/o normatividad de citación de textos.</v>
      </c>
      <c r="S65" s="40" t="str">
        <f ca="1">IFERROR(__xludf.DUMMYFUNCTION("""COMPUTED_VALUE"""),"Anual")</f>
        <v>Anual</v>
      </c>
      <c r="T65" s="14" t="str">
        <f ca="1">IFERROR(__xludf.DUMMYFUNCTION("""COMPUTED_VALUE"""),"Directora Técnica de Investigaciones
Directores de centro de investigacion de facultad
Vicerrector académico o profesional de apoyo")</f>
        <v>Directora Técnica de Investigaciones
Directores de centro de investigacion de facultad
Vicerrector académico o profesional de apoyo</v>
      </c>
      <c r="U65" s="55" t="str">
        <f ca="1">IFERROR(__xludf.DUMMYFUNCTION("""COMPUTED_VALUE"""),"Correos electrónicos")</f>
        <v>Correos electrónicos</v>
      </c>
      <c r="V65" s="92" t="str">
        <f ca="1">IFERROR(__xludf.DUMMYFUNCTION("""COMPUTED_VALUE"""),"Se investiga con el posible autor del plagio y se asumen medidas internas para mitigar el impacto, si no se aceptan se remite informe a las instancias de control de la Universidad.")</f>
        <v>Se investiga con el posible autor del plagio y se asumen medidas internas para mitigar el impacto, si no se aceptan se remite informe a las instancias de control de la Universidad.</v>
      </c>
      <c r="W65" s="97" t="str">
        <f ca="1">IFERROR(__xludf.DUMMYFUNCTION("""COMPUTED_VALUE"""),"El documento presentado (proyecto, tesis, monografía)")</f>
        <v>El documento presentado (proyecto, tesis, monografía)</v>
      </c>
      <c r="X65" s="97" t="str">
        <f ca="1">IFERROR(__xludf.DUMMYFUNCTION("""COMPUTED_VALUE"""),"Directora Técnico de Investigaciones")</f>
        <v>Directora Técnico de Investigaciones</v>
      </c>
      <c r="Y65" s="97" t="str">
        <f ca="1">IFERROR(__xludf.DUMMYFUNCTION("""COMPUTED_VALUE"""),"Anual")</f>
        <v>Anual</v>
      </c>
      <c r="Z65" s="15" t="str">
        <f ca="1">IFERROR(__xludf.DUMMYFUNCTION("""COMPUTED_VALUE"""),"30 de abril")</f>
        <v>30 de abril</v>
      </c>
      <c r="AA65" s="17" t="str">
        <f ca="1">IFERROR(__xludf.DUMMYFUNCTION("""COMPUTED_VALUE"""),"ABRIL")</f>
        <v>ABRIL</v>
      </c>
      <c r="AB65" s="17" t="str">
        <f ca="1">IFERROR(__xludf.DUMMYFUNCTION("""COMPUTED_VALUE"""),"No")</f>
        <v>No</v>
      </c>
      <c r="AC65" s="15" t="str">
        <f ca="1">IFERROR(__xludf.DUMMYFUNCTION("""COMPUTED_VALUE"""),"Con el fin de evitar la materialización del riesgo el proceso de investigación realizó: 
Sobre los controles: 
Control 1: La Directora Técnica de Investigaciones, compartió vía correo electrónico la agenda de formación de capacitaciones para el mes de m"&amp;"ayo, cuyas sesiones están orientadas al fortalecimiento de competencias en investigación. Se envía a los centros de investigación de las facultades para que ellos, orienten a sus docentes en la participación de dichas actividades. 
Control 2: La Director"&amp;"a Técnica de Investigaciones realizó las gestiones correspondientes para la suscripción del contrato de compraventa No. 1262 de 2025, objeto: ADQUISICIÓN DE LA LICENCIA ANTIPLAGIO PARA LA REVISIÓN TÉCNICA DE LOS DOCUMENTOS ASOCIADOS AL PROCESO DE INVESTIG"&amp;"ACIÓN CON CARGO AL PROYECTO DE INVERSIÓN ‘FORTALECIMIENTO DEL SISTEMA DE INVESTIGACIONES DE LA UNIVERSIDAD DE LOS LLANOS PARA ATENDER LOS RETOS Y DESAFÍOS DEL TERRITORIO - ACTUALIZACIÓN’ VIAC 08 1510 2024. Asegurando la renovación del servicio por el term"&amp;"ino de DOCE (12) MESES CALENDARIO. 
Sobre las acciones de tratamiento: 
Acción 1: La Dirección General de Investigaciones entiende la importancia de la socialización del estatuto de propiedad intelectual, razón por la cual comparte vía correo electróni"&amp;"co la comunidad universitaria el Acuerdo Superior No. 004 de 2019, “Por el cual se expide el Estatuto de Propiedad Intelectual de la Universidad de los Llanos’’. Así mismo, se comparte a los centros de investigación, docentes, y estudiantes la invitación "&amp;"para participar en el curso General de propiedad Intelectual adaptado para la comunidad Andina. 
Acción 2:  Se tiene previsto el reporte de documentos de la plataforma de similitud de textos para el mes de Junio, con el fin de dar cumplimiento a la acció"&amp;"n.
")</f>
        <v xml:space="preserve">Con el fin de evitar la materialización del riesgo el proceso de investigación realizó: 
Sobre los controles: 
Control 1: La Directora Técnica de Investigaciones, compartió vía correo electrónico la agenda de formación de capacitaciones para el mes de mayo, cuyas sesiones están orientadas al fortalecimiento de competencias en investigación. Se envía a los centros de investigación de las facultades para que ellos, orienten a sus docentes en la participación de dichas actividades. 
Control 2: La Directora Técnica de Investigaciones realizó las gestiones correspondientes para la suscripción del contrato de compraventa No. 1262 de 2025, objeto: ADQUISICIÓN DE LA LICENCIA ANTIPLAGIO PARA LA REVISIÓN TÉCNICA DE LOS DOCUMENTOS ASOCIADOS AL PROCESO DE INVESTIGACIÓN CON CARGO AL PROYECTO DE INVERSIÓN ‘FORTALECIMIENTO DEL SISTEMA DE INVESTIGACIONES DE LA UNIVERSIDAD DE LOS LLANOS PARA ATENDER LOS RETOS Y DESAFÍOS DEL TERRITORIO - ACTUALIZACIÓN’ VIAC 08 1510 2024. Asegurando la renovación del servicio por el termino de DOCE (12) MESES CALENDARIO. 
Sobre las acciones de tratamiento: 
Acción 1: La Dirección General de Investigaciones entiende la importancia de la socialización del estatuto de propiedad intelectual, razón por la cual comparte vía correo electrónico la comunidad universitaria el Acuerdo Superior No. 004 de 2019, “Por el cual se expide el Estatuto de Propiedad Intelectual de la Universidad de los Llanos’’. Así mismo, se comparte a los centros de investigación, docentes, y estudiantes la invitación para participar en el curso General de propiedad Intelectual adaptado para la comunidad Andina. 
Acción 2:  Se tiene previsto el reporte de documentos de la plataforma de similitud de textos para el mes de Junio, con el fin de dar cumplimiento a la acción.
</v>
      </c>
      <c r="AD65" s="17" t="str">
        <f ca="1">IFERROR(__xludf.DUMMYFUNCTION("""COMPUTED_VALUE"""),"Investigaciones")</f>
        <v>Investigaciones</v>
      </c>
      <c r="AE65" s="18" t="str">
        <f ca="1">IFERROR(__xludf.DUMMYFUNCTION("""COMPUTED_VALUE"""),"Evidencia")</f>
        <v>Evidencia</v>
      </c>
      <c r="AF65" s="15" t="str">
        <f ca="1">IFERROR(__xludf.DUMMYFUNCTION("""COMPUTED_VALUE"""),"Si")</f>
        <v>Si</v>
      </c>
      <c r="AG65" s="15" t="str">
        <f ca="1">IFERROR(__xludf.DUMMYFUNCTION("""COMPUTED_VALUE"""),"Ejecutada")</f>
        <v>Ejecutada</v>
      </c>
      <c r="AH65" s="15" t="str">
        <f ca="1">IFERROR(__xludf.DUMMYFUNCTION("""COMPUTED_VALUE"""),"Durante el periodo monitoreado no se materializó el riesgo.
C1: Se evidenció soporte de divulgación de jornadas de formación en competencias de investigación e integridad académica mediante correo electrónico.
C2: Se evidenció contrato de compraventa No"&amp;". 1262 de 2025 correspondiente a la adquisición de la licencia antiplagio.
Frente a las acciones de tratamiento, se evidenció divulgación del Estatuto de Propiedad Intelectual y de actividades de formación relacionadas.
La acción correspondiente al segu"&amp;"imiento del uso de la herramienta de similitud de textos se encuentra pendiente de ejecución para el mes de junio.
Las evidencias se encuentran organizadas por controles y acciones de tratamiento, facilitando su trazabilidad y verificación.")</f>
        <v>Durante el periodo monitoreado no se materializó el riesgo.
C1: Se evidenció soporte de divulgación de jornadas de formación en competencias de investigación e integridad académica mediante correo electrónico.
C2: Se evidenció contrato de compraventa No. 1262 de 2025 correspondiente a la adquisición de la licencia antiplagio.
Frente a las acciones de tratamiento, se evidenció divulgación del Estatuto de Propiedad Intelectual y de actividades de formación relacionadas.
La acción correspondiente al seguimiento del uso de la herramienta de similitud de textos se encuentra pendiente de ejecución para el mes de junio.
Las evidencias se encuentran organizadas por controles y acciones de tratamiento, facilitando su trazabilidad y verificación.</v>
      </c>
      <c r="AI65" s="15" t="str">
        <f ca="1">IFERROR(__xludf.DUMMYFUNCTION("""COMPUTED_VALUE"""),"30 de abril")</f>
        <v>30 de abril</v>
      </c>
      <c r="AJ65" s="17" t="str">
        <f ca="1">IFERROR(__xludf.DUMMYFUNCTION("""COMPUTED_VALUE"""),"Si")</f>
        <v>Si</v>
      </c>
      <c r="AK65" s="17" t="str">
        <f ca="1">IFERROR(__xludf.DUMMYFUNCTION("""COMPUTED_VALUE"""),"Si")</f>
        <v>Si</v>
      </c>
      <c r="AL65" s="17" t="str">
        <f ca="1">IFERROR(__xludf.DUMMYFUNCTION("""COMPUTED_VALUE"""),"Si")</f>
        <v>Si</v>
      </c>
      <c r="AM65" s="17" t="str">
        <f ca="1">IFERROR(__xludf.DUMMYFUNCTION("""COMPUTED_VALUE"""),"Si")</f>
        <v>Si</v>
      </c>
      <c r="AN65" s="17" t="str">
        <f ca="1">IFERROR(__xludf.DUMMYFUNCTION("""COMPUTED_VALUE"""),"Si")</f>
        <v>Si</v>
      </c>
      <c r="AO65" s="17" t="str">
        <f ca="1">IFERROR(__xludf.DUMMYFUNCTION("""COMPUTED_VALUE"""),"Si")</f>
        <v>Si</v>
      </c>
      <c r="AP65" s="17" t="str">
        <f ca="1">IFERROR(__xludf.DUMMYFUNCTION("""COMPUTED_VALUE"""),"Si")</f>
        <v>Si</v>
      </c>
      <c r="AQ65" s="17" t="str">
        <f ca="1">IFERROR(__xludf.DUMMYFUNCTION("""COMPUTED_VALUE"""),"No")</f>
        <v>No</v>
      </c>
      <c r="AR65" s="17" t="str">
        <f ca="1">IFERROR(__xludf.DUMMYFUNCTION("""COMPUTED_VALUE"""),"No")</f>
        <v>No</v>
      </c>
      <c r="AS65" s="15" t="str">
        <f ca="1">IFERROR(__xludf.DUMMYFUNCTION("""COMPUTED_VALUE"""),"No aplica")</f>
        <v>No aplica</v>
      </c>
      <c r="AT65" s="15" t="str">
        <f ca="1">IFERROR(__xludf.DUMMYFUNCTION("""COMPUTED_VALUE"""),"Recomendación:
1. Asegurar en el presente semestre, la ejecución de la acción de tratamiento ""- Seguimiento del uso de la herramientade similitud de textos por parte de los docentes y estudiantes de posgrado."", considerando la periodicidad establecida.
")</f>
        <v xml:space="preserve">Recomendación:
1. Asegurar en el presente semestre, la ejecución de la acción de tratamiento "- Seguimiento del uso de la herramientade similitud de textos por parte de los docentes y estudiantes de posgrado.", considerando la periodicidad establecida.
</v>
      </c>
      <c r="AU65" s="10"/>
    </row>
    <row r="66" spans="1:47" ht="60" x14ac:dyDescent="0.25">
      <c r="A66" s="25"/>
      <c r="B66" s="86"/>
      <c r="C66" s="86"/>
      <c r="D66" s="89"/>
      <c r="E66" s="64"/>
      <c r="F66" s="64"/>
      <c r="G66" s="64"/>
      <c r="H66" s="64"/>
      <c r="I66" s="64"/>
      <c r="J66" s="64"/>
      <c r="K66" s="64"/>
      <c r="L66" s="64"/>
      <c r="M66" s="64"/>
      <c r="N66" s="64"/>
      <c r="O66" s="64"/>
      <c r="P66" s="64"/>
      <c r="Q66" s="83"/>
      <c r="R66" s="20" t="str">
        <f ca="1">IFERROR(__xludf.DUMMYFUNCTION("""COMPUTED_VALUE"""),"- Seguimiento del uso de la herramientade similitud de textos por parte de los docentes y estudiantes de posgrado.")</f>
        <v>- Seguimiento del uso de la herramientade similitud de textos por parte de los docentes y estudiantes de posgrado.</v>
      </c>
      <c r="S66" s="42" t="str">
        <f ca="1">IFERROR(__xludf.DUMMYFUNCTION("""COMPUTED_VALUE"""),"Semestral")</f>
        <v>Semestral</v>
      </c>
      <c r="T66" s="23" t="str">
        <f ca="1">IFERROR(__xludf.DUMMYFUNCTION("""COMPUTED_VALUE"""),"Directora Técnica de Investigaciones")</f>
        <v>Directora Técnica de Investigaciones</v>
      </c>
      <c r="U66" s="42" t="str">
        <f ca="1">IFERROR(__xludf.DUMMYFUNCTION("""COMPUTED_VALUE"""),"Reporte de entregas de documentos de la plataforma de similitud de textos y relación de los usuarios.")</f>
        <v>Reporte de entregas de documentos de la plataforma de similitud de textos y relación de los usuarios.</v>
      </c>
      <c r="V66" s="89"/>
      <c r="W66" s="89"/>
      <c r="X66" s="89"/>
      <c r="Y66" s="89"/>
      <c r="Z66" s="15" t="str">
        <f ca="1">IFERROR(__xludf.DUMMYFUNCTION("""COMPUTED_VALUE"""),"30 de agosto")</f>
        <v>30 de agosto</v>
      </c>
      <c r="AA66" s="17"/>
      <c r="AB66" s="17"/>
      <c r="AC66" s="15" t="str">
        <f ca="1">IFERROR(__xludf.DUMMYFUNCTION("""COMPUTED_VALUE"""),"l")</f>
        <v>l</v>
      </c>
      <c r="AD66" s="17"/>
      <c r="AE66" s="18" t="str">
        <f ca="1">IFERROR(__xludf.DUMMYFUNCTION("""COMPUTED_VALUE"""),"Evidencia")</f>
        <v>Evidencia</v>
      </c>
      <c r="AF66" s="15"/>
      <c r="AG66" s="15"/>
      <c r="AH66" s="15"/>
      <c r="AI66" s="24" t="str">
        <f ca="1">IFERROR(__xludf.DUMMYFUNCTION("""COMPUTED_VALUE"""),"31 de agosto")</f>
        <v>31 de agosto</v>
      </c>
      <c r="AJ66" s="17"/>
      <c r="AK66" s="17"/>
      <c r="AL66" s="17"/>
      <c r="AM66" s="17"/>
      <c r="AN66" s="17"/>
      <c r="AO66" s="17"/>
      <c r="AP66" s="17"/>
      <c r="AQ66" s="17"/>
      <c r="AR66" s="17"/>
      <c r="AS66" s="15"/>
      <c r="AT66" s="15"/>
      <c r="AU66" s="10"/>
    </row>
    <row r="67" spans="1:47" x14ac:dyDescent="0.25">
      <c r="A67" s="25"/>
      <c r="B67" s="86"/>
      <c r="C67" s="86"/>
      <c r="D67" s="76"/>
      <c r="E67" s="61"/>
      <c r="F67" s="61"/>
      <c r="G67" s="61"/>
      <c r="H67" s="61"/>
      <c r="I67" s="61"/>
      <c r="J67" s="61"/>
      <c r="K67" s="61"/>
      <c r="L67" s="61"/>
      <c r="M67" s="61"/>
      <c r="N67" s="61"/>
      <c r="O67" s="61"/>
      <c r="P67" s="61"/>
      <c r="Q67" s="84"/>
      <c r="R67" s="26" t="str">
        <f ca="1">IFERROR(__xludf.DUMMYFUNCTION("""COMPUTED_VALUE"""),"")</f>
        <v/>
      </c>
      <c r="S67" s="43" t="str">
        <f ca="1">IFERROR(__xludf.DUMMYFUNCTION("""COMPUTED_VALUE"""),"")</f>
        <v/>
      </c>
      <c r="T67" s="38"/>
      <c r="U67" s="26"/>
      <c r="V67" s="76"/>
      <c r="W67" s="76"/>
      <c r="X67" s="76"/>
      <c r="Y67" s="76"/>
      <c r="Z67" s="15" t="str">
        <f ca="1">IFERROR(__xludf.DUMMYFUNCTION("""COMPUTED_VALUE"""),"30 de diciembre")</f>
        <v>30 de diciembre</v>
      </c>
      <c r="AA67" s="17"/>
      <c r="AB67" s="17"/>
      <c r="AC67" s="15"/>
      <c r="AD67" s="17"/>
      <c r="AE67" s="18" t="str">
        <f ca="1">IFERROR(__xludf.DUMMYFUNCTION("""COMPUTED_VALUE"""),"Evidencia")</f>
        <v>Evidencia</v>
      </c>
      <c r="AF67" s="15"/>
      <c r="AG67" s="15"/>
      <c r="AH67" s="15"/>
      <c r="AI67" s="24" t="str">
        <f ca="1">IFERROR(__xludf.DUMMYFUNCTION("""COMPUTED_VALUE"""),"31 de diciembre")</f>
        <v>31 de diciembre</v>
      </c>
      <c r="AJ67" s="17"/>
      <c r="AK67" s="17"/>
      <c r="AL67" s="17"/>
      <c r="AM67" s="17"/>
      <c r="AN67" s="17"/>
      <c r="AO67" s="17"/>
      <c r="AP67" s="17"/>
      <c r="AQ67" s="17"/>
      <c r="AR67" s="17"/>
      <c r="AS67" s="15"/>
      <c r="AT67" s="15"/>
      <c r="AU67" s="10"/>
    </row>
    <row r="68" spans="1:47" ht="132" x14ac:dyDescent="0.25">
      <c r="A68" s="25"/>
      <c r="B68" s="86"/>
      <c r="C68" s="86"/>
      <c r="D68" s="88" t="str">
        <f ca="1">IFERROR(__xludf.DUMMYFUNCTION("""COMPUTED_VALUE"""),"Posibilidad de afectación reputacional y económica por el uso indebido de recursos de investigación para fines particulares debido a fallas en la ejecución de controles operativos. ")</f>
        <v xml:space="preserve">Posibilidad de afectación reputacional y económica por el uso indebido de recursos de investigación para fines particulares debido a fallas en la ejecución de controles operativos. </v>
      </c>
      <c r="E68" s="63" t="str">
        <f ca="1">IFERROR(__xludf.DUMMYFUNCTION("""COMPUTED_VALUE"""),"Dirección General de Investigaciones")</f>
        <v>Dirección General de Investigaciones</v>
      </c>
      <c r="F68" s="63" t="str">
        <f ca="1">IFERROR(__xludf.DUMMYFUNCTION("""COMPUTED_VALUE"""),"Corrupción")</f>
        <v>Corrupción</v>
      </c>
      <c r="G68" s="63" t="str">
        <f ca="1">IFERROR(__xludf.DUMMYFUNCTION("""COMPUTED_VALUE"""),"Incumplimiento de la aplicación de las normas internas por parte de los funcionarios responsables del proceso.Inconsistencia en la aplicación de los protocolos de supervisión financiera y técnica durante la ejecución de los proyectos.")</f>
        <v>Incumplimiento de la aplicación de las normas internas por parte de los funcionarios responsables del proceso.Inconsistencia en la aplicación de los protocolos de supervisión financiera y técnica durante la ejecución de los proyectos.</v>
      </c>
      <c r="H68" s="63" t="str">
        <f ca="1">IFERROR(__xludf.DUMMYFUNCTION("""COMPUTED_VALUE"""),"1. Intervención de órganos de control.
2. Detrimento patrimonial.
3. Disminución de los indicadores institucionales.
4. Deterioro de la imagen institucional.")</f>
        <v>1. Intervención de órganos de control.
2. Detrimento patrimonial.
3. Disminución de los indicadores institucionales.
4. Deterioro de la imagen institucional.</v>
      </c>
      <c r="I68" s="65" t="str">
        <f ca="1">IFERROR(__xludf.DUMMYFUNCTION("""COMPUTED_VALUE"""),"INV_02")</f>
        <v>INV_02</v>
      </c>
      <c r="J68" s="65" t="str">
        <f ca="1">IFERROR(__xludf.DUMMYFUNCTION("""COMPUTED_VALUE"""),"Media")</f>
        <v>Media</v>
      </c>
      <c r="K68" s="65" t="str">
        <f ca="1">IFERROR(__xludf.DUMMYFUNCTION("""COMPUTED_VALUE"""),"Catastrófico")</f>
        <v>Catastrófico</v>
      </c>
      <c r="L68" s="65" t="str">
        <f ca="1">IFERROR(__xludf.DUMMYFUNCTION("""COMPUTED_VALUE"""),"Extrema")</f>
        <v>Extrema</v>
      </c>
      <c r="M68" s="63" t="str">
        <f ca="1">IFERROR(__xludf.DUMMYFUNCTION("""COMPUTED_VALUE"""),"C1: La Dirección General de Investigaciones y profesionales de apoyo verifican el estado financiero de los proyectos mediante la Matriz de seguimiento y control de los proyectos de investigación con el fin de dar cumplimiento a la normatividad vigente. 
"&amp;"
 ")</f>
        <v xml:space="preserve">C1: La Dirección General de Investigaciones y profesionales de apoyo verifican el estado financiero de los proyectos mediante la Matriz de seguimiento y control de los proyectos de investigación con el fin de dar cumplimiento a la normatividad vigente. 
 </v>
      </c>
      <c r="N68" s="65" t="str">
        <f ca="1">IFERROR(__xludf.DUMMYFUNCTION("""COMPUTED_VALUE"""),"Media")</f>
        <v>Media</v>
      </c>
      <c r="O68" s="65" t="str">
        <f ca="1">IFERROR(__xludf.DUMMYFUNCTION("""COMPUTED_VALUE"""),"Catastrófico")</f>
        <v>Catastrófico</v>
      </c>
      <c r="P68" s="65" t="str">
        <f ca="1">IFERROR(__xludf.DUMMYFUNCTION("""COMPUTED_VALUE"""),"Extrema")</f>
        <v>Extrema</v>
      </c>
      <c r="Q68" s="91" t="str">
        <f ca="1">IFERROR(__xludf.DUMMYFUNCTION("""COMPUTED_VALUE"""),"Reducir")</f>
        <v>Reducir</v>
      </c>
      <c r="R68" s="20" t="str">
        <f ca="1">IFERROR(__xludf.DUMMYFUNCTION("""COMPUTED_VALUE"""),"- La directora tecnica de investigación realiza verificación y seguimiento semestral de caracter técnico y financiero a los proyectos de investigación internos vigentes mediante un informe de avance semestral")</f>
        <v>- La directora tecnica de investigación realiza verificación y seguimiento semestral de caracter técnico y financiero a los proyectos de investigación internos vigentes mediante un informe de avance semestral</v>
      </c>
      <c r="S68" s="40" t="str">
        <f ca="1">IFERROR(__xludf.DUMMYFUNCTION("""COMPUTED_VALUE"""),"Semestral")</f>
        <v>Semestral</v>
      </c>
      <c r="T68" s="32" t="str">
        <f ca="1">IFERROR(__xludf.DUMMYFUNCTION("""COMPUTED_VALUE"""),"Directora Técnica de Investigaciones")</f>
        <v>Directora Técnica de Investigaciones</v>
      </c>
      <c r="U68" s="41" t="str">
        <f ca="1">IFERROR(__xludf.DUMMYFUNCTION("""COMPUTED_VALUE"""),"Actas del Consejo Institucional de Investigaciones e informe.")</f>
        <v>Actas del Consejo Institucional de Investigaciones e informe.</v>
      </c>
      <c r="V68" s="92" t="str">
        <f ca="1">IFERROR(__xludf.DUMMYFUNCTION("""COMPUTED_VALUE"""),"Realizar el reporte a los organismos de control de la Universidad.")</f>
        <v>Realizar el reporte a los organismos de control de la Universidad.</v>
      </c>
      <c r="W68" s="97" t="str">
        <f ca="1">IFERROR(__xludf.DUMMYFUNCTION("""COMPUTED_VALUE"""),"Informes, Actas")</f>
        <v>Informes, Actas</v>
      </c>
      <c r="X68" s="97" t="str">
        <f ca="1">IFERROR(__xludf.DUMMYFUNCTION("""COMPUTED_VALUE"""),"Directora Técnico de Investigaciones")</f>
        <v>Directora Técnico de Investigaciones</v>
      </c>
      <c r="Y68" s="97" t="str">
        <f ca="1">IFERROR(__xludf.DUMMYFUNCTION("""COMPUTED_VALUE"""),"Semestral")</f>
        <v>Semestral</v>
      </c>
      <c r="Z68" s="15" t="str">
        <f ca="1">IFERROR(__xludf.DUMMYFUNCTION("""COMPUTED_VALUE"""),"30 de abril")</f>
        <v>30 de abril</v>
      </c>
      <c r="AA68" s="17" t="str">
        <f ca="1">IFERROR(__xludf.DUMMYFUNCTION("""COMPUTED_VALUE"""),"ABRIL")</f>
        <v>ABRIL</v>
      </c>
      <c r="AB68" s="17" t="str">
        <f ca="1">IFERROR(__xludf.DUMMYFUNCTION("""COMPUTED_VALUE"""),"No")</f>
        <v>No</v>
      </c>
      <c r="AC68" s="58" t="str">
        <f ca="1">IFERROR(__xludf.DUMMYFUNCTION("""COMPUTED_VALUE"""),"
Con el fin de evitar la materialización del riesgo el proceso de investigación realizó: 
Sobre los controles: 
Control 1: La Directora Técnica de Investigaciones y los profesionales de apoyo en el área financiera realizan el seguimiento continuo a l"&amp;"a matriz de los proyectos internos de investigación, en donde se actualiza la gestión de solicitudes de compra bienes y/o servicios, avances, y demás trámites internos.  
Sobre las acciones de tratamiento: 
Acción 1: Desde la Dirección General de Invest"&amp;"igaciones se tiene previsto para el mes de junio realizar la entrega del estado de los proyectos mediante un informe al consejo institucional de Investigaciones. 
")</f>
        <v xml:space="preserve">
Con el fin de evitar la materialización del riesgo el proceso de investigación realizó: 
Sobre los controles: 
Control 1: La Directora Técnica de Investigaciones y los profesionales de apoyo en el área financiera realizan el seguimiento continuo a la matriz de los proyectos internos de investigación, en donde se actualiza la gestión de solicitudes de compra bienes y/o servicios, avances, y demás trámites internos.  
Sobre las acciones de tratamiento: 
Acción 1: Desde la Dirección General de Investigaciones se tiene previsto para el mes de junio realizar la entrega del estado de los proyectos mediante un informe al consejo institucional de Investigaciones. 
</v>
      </c>
      <c r="AD68" s="17" t="str">
        <f ca="1">IFERROR(__xludf.DUMMYFUNCTION("""COMPUTED_VALUE"""),"Investigaciones")</f>
        <v>Investigaciones</v>
      </c>
      <c r="AE68" s="18" t="str">
        <f ca="1">IFERROR(__xludf.DUMMYFUNCTION("""COMPUTED_VALUE"""),"Evidencia")</f>
        <v>Evidencia</v>
      </c>
      <c r="AF68" s="15" t="str">
        <f ca="1">IFERROR(__xludf.DUMMYFUNCTION("""COMPUTED_VALUE"""),"No")</f>
        <v>No</v>
      </c>
      <c r="AG68" s="15" t="str">
        <f ca="1">IFERROR(__xludf.DUMMYFUNCTION("""COMPUTED_VALUE"""),"En proceso")</f>
        <v>En proceso</v>
      </c>
      <c r="AH68" s="15" t="str">
        <f ca="1">IFERROR(__xludf.DUMMYFUNCTION("""COMPUTED_VALUE"""),"C1: El proceso reporta seguimiento a la matriz de proyectos internos de investigación; sin embargo, la evidencia aportada corresponde únicamente a un pantallazo de una matriz que no permite identificar claramente su vigencia ni validar que corresponda al "&amp;"periodo 2026. Por lo anterior, no es posible verificar de manera adecuada la ejecución del control relacionado con el seguimiento financiero de los proyectos de investigación.
Acción de tratamiento: El proceso informa que para el mes de junio se tiene pr"&amp;"evista la entrega de un informe al Consejo Institucional de Investigaciones sobre el estado de los proyectos, por lo cual la acción se encuentra dentro de los tiempos establecidos para su ejecución.
Se recomienda para el próximo monitoreo adjuntar las ev"&amp;"idencias correspondientes tanto al control como a la acción de tratamiento, con el fin de facilitar la validación de las actividades reportadas.")</f>
        <v>C1: El proceso reporta seguimiento a la matriz de proyectos internos de investigación; sin embargo, la evidencia aportada corresponde únicamente a un pantallazo de una matriz que no permite identificar claramente su vigencia ni validar que corresponda al periodo 2026. Por lo anterior, no es posible verificar de manera adecuada la ejecución del control relacionado con el seguimiento financiero de los proyectos de investigación.
Acción de tratamiento: El proceso informa que para el mes de junio se tiene prevista la entrega de un informe al Consejo Institucional de Investigaciones sobre el estado de los proyectos, por lo cual la acción se encuentra dentro de los tiempos establecidos para su ejecución.
Se recomienda para el próximo monitoreo adjuntar las evidencias correspondientes tanto al control como a la acción de tratamiento, con el fin de facilitar la validación de las actividades reportadas.</v>
      </c>
      <c r="AI68" s="15" t="str">
        <f ca="1">IFERROR(__xludf.DUMMYFUNCTION("""COMPUTED_VALUE"""),"30 de abril")</f>
        <v>30 de abril</v>
      </c>
      <c r="AJ68" s="17" t="str">
        <f ca="1">IFERROR(__xludf.DUMMYFUNCTION("""COMPUTED_VALUE"""),"Si")</f>
        <v>Si</v>
      </c>
      <c r="AK68" s="17" t="str">
        <f ca="1">IFERROR(__xludf.DUMMYFUNCTION("""COMPUTED_VALUE"""),"Si")</f>
        <v>Si</v>
      </c>
      <c r="AL68" s="17" t="str">
        <f ca="1">IFERROR(__xludf.DUMMYFUNCTION("""COMPUTED_VALUE"""),"Si")</f>
        <v>Si</v>
      </c>
      <c r="AM68" s="17" t="str">
        <f ca="1">IFERROR(__xludf.DUMMYFUNCTION("""COMPUTED_VALUE"""),"Si")</f>
        <v>Si</v>
      </c>
      <c r="AN68" s="17" t="str">
        <f ca="1">IFERROR(__xludf.DUMMYFUNCTION("""COMPUTED_VALUE"""),"Si")</f>
        <v>Si</v>
      </c>
      <c r="AO68" s="17" t="str">
        <f ca="1">IFERROR(__xludf.DUMMYFUNCTION("""COMPUTED_VALUE"""),"Si")</f>
        <v>Si</v>
      </c>
      <c r="AP68" s="17" t="str">
        <f ca="1">IFERROR(__xludf.DUMMYFUNCTION("""COMPUTED_VALUE"""),"Si")</f>
        <v>Si</v>
      </c>
      <c r="AQ68" s="17" t="str">
        <f ca="1">IFERROR(__xludf.DUMMYFUNCTION("""COMPUTED_VALUE"""),"No")</f>
        <v>No</v>
      </c>
      <c r="AR68" s="17" t="str">
        <f ca="1">IFERROR(__xludf.DUMMYFUNCTION("""COMPUTED_VALUE"""),"No")</f>
        <v>No</v>
      </c>
      <c r="AS68" s="15" t="str">
        <f ca="1">IFERROR(__xludf.DUMMYFUNCTION("""COMPUTED_VALUE"""),"No aplica")</f>
        <v>No aplica</v>
      </c>
      <c r="AT68" s="15" t="str">
        <f ca="1">IFERROR(__xludf.DUMMYFUNCTION("""COMPUTED_VALUE"""),"Si bien es cierto que , el proceso aportó como evidencia, un pantallazo de un documento denominado BASE DE DATOS 2025, no fue posible evidenciar los seguimentos realizados en el primer cuatrimestre 2026, a los proyectos de investigación.
Recomendaciones:"&amp;" 
1. Mejorar la calidad de la evidencia de la ejecución del control que permita una verificación objetiva del mismo. Se requiere que la evidencia sea competente, es decir con calidad en relación a su relevancia y confiabilidad y suficiente en términos de "&amp;"cantidad y completitud, que permita demostrar de manera íntegra el hecho objeto de evaluación.
2. Evalauar la pertinencia de ajustar la periodicidad de la Acción de Contingencia, toda vez que su ejecución debería de darse de manera oportuna, en caso de ma"&amp;"terialización del riesgo, considerando que se trata de un riesgo de Corrupción.")</f>
        <v>Si bien es cierto que , el proceso aportó como evidencia, un pantallazo de un documento denominado BASE DE DATOS 2025, no fue posible evidenciar los seguimentos realizados en el primer cuatrimestre 2026, a los proyectos de investigación.
Recomendaciones: 
1. Mejorar la calidad de la evidencia de la ejecución del control que permita una verificación objetiva del mismo. Se requiere que la evidencia sea competente, es decir con calidad en relación a su relevancia y confiabilidad y suficiente en términos de cantidad y completitud, que permita demostrar de manera íntegra el hecho objeto de evaluación.
2. Evalauar la pertinencia de ajustar la periodicidad de la Acción de Contingencia, toda vez que su ejecución debería de darse de manera oportuna, en caso de materialización del riesgo, considerando que se trata de un riesgo de Corrupción.</v>
      </c>
      <c r="AU68" s="10"/>
    </row>
    <row r="69" spans="1:47" x14ac:dyDescent="0.25">
      <c r="A69" s="25"/>
      <c r="B69" s="86"/>
      <c r="C69" s="86"/>
      <c r="D69" s="89"/>
      <c r="E69" s="64"/>
      <c r="F69" s="64"/>
      <c r="G69" s="64"/>
      <c r="H69" s="64"/>
      <c r="I69" s="64"/>
      <c r="J69" s="64"/>
      <c r="K69" s="64"/>
      <c r="L69" s="64"/>
      <c r="M69" s="64"/>
      <c r="N69" s="64"/>
      <c r="O69" s="64"/>
      <c r="P69" s="64"/>
      <c r="Q69" s="83"/>
      <c r="R69" s="20" t="str">
        <f ca="1">IFERROR(__xludf.DUMMYFUNCTION("""COMPUTED_VALUE"""),"")</f>
        <v/>
      </c>
      <c r="S69" s="42" t="str">
        <f ca="1">IFERROR(__xludf.DUMMYFUNCTION("""COMPUTED_VALUE"""),"")</f>
        <v/>
      </c>
      <c r="T69" s="34"/>
      <c r="U69" s="20"/>
      <c r="V69" s="89"/>
      <c r="W69" s="89"/>
      <c r="X69" s="89"/>
      <c r="Y69" s="89"/>
      <c r="Z69" s="15" t="str">
        <f ca="1">IFERROR(__xludf.DUMMYFUNCTION("""COMPUTED_VALUE"""),"30 de agosto")</f>
        <v>30 de agosto</v>
      </c>
      <c r="AA69" s="17"/>
      <c r="AB69" s="17"/>
      <c r="AC69" s="15"/>
      <c r="AD69" s="17"/>
      <c r="AE69" s="18" t="str">
        <f ca="1">IFERROR(__xludf.DUMMYFUNCTION("""COMPUTED_VALUE"""),"Evidencia")</f>
        <v>Evidencia</v>
      </c>
      <c r="AF69" s="15"/>
      <c r="AG69" s="15"/>
      <c r="AH69" s="15"/>
      <c r="AI69" s="24" t="str">
        <f ca="1">IFERROR(__xludf.DUMMYFUNCTION("""COMPUTED_VALUE"""),"31 de agosto")</f>
        <v>31 de agosto</v>
      </c>
      <c r="AJ69" s="17"/>
      <c r="AK69" s="17"/>
      <c r="AL69" s="17"/>
      <c r="AM69" s="17"/>
      <c r="AN69" s="17"/>
      <c r="AO69" s="17"/>
      <c r="AP69" s="17"/>
      <c r="AQ69" s="17"/>
      <c r="AR69" s="17"/>
      <c r="AS69" s="15"/>
      <c r="AT69" s="15"/>
      <c r="AU69" s="10"/>
    </row>
    <row r="70" spans="1:47" x14ac:dyDescent="0.25">
      <c r="A70" s="25"/>
      <c r="B70" s="87"/>
      <c r="C70" s="87"/>
      <c r="D70" s="76"/>
      <c r="E70" s="61"/>
      <c r="F70" s="61"/>
      <c r="G70" s="61"/>
      <c r="H70" s="61"/>
      <c r="I70" s="61"/>
      <c r="J70" s="61"/>
      <c r="K70" s="61"/>
      <c r="L70" s="61"/>
      <c r="M70" s="61"/>
      <c r="N70" s="61"/>
      <c r="O70" s="61"/>
      <c r="P70" s="61"/>
      <c r="Q70" s="84"/>
      <c r="R70" s="26" t="str">
        <f ca="1">IFERROR(__xludf.DUMMYFUNCTION("""COMPUTED_VALUE"""),"")</f>
        <v/>
      </c>
      <c r="S70" s="43" t="str">
        <f ca="1">IFERROR(__xludf.DUMMYFUNCTION("""COMPUTED_VALUE"""),"")</f>
        <v/>
      </c>
      <c r="T70" s="38"/>
      <c r="U70" s="26"/>
      <c r="V70" s="76"/>
      <c r="W70" s="76"/>
      <c r="X70" s="76"/>
      <c r="Y70" s="76"/>
      <c r="Z70" s="15" t="str">
        <f ca="1">IFERROR(__xludf.DUMMYFUNCTION("""COMPUTED_VALUE"""),"30 de diciembre")</f>
        <v>30 de diciembre</v>
      </c>
      <c r="AA70" s="17"/>
      <c r="AB70" s="17"/>
      <c r="AC70" s="15"/>
      <c r="AD70" s="17"/>
      <c r="AE70" s="18" t="str">
        <f ca="1">IFERROR(__xludf.DUMMYFUNCTION("""COMPUTED_VALUE"""),"Evidencia")</f>
        <v>Evidencia</v>
      </c>
      <c r="AF70" s="15"/>
      <c r="AG70" s="15"/>
      <c r="AH70" s="15"/>
      <c r="AI70" s="24" t="str">
        <f ca="1">IFERROR(__xludf.DUMMYFUNCTION("""COMPUTED_VALUE"""),"31 de diciembre")</f>
        <v>31 de diciembre</v>
      </c>
      <c r="AJ70" s="17"/>
      <c r="AK70" s="17"/>
      <c r="AL70" s="17"/>
      <c r="AM70" s="17"/>
      <c r="AN70" s="17"/>
      <c r="AO70" s="17"/>
      <c r="AP70" s="17"/>
      <c r="AQ70" s="17"/>
      <c r="AR70" s="17"/>
      <c r="AS70" s="15"/>
      <c r="AT70" s="15"/>
      <c r="AU70" s="10"/>
    </row>
    <row r="71" spans="1:47" ht="216" x14ac:dyDescent="0.25">
      <c r="A71" s="25"/>
      <c r="B71" s="90" t="s">
        <v>65</v>
      </c>
      <c r="C71" s="85" t="str">
        <f ca="1">IFERROR(__xludf.DUMMYFUNCTION("IMPORTRANGE(""https://docs.google.com/spreadsheets/d/1Nc6v25C8FDm4kqHAShzhpPbQWD8WnYcHU5PshZTqaeA/edit?gid=2098233099#gid=2098233099"",""Matriz_riesgos!C11:AT16"")"),"Asumir el estudio permanente de los problemas del entorno y su caracterización así como la elaboración de proyectos fortaleciendo la capacidad de opinión calificada de la institución. 
Mejorar la capacidad endógena de innovación y transferencia de conocim"&amp;"iento.
Elevar significativamente la gestión institucional en el contexto regional y nacional estableciendo relaciones de intercambio y cooperación con los actores.
Asumir el quehacer académico en función de su pertinencia en el contexto social. 
Promover "&amp;"la difusión, la recuperación y el sentido de la identidad cultural mediante la organización de actividades y eventos pertinentes.")</f>
        <v>Asumir el estudio permanente de los problemas del entorno y su caracterización así como la elaboración de proyectos fortaleciendo la capacidad de opinión calificada de la institución. 
Mejorar la capacidad endógena de innovación y transferencia de conocimiento.
Elevar significativamente la gestión institucional en el contexto regional y nacional estableciendo relaciones de intercambio y cooperación con los actores.
Asumir el quehacer académico en función de su pertinencia en el contexto social. 
Promover la difusión, la recuperación y el sentido de la identidad cultural mediante la organización de actividades y eventos pertinentes.</v>
      </c>
      <c r="D71" s="88" t="str">
        <f ca="1">IFERROR(__xludf.DUMMYFUNCTION("""COMPUTED_VALUE"""),"Posibilidad de afectación económica por incumplimiento en la ejecución presupuestal de los proyectos de proyección social, debido al desconocimiento de los procedimientos, demoras en la solicitud de recursos o entrega tardía de los informes financieros po"&amp;"r parte de los coordinadores y gestores de los proyectos")</f>
        <v>Posibilidad de afectación económica por incumplimiento en la ejecución presupuestal de los proyectos de proyección social, debido al desconocimiento de los procedimientos, demoras en la solicitud de recursos o entrega tardía de los informes financieros por parte de los coordinadores y gestores de los proyectos</v>
      </c>
      <c r="E71" s="63" t="str">
        <f ca="1">IFERROR(__xludf.DUMMYFUNCTION("""COMPUTED_VALUE"""),"Dirección General de Proyección Social")</f>
        <v>Dirección General de Proyección Social</v>
      </c>
      <c r="F71" s="63" t="str">
        <f ca="1">IFERROR(__xludf.DUMMYFUNCTION("""COMPUTED_VALUE"""),"Gestión")</f>
        <v>Gestión</v>
      </c>
      <c r="G71" s="63" t="str">
        <f ca="1">IFERROR(__xludf.DUMMYFUNCTION("""COMPUTED_VALUE"""),"- Desconocimiento o incumplimiento de los procedimientos por parte de los coordinadores y gestores de los proyectos de proyección social- Demoras en las solicitudes o entrega de los informes por parte de los líderes de los proyectos de proyección social")</f>
        <v>- Desconocimiento o incumplimiento de los procedimientos por parte de los coordinadores y gestores de los proyectos de proyección social- Demoras en las solicitudes o entrega de los informes por parte de los líderes de los proyectos de proyección social</v>
      </c>
      <c r="H71" s="63" t="str">
        <f ca="1">IFERROR(__xludf.DUMMYFUNCTION("""COMPUTED_VALUE"""),"1. Detrimento patrimonial
2. Afectación a la imagen institucional
3. Incumplimiento en los indicadores institucionales
4. Limitaciones en el acceso a recursos para nuevos proyectos
5. Afectación a las relaciones interinstitucionales")</f>
        <v>1. Detrimento patrimonial
2. Afectación a la imagen institucional
3. Incumplimiento en los indicadores institucionales
4. Limitaciones en el acceso a recursos para nuevos proyectos
5. Afectación a las relaciones interinstitucionales</v>
      </c>
      <c r="I71" s="65" t="str">
        <f ca="1">IFERROR(__xludf.DUMMYFUNCTION("""COMPUTED_VALUE"""),"EPS_01")</f>
        <v>EPS_01</v>
      </c>
      <c r="J71" s="65" t="str">
        <f ca="1">IFERROR(__xludf.DUMMYFUNCTION("""COMPUTED_VALUE"""),"Media")</f>
        <v>Media</v>
      </c>
      <c r="K71" s="65" t="str">
        <f ca="1">IFERROR(__xludf.DUMMYFUNCTION("""COMPUTED_VALUE"""),"Moderado")</f>
        <v>Moderado</v>
      </c>
      <c r="L71" s="65" t="str">
        <f ca="1">IFERROR(__xludf.DUMMYFUNCTION("""COMPUTED_VALUE"""),"Alta")</f>
        <v>Alta</v>
      </c>
      <c r="M71" s="63" t="str">
        <f ca="1">IFERROR(__xludf.DUMMYFUNCTION("""COMPUTED_VALUE"""),"- C1: A medida que se van desarrollando los distintos procesos contractuales, los profesionales de apoyo realizan el seguimiento  de ejecución de las actividades previstas, ejecucion de presupuesto, dificultades presentadas y actividades próximas a ejecut"&amp;"ar en el marco de los proyectos de extensión, educación continuada y eventos. 
-C2: El Director Técnico de Proyeccion Social, con el acompañamiento de los profesionales de apoyo, realizan y reportan al banco de proyectos el seguimiento trimestral de la ej"&amp;"ecución presupuestal de la ficha BPUNI. 
-C3: Los profesionales de apoyo de proyección social, cada año revisan y actualizan los procedimientos y formatos relacionados con la ejecucion presupuestal de los proyectos.  ")</f>
        <v xml:space="preserve">- C1: A medida que se van desarrollando los distintos procesos contractuales, los profesionales de apoyo realizan el seguimiento  de ejecución de las actividades previstas, ejecucion de presupuesto, dificultades presentadas y actividades próximas a ejecutar en el marco de los proyectos de extensión, educación continuada y eventos. 
-C2: El Director Técnico de Proyeccion Social, con el acompañamiento de los profesionales de apoyo, realizan y reportan al banco de proyectos el seguimiento trimestral de la ejecución presupuestal de la ficha BPUNI. 
-C3: Los profesionales de apoyo de proyección social, cada año revisan y actualizan los procedimientos y formatos relacionados con la ejecucion presupuestal de los proyectos.  </v>
      </c>
      <c r="N71" s="65" t="str">
        <f ca="1">IFERROR(__xludf.DUMMYFUNCTION("""COMPUTED_VALUE"""),"Muy baja")</f>
        <v>Muy baja</v>
      </c>
      <c r="O71" s="65" t="str">
        <f ca="1">IFERROR(__xludf.DUMMYFUNCTION("""COMPUTED_VALUE"""),"Moderado")</f>
        <v>Moderado</v>
      </c>
      <c r="P71" s="65" t="str">
        <f ca="1">IFERROR(__xludf.DUMMYFUNCTION("""COMPUTED_VALUE"""),"Media")</f>
        <v>Media</v>
      </c>
      <c r="Q71" s="91" t="str">
        <f ca="1">IFERROR(__xludf.DUMMYFUNCTION("""COMPUTED_VALUE"""),"Reducir")</f>
        <v>Reducir</v>
      </c>
      <c r="R71" s="20" t="str">
        <f ca="1">IFERROR(__xludf.DUMMYFUNCTION("""COMPUTED_VALUE"""),"Divulgar a los directores de centro, coordinadores y colaboradores de proyectos, los requisitos para la elaboración y entrega de los informes, asi como las actualizaciones y cambios en los procedimientos de proyección social, cuando se presenten.")</f>
        <v>Divulgar a los directores de centro, coordinadores y colaboradores de proyectos, los requisitos para la elaboración y entrega de los informes, asi como las actualizaciones y cambios en los procedimientos de proyección social, cuando se presenten.</v>
      </c>
      <c r="S71" s="40" t="str">
        <f ca="1">IFERROR(__xludf.DUMMYFUNCTION("""COMPUTED_VALUE"""),"Anual ")</f>
        <v xml:space="preserve">Anual </v>
      </c>
      <c r="T71" s="14" t="str">
        <f ca="1">IFERROR(__xludf.DUMMYFUNCTION("""COMPUTED_VALUE"""),"Dirección Técnico de Proyección Social")</f>
        <v>Dirección Técnico de Proyección Social</v>
      </c>
      <c r="U71" s="55" t="str">
        <f ca="1">IFERROR(__xludf.DUMMYFUNCTION("""COMPUTED_VALUE"""),"Registro de asistencia o video de la divulgación")</f>
        <v>Registro de asistencia o video de la divulgación</v>
      </c>
      <c r="V71" s="92" t="str">
        <f ca="1">IFERROR(__xludf.DUMMYFUNCTION("""COMPUTED_VALUE"""),"Informar al Consejo Institucional de Proyección Social para que determine las acciones a seguir")</f>
        <v>Informar al Consejo Institucional de Proyección Social para que determine las acciones a seguir</v>
      </c>
      <c r="W71" s="97" t="str">
        <f ca="1">IFERROR(__xludf.DUMMYFUNCTION("""COMPUTED_VALUE"""),"Informe, Acta del Consejo de Proyección Social. ")</f>
        <v xml:space="preserve">Informe, Acta del Consejo de Proyección Social. </v>
      </c>
      <c r="X71" s="97" t="str">
        <f ca="1">IFERROR(__xludf.DUMMYFUNCTION("""COMPUTED_VALUE"""),"Director Técnico de Proyección Social")</f>
        <v>Director Técnico de Proyección Social</v>
      </c>
      <c r="Y71" s="97" t="str">
        <f ca="1">IFERROR(__xludf.DUMMYFUNCTION("""COMPUTED_VALUE"""),"Semestral")</f>
        <v>Semestral</v>
      </c>
      <c r="Z71" s="15" t="str">
        <f ca="1">IFERROR(__xludf.DUMMYFUNCTION("""COMPUTED_VALUE"""),"30 de abril")</f>
        <v>30 de abril</v>
      </c>
      <c r="AA71" s="17" t="str">
        <f ca="1">IFERROR(__xludf.DUMMYFUNCTION("""COMPUTED_VALUE"""),"Enero a Abril ")</f>
        <v xml:space="preserve">Enero a Abril </v>
      </c>
      <c r="AB71" s="17" t="str">
        <f ca="1">IFERROR(__xludf.DUMMYFUNCTION("""COMPUTED_VALUE"""),"No")</f>
        <v>No</v>
      </c>
      <c r="AC71" s="15" t="str">
        <f ca="1">IFERROR(__xludf.DUMMYFUNCTION("""COMPUTED_VALUE"""),"Acciones de tratamiento:                                                                                                                                            
Se ejecutó la fase inicial de capacitación sobre las actualizaciones del módulo de Proyecc"&amp;"ión Social en la plataforma Geducar. Actualmente, el proceso se encuentra en etapa de pilotaje (pruebas) previo al despliegue final con todos los interesados. Asimismo, la profesional de apoyo de educación continua realiza el seguimiento periódico a la co"&amp;"rrecta aplicación de los formatos institucionales mediante comunicación directa con las direcciones de los Centros de Proyección Social. La profesional de apoyo de proyectos comunitarios realiza el seguimiento de los formatos institucionales para este cas"&amp;"o los de avance que estan próximos a la entrega y supervisión preliminar por parte de los Centros de Proyección Social , así mismo se está asegurando el cargue de los anexos, evidencias, insumos de los mismos, de acuerdo a los tiempos pactados por la Conv"&amp;"ocatoria. 
Ac"&amp;"ciones asociadas a la ejecución de los controles:
C1: Se dio inicio a la estructuración de un formato estandarizado de seguimiento y a la elaboración de un cronograma anual para los reportes trimestrales,  alcanzando, a la fecha, un avance aproximado del "&amp;"15%.                                                                                                                                                                                                                       C2: De acuerdo con la ficha BPUNI,  "&amp;"para la vigencia 2026, se registra un avance aproximado del 15% en la ejecución presupuestal.                                                                                                                                          C3: Se realizó la revisi"&amp;"ón de los formatos establecidos y se envió la solicitud correspondiente para la actualización del procedimiento y la modificación de los formatos con un  avance del 15 %                                                                              
       "&amp;"                                                                                                                                                                                                                                                               "&amp;"                             ")</f>
        <v xml:space="preserve">Acciones de tratamiento:                                                                                                                                            
Se ejecutó la fase inicial de capacitación sobre las actualizaciones del módulo de Proyección Social en la plataforma Geducar. Actualmente, el proceso se encuentra en etapa de pilotaje (pruebas) previo al despliegue final con todos los interesados. Asimismo, la profesional de apoyo de educación continua realiza el seguimiento periódico a la correcta aplicación de los formatos institucionales mediante comunicación directa con las direcciones de los Centros de Proyección Social. La profesional de apoyo de proyectos comunitarios realiza el seguimiento de los formatos institucionales para este caso los de avance que estan próximos a la entrega y supervisión preliminar por parte de los Centros de Proyección Social , así mismo se está asegurando el cargue de los anexos, evidencias, insumos de los mismos, de acuerdo a los tiempos pactados por la Convocatoria. 
Acciones asociadas a la ejecución de los controles:
C1: Se dio inicio a la estructuración de un formato estandarizado de seguimiento y a la elaboración de un cronograma anual para los reportes trimestrales,  alcanzando, a la fecha, un avance aproximado del 15%.                                                                                                                                                                                                                       C2: De acuerdo con la ficha BPUNI,  para la vigencia 2026, se registra un avance aproximado del 15% en la ejecución presupuestal.                                                                                                                                          C3: Se realizó la revisión de los formatos establecidos y se envió la solicitud correspondiente para la actualización del procedimiento y la modificación de los formatos con un  avance del 15 %                                                                              
                                                                                                                                                                                                                                                                                                   </v>
      </c>
      <c r="AD71" s="17" t="str">
        <f ca="1">IFERROR(__xludf.DUMMYFUNCTION("""COMPUTED_VALUE"""),"Profesional de apoyo de proyectos comunitarios")</f>
        <v>Profesional de apoyo de proyectos comunitarios</v>
      </c>
      <c r="AE71" s="18" t="str">
        <f ca="1">IFERROR(__xludf.DUMMYFUNCTION("""COMPUTED_VALUE"""),"Evidencia")</f>
        <v>Evidencia</v>
      </c>
      <c r="AF71" s="15" t="str">
        <f ca="1">IFERROR(__xludf.DUMMYFUNCTION("""COMPUTED_VALUE"""),"Si")</f>
        <v>Si</v>
      </c>
      <c r="AG71" s="15" t="str">
        <f ca="1">IFERROR(__xludf.DUMMYFUNCTION("""COMPUTED_VALUE"""),"En proceso")</f>
        <v>En proceso</v>
      </c>
      <c r="AH71" s="15" t="str">
        <f ca="1">IFERROR(__xludf.DUMMYFUNCTION("""COMPUTED_VALUE"""),"C1: No se evidenció la ejecución del seguimiento a las actividades previstas, ejecución presupuestal y dificultades de los proyectos de extensión, educación continuada y eventos, conforme a lo establecido en el control. La evidencia aportada corresponde a"&amp;" solicitudes de actualización de formatos y procedimientos, sin soportar el seguimiento operativo definido en la matriz de riesgos.
C2: Se evidenció el seguimiento a la ejecución presupuestal mediante la ficha BPUNI correspondiente a la vigencia 2026, en"&amp;" la cual se reporta avance de ejecución del proyecto.
C3: Se evidenció la revisión de procedimientos y formatos relacionados con la ejecución presupuestal de los proyectos, así como la solicitud de modificación y actualización de formatos institucionales"&amp;".
Acción de tratamiento: No se evidenció soporte de divulgación relacionado con listados de asistencia o video, conforme a la evidencia definida para la acción de tratamiento.
Materialización del riesgo: El riesgo no se materializó durante el periodo ev"&amp;"aluado.
Conclusión: Las evidencias aportadas permiten verificar parcialmente la ejecución de los controles. Se recomienda que para próximos monitoreos las evidencias se organicen de acuerdo con cada control establecido y que se aporte soporte suficiente "&amp;"de la ejecución real de las actividades definidas en la matriz de riesgos.")</f>
        <v>C1: No se evidenció la ejecución del seguimiento a las actividades previstas, ejecución presupuestal y dificultades de los proyectos de extensión, educación continuada y eventos, conforme a lo establecido en el control. La evidencia aportada corresponde a solicitudes de actualización de formatos y procedimientos, sin soportar el seguimiento operativo definido en la matriz de riesgos.
C2: Se evidenció el seguimiento a la ejecución presupuestal mediante la ficha BPUNI correspondiente a la vigencia 2026, en la cual se reporta avance de ejecución del proyecto.
C3: Se evidenció la revisión de procedimientos y formatos relacionados con la ejecución presupuestal de los proyectos, así como la solicitud de modificación y actualización de formatos institucionales.
Acción de tratamiento: No se evidenció soporte de divulgación relacionado con listados de asistencia o video, conforme a la evidencia definida para la acción de tratamiento.
Materialización del riesgo: El riesgo no se materializó durante el periodo evaluado.
Conclusión: Las evidencias aportadas permiten verificar parcialmente la ejecución de los controles. Se recomienda que para próximos monitoreos las evidencias se organicen de acuerdo con cada control establecido y que se aporte soporte suficiente de la ejecución real de las actividades definidas en la matriz de riesgos.</v>
      </c>
      <c r="AI71" s="15" t="str">
        <f ca="1">IFERROR(__xludf.DUMMYFUNCTION("""COMPUTED_VALUE"""),"30 de abril")</f>
        <v>30 de abril</v>
      </c>
      <c r="AJ71" s="17" t="str">
        <f ca="1">IFERROR(__xludf.DUMMYFUNCTION("""COMPUTED_VALUE"""),"Si")</f>
        <v>Si</v>
      </c>
      <c r="AK71" s="17" t="str">
        <f ca="1">IFERROR(__xludf.DUMMYFUNCTION("""COMPUTED_VALUE"""),"Si")</f>
        <v>Si</v>
      </c>
      <c r="AL71" s="17" t="str">
        <f ca="1">IFERROR(__xludf.DUMMYFUNCTION("""COMPUTED_VALUE"""),"Si")</f>
        <v>Si</v>
      </c>
      <c r="AM71" s="17" t="str">
        <f ca="1">IFERROR(__xludf.DUMMYFUNCTION("""COMPUTED_VALUE"""),"Si")</f>
        <v>Si</v>
      </c>
      <c r="AN71" s="17" t="str">
        <f ca="1">IFERROR(__xludf.DUMMYFUNCTION("""COMPUTED_VALUE"""),"Si")</f>
        <v>Si</v>
      </c>
      <c r="AO71" s="17" t="str">
        <f ca="1">IFERROR(__xludf.DUMMYFUNCTION("""COMPUTED_VALUE"""),"Si")</f>
        <v>Si</v>
      </c>
      <c r="AP71" s="17" t="str">
        <f ca="1">IFERROR(__xludf.DUMMYFUNCTION("""COMPUTED_VALUE"""),"Si")</f>
        <v>Si</v>
      </c>
      <c r="AQ71" s="17" t="str">
        <f ca="1">IFERROR(__xludf.DUMMYFUNCTION("""COMPUTED_VALUE"""),"No")</f>
        <v>No</v>
      </c>
      <c r="AR71" s="17" t="str">
        <f ca="1">IFERROR(__xludf.DUMMYFUNCTION("""COMPUTED_VALUE"""),"No")</f>
        <v>No</v>
      </c>
      <c r="AS71" s="15" t="str">
        <f ca="1">IFERROR(__xludf.DUMMYFUNCTION("""COMPUTED_VALUE"""),"No aplica")</f>
        <v>No aplica</v>
      </c>
      <c r="AT71" s="15" t="str">
        <f ca="1">IFERROR(__xludf.DUMMYFUNCTION("""COMPUTED_VALUE"""),"En concordancia con el resultado del monitoreo de la Segunda Línea de Defensa, se evidencia ausencia de soportes de la ejecución del control N°1. Se requiere que la evidencia sea competente, es decir con calidad en relación a su relevancia y confiabilidad"&amp;" y suficiente en términos de cantidad y completitud, que permita demostrar de manera íntegra el hecho.")</f>
        <v>En concordancia con el resultado del monitoreo de la Segunda Línea de Defensa, se evidencia ausencia de soportes de la ejecución del control N°1. Se requiere que la evidencia sea competente, es decir con calidad en relación a su relevancia y confiabilidad y suficiente en términos de cantidad y completitud, que permita demostrar de manera íntegra el hecho.</v>
      </c>
      <c r="AU71" s="10"/>
    </row>
    <row r="72" spans="1:47" x14ac:dyDescent="0.25">
      <c r="A72" s="25"/>
      <c r="B72" s="86"/>
      <c r="C72" s="86"/>
      <c r="D72" s="89"/>
      <c r="E72" s="64"/>
      <c r="F72" s="64"/>
      <c r="G72" s="64"/>
      <c r="H72" s="64"/>
      <c r="I72" s="64"/>
      <c r="J72" s="64"/>
      <c r="K72" s="64"/>
      <c r="L72" s="64"/>
      <c r="M72" s="64"/>
      <c r="N72" s="64"/>
      <c r="O72" s="64"/>
      <c r="P72" s="64"/>
      <c r="Q72" s="83"/>
      <c r="R72" s="20" t="str">
        <f ca="1">IFERROR(__xludf.DUMMYFUNCTION("""COMPUTED_VALUE"""),"")</f>
        <v/>
      </c>
      <c r="S72" s="42" t="str">
        <f ca="1">IFERROR(__xludf.DUMMYFUNCTION("""COMPUTED_VALUE"""),"")</f>
        <v/>
      </c>
      <c r="T72" s="34"/>
      <c r="U72" s="20"/>
      <c r="V72" s="89"/>
      <c r="W72" s="89"/>
      <c r="X72" s="89"/>
      <c r="Y72" s="89"/>
      <c r="Z72" s="15" t="str">
        <f ca="1">IFERROR(__xludf.DUMMYFUNCTION("""COMPUTED_VALUE"""),"30 de agosto")</f>
        <v>30 de agosto</v>
      </c>
      <c r="AA72" s="17"/>
      <c r="AB72" s="17"/>
      <c r="AC72" s="15"/>
      <c r="AD72" s="17"/>
      <c r="AE72" s="18" t="str">
        <f ca="1">IFERROR(__xludf.DUMMYFUNCTION("""COMPUTED_VALUE"""),"Evidencia")</f>
        <v>Evidencia</v>
      </c>
      <c r="AF72" s="15"/>
      <c r="AG72" s="15"/>
      <c r="AH72" s="15"/>
      <c r="AI72" s="24" t="str">
        <f ca="1">IFERROR(__xludf.DUMMYFUNCTION("""COMPUTED_VALUE"""),"31 de agosto")</f>
        <v>31 de agosto</v>
      </c>
      <c r="AJ72" s="17"/>
      <c r="AK72" s="17"/>
      <c r="AL72" s="17"/>
      <c r="AM72" s="17"/>
      <c r="AN72" s="17"/>
      <c r="AO72" s="17"/>
      <c r="AP72" s="17"/>
      <c r="AQ72" s="17"/>
      <c r="AR72" s="17"/>
      <c r="AS72" s="15"/>
      <c r="AT72" s="15"/>
      <c r="AU72" s="10"/>
    </row>
    <row r="73" spans="1:47" x14ac:dyDescent="0.25">
      <c r="A73" s="25"/>
      <c r="B73" s="86"/>
      <c r="C73" s="86"/>
      <c r="D73" s="76"/>
      <c r="E73" s="61"/>
      <c r="F73" s="61"/>
      <c r="G73" s="61"/>
      <c r="H73" s="61"/>
      <c r="I73" s="61"/>
      <c r="J73" s="61"/>
      <c r="K73" s="61"/>
      <c r="L73" s="61"/>
      <c r="M73" s="61"/>
      <c r="N73" s="61"/>
      <c r="O73" s="61"/>
      <c r="P73" s="61"/>
      <c r="Q73" s="84"/>
      <c r="R73" s="26" t="str">
        <f ca="1">IFERROR(__xludf.DUMMYFUNCTION("""COMPUTED_VALUE"""),"")</f>
        <v/>
      </c>
      <c r="S73" s="43" t="str">
        <f ca="1">IFERROR(__xludf.DUMMYFUNCTION("""COMPUTED_VALUE"""),"")</f>
        <v/>
      </c>
      <c r="T73" s="38"/>
      <c r="U73" s="26"/>
      <c r="V73" s="76"/>
      <c r="W73" s="76"/>
      <c r="X73" s="76"/>
      <c r="Y73" s="76"/>
      <c r="Z73" s="15" t="str">
        <f ca="1">IFERROR(__xludf.DUMMYFUNCTION("""COMPUTED_VALUE"""),"30 de diciembre")</f>
        <v>30 de diciembre</v>
      </c>
      <c r="AA73" s="17"/>
      <c r="AB73" s="17"/>
      <c r="AC73" s="15"/>
      <c r="AD73" s="17"/>
      <c r="AE73" s="18" t="str">
        <f ca="1">IFERROR(__xludf.DUMMYFUNCTION("""COMPUTED_VALUE"""),"Evidencia")</f>
        <v>Evidencia</v>
      </c>
      <c r="AF73" s="15"/>
      <c r="AG73" s="15"/>
      <c r="AH73" s="15"/>
      <c r="AI73" s="24" t="str">
        <f ca="1">IFERROR(__xludf.DUMMYFUNCTION("""COMPUTED_VALUE"""),"31 de diciembre")</f>
        <v>31 de diciembre</v>
      </c>
      <c r="AJ73" s="17"/>
      <c r="AK73" s="17"/>
      <c r="AL73" s="17"/>
      <c r="AM73" s="17"/>
      <c r="AN73" s="17"/>
      <c r="AO73" s="17"/>
      <c r="AP73" s="17"/>
      <c r="AQ73" s="17"/>
      <c r="AR73" s="17"/>
      <c r="AS73" s="15"/>
      <c r="AT73" s="15"/>
      <c r="AU73" s="10"/>
    </row>
    <row r="74" spans="1:47" ht="276" x14ac:dyDescent="0.25">
      <c r="A74" s="25"/>
      <c r="B74" s="86"/>
      <c r="C74" s="86"/>
      <c r="D74" s="88" t="str">
        <f ca="1">IFERROR(__xludf.DUMMYFUNCTION("""COMPUTED_VALUE"""),"Posibilidad de afectación economica y reputacional por el incumplimiento de las metas de extensión y proyección social debido a deficiencias en la planeación, gestión y monitoreo de las actividades y proyectos")</f>
        <v>Posibilidad de afectación economica y reputacional por el incumplimiento de las metas de extensión y proyección social debido a deficiencias en la planeación, gestión y monitoreo de las actividades y proyectos</v>
      </c>
      <c r="E74" s="63" t="str">
        <f ca="1">IFERROR(__xludf.DUMMYFUNCTION("""COMPUTED_VALUE"""),"Dirección General de Proyección Social")</f>
        <v>Dirección General de Proyección Social</v>
      </c>
      <c r="F74" s="63" t="str">
        <f ca="1">IFERROR(__xludf.DUMMYFUNCTION("""COMPUTED_VALUE"""),"Gestión")</f>
        <v>Gestión</v>
      </c>
      <c r="G74" s="63" t="str">
        <f ca="1">IFERROR(__xludf.DUMMYFUNCTION("""COMPUTED_VALUE"""),"- Deficiencias en la planeación, gestión y monitoreo de las actividades y proyectos.
- Disminución en el presupuesto destinado a las actividades de proyección social.
- Cambios en el contexto institucional.
- Conflicto, desconocimiento o incumplimientos n"&amp;"ormativos, legales, regulatorios o contractuales. 
-Dificultades en la ejecución de los recursos.")</f>
        <v>- Deficiencias en la planeación, gestión y monitoreo de las actividades y proyectos.
- Disminución en el presupuesto destinado a las actividades de proyección social.
- Cambios en el contexto institucional.
- Conflicto, desconocimiento o incumplimientos normativos, legales, regulatorios o contractuales. 
-Dificultades en la ejecución de los recursos.</v>
      </c>
      <c r="H74" s="63" t="str">
        <f ca="1">IFERROR(__xludf.DUMMYFUNCTION("""COMPUTED_VALUE"""),"1. Detrimento patrimonial
2. Afectación a la imagen institucional
3. Incumplimiento en los indicadores institucionales
4. Limitaciones en el acceso a recursos para nuevas iniciativas
5. Incumplimiento en los cronogramas y objetivos de los proyectos instit"&amp;"ucionales ")</f>
        <v xml:space="preserve">1. Detrimento patrimonial
2. Afectación a la imagen institucional
3. Incumplimiento en los indicadores institucionales
4. Limitaciones en el acceso a recursos para nuevas iniciativas
5. Incumplimiento en los cronogramas y objetivos de los proyectos institucionales </v>
      </c>
      <c r="I74" s="65" t="str">
        <f ca="1">IFERROR(__xludf.DUMMYFUNCTION("""COMPUTED_VALUE"""),"EPS_02")</f>
        <v>EPS_02</v>
      </c>
      <c r="J74" s="65" t="str">
        <f ca="1">IFERROR(__xludf.DUMMYFUNCTION("""COMPUTED_VALUE"""),"Alta")</f>
        <v>Alta</v>
      </c>
      <c r="K74" s="65" t="str">
        <f ca="1">IFERROR(__xludf.DUMMYFUNCTION("""COMPUTED_VALUE"""),"Mayor")</f>
        <v>Mayor</v>
      </c>
      <c r="L74" s="65" t="str">
        <f ca="1">IFERROR(__xludf.DUMMYFUNCTION("""COMPUTED_VALUE"""),"Extrema")</f>
        <v>Extrema</v>
      </c>
      <c r="M74" s="63" t="str">
        <f ca="1">IFERROR(__xludf.DUMMYFUNCTION("""COMPUTED_VALUE"""),"- C1:Trimestralmente de acuerdo a la información reportada en el seguimiento al POAI,  el profesional de apoyo realiza el seguimiento a los indicadores de gestión para verificar la ejecución presupuestal de la Ficha BPUNI y el cumplimiento de las metas.
-"&amp;" C2: El Director Técnico de Proyección solicita a los profesionales de apoyo la consolidación de la información sobre la ejecución de las actividades y proyectos propios de la Dirección y de las Facultades; los cuales reflejan el grado de cumplimiento de "&amp;"las metas en el informe de gestión semestral. 
- C3: El Director Técnico de Proyección Social de acuerdo con la ejecución presupuestal y con el grado de cumplimiento de las metas determina el ajuste de las actividades y rubros y solicita la actualización "&amp;"de la Ficha BPUNI para lograr la optimización del recurso y el cumplimiento de las metas, lo cual es reportado a traves de la proyección de la ficha B-Puni de la siguiente vigencia. 
 ")</f>
        <v xml:space="preserve">- C1:Trimestralmente de acuerdo a la información reportada en el seguimiento al POAI,  el profesional de apoyo realiza el seguimiento a los indicadores de gestión para verificar la ejecución presupuestal de la Ficha BPUNI y el cumplimiento de las metas.
- C2: El Director Técnico de Proyección solicita a los profesionales de apoyo la consolidación de la información sobre la ejecución de las actividades y proyectos propios de la Dirección y de las Facultades; los cuales reflejan el grado de cumplimiento de las metas en el informe de gestión semestral. 
- C3: El Director Técnico de Proyección Social de acuerdo con la ejecución presupuestal y con el grado de cumplimiento de las metas determina el ajuste de las actividades y rubros y solicita la actualización de la Ficha BPUNI para lograr la optimización del recurso y el cumplimiento de las metas, lo cual es reportado a traves de la proyección de la ficha B-Puni de la siguiente vigencia. 
 </v>
      </c>
      <c r="N74" s="65" t="str">
        <f ca="1">IFERROR(__xludf.DUMMYFUNCTION("""COMPUTED_VALUE"""),"Baja")</f>
        <v>Baja</v>
      </c>
      <c r="O74" s="65" t="str">
        <f ca="1">IFERROR(__xludf.DUMMYFUNCTION("""COMPUTED_VALUE"""),"Moderado")</f>
        <v>Moderado</v>
      </c>
      <c r="P74" s="65" t="str">
        <f ca="1">IFERROR(__xludf.DUMMYFUNCTION("""COMPUTED_VALUE"""),"Media")</f>
        <v>Media</v>
      </c>
      <c r="Q74" s="91" t="str">
        <f ca="1">IFERROR(__xludf.DUMMYFUNCTION("""COMPUTED_VALUE"""),"Reducir")</f>
        <v>Reducir</v>
      </c>
      <c r="R74" s="20" t="str">
        <f ca="1">IFERROR(__xludf.DUMMYFUNCTION("""COMPUTED_VALUE"""),"Gestionar y realizar el seguimiento de los procesos administrativos y contractuales para que la contratación de los materiales, elementos, equipos y apoyo logístico se realice dentro de los plazos, evitando el incumplimiento de los cronogramas y actividad"&amp;"es de los proyectos y actividades de Proyección Social. ")</f>
        <v xml:space="preserve">Gestionar y realizar el seguimiento de los procesos administrativos y contractuales para que la contratación de los materiales, elementos, equipos y apoyo logístico se realice dentro de los plazos, evitando el incumplimiento de los cronogramas y actividades de los proyectos y actividades de Proyección Social. </v>
      </c>
      <c r="S74" s="40" t="str">
        <f ca="1">IFERROR(__xludf.DUMMYFUNCTION("""COMPUTED_VALUE"""),"Semestral ")</f>
        <v xml:space="preserve">Semestral </v>
      </c>
      <c r="T74" s="32" t="str">
        <f ca="1">IFERROR(__xludf.DUMMYFUNCTION("""COMPUTED_VALUE"""),"Profesionales de apoyo proyección social")</f>
        <v>Profesionales de apoyo proyección social</v>
      </c>
      <c r="U74" s="41" t="str">
        <f ca="1">IFERROR(__xludf.DUMMYFUNCTION("""COMPUTED_VALUE"""),"Correos electrónicos solicitudes de contratación, Estudio de mercado, ECO, Contratos, actas de inicio, informes de ejecución o actas de liquidación.")</f>
        <v>Correos electrónicos solicitudes de contratación, Estudio de mercado, ECO, Contratos, actas de inicio, informes de ejecución o actas de liquidación.</v>
      </c>
      <c r="V74" s="92" t="str">
        <f ca="1">IFERROR(__xludf.DUMMYFUNCTION("""COMPUTED_VALUE"""),"Solicitar modificaciones en las metas y actividades del proceso ante la oficina de Planeación, justificando los cambios solicitados.")</f>
        <v>Solicitar modificaciones en las metas y actividades del proceso ante la oficina de Planeación, justificando los cambios solicitados.</v>
      </c>
      <c r="W74" s="97" t="str">
        <f ca="1">IFERROR(__xludf.DUMMYFUNCTION("""COMPUTED_VALUE"""),"Correo electrónico")</f>
        <v>Correo electrónico</v>
      </c>
      <c r="X74" s="97" t="str">
        <f ca="1">IFERROR(__xludf.DUMMYFUNCTION("""COMPUTED_VALUE"""),"Director Técnico de Proyección Social")</f>
        <v>Director Técnico de Proyección Social</v>
      </c>
      <c r="Y74" s="97" t="str">
        <f ca="1">IFERROR(__xludf.DUMMYFUNCTION("""COMPUTED_VALUE"""),"15 días")</f>
        <v>15 días</v>
      </c>
      <c r="Z74" s="15" t="str">
        <f ca="1">IFERROR(__xludf.DUMMYFUNCTION("""COMPUTED_VALUE"""),"30 de abril")</f>
        <v>30 de abril</v>
      </c>
      <c r="AA74" s="17" t="str">
        <f ca="1">IFERROR(__xludf.DUMMYFUNCTION("""COMPUTED_VALUE"""),"Enero a Abril ")</f>
        <v xml:space="preserve">Enero a Abril </v>
      </c>
      <c r="AB74" s="17" t="str">
        <f ca="1">IFERROR(__xludf.DUMMYFUNCTION("""COMPUTED_VALUE"""),"No")</f>
        <v>No</v>
      </c>
      <c r="AC74" s="15" t="str">
        <f ca="1">IFERROR(__xludf.DUMMYFUNCTION("""COMPUTED_VALUE"""),"Acciones de tratamiento:                                                                                                                                            
Acción 1:Se adelanta la gestión y el seguimiento de los procesos administrativos para la a"&amp;"dquisición de materiales y apoyos logísticos. Actualmente, se realiza el monitoreo de las solicitudes radicadas ante el área de compras, asegurando que los tiempos de respuesta se alineen con los cronogramas de los proyectos para prevenir retrasos en las "&amp;"actividades de campo.                                                                                                                                                                                                                                          "&amp;"                                                                                  Acción 2:Se mantiene la atención permanente y la gestión de requerimientos provenientes de las Facultades. Se están canalizando las solicitudes relacionadas con el desarroll"&amp;"o de proyectos, brindando asesoría técnica y administrativa continua para asegurar que las unidades académicas cuenten con el soporte necesario en tiempo real.                                                                                                "&amp;"                                                                                                                                                                                              Acción 3: Se ejecuta el monitoreo y acompañamiento permanente a l"&amp;"os Directores de Centro y coordinadores mediante canales de comunicación directa (asistencia personalizada y medios digitales), garantizando el flujo de información sobre el estado de los proyectos. Esta gestión presencial y remota ha permitido resolver d"&amp;"udas inmediatas y asegurar la trazabilidad de los procesos mientras se evalua  la transición hacia la automatización en el SIAU.                                                                                                                               "&amp;"                                                                                                                                                                   Asociadas a la ejecución de los controles:
C1.Se realizó el seguimiento trimestral de los in"&amp;"dicadores de gestión, ejecución presupuestal  y del avance de metas, lo que permitió identificar la necesidad de ajustes en actividades y rubros de la ficha  BPUNI.                                                                                           "&amp;"                              
 C2.A la fecha no se cuenta con el reporte de los informes, teniendo en cuenta que su entrega se realiza con corte semestral. En este sentido, el informe de gestión correspondiente al primer semestre de 2026 será cargado en "&amp;"el mes de agosto del año en curso.                                                                                                       C3: La ejecución presupuestal de las metas definidas en las actividades y rubros de la ficha BPUNI será presentada en "&amp;"el mes de octubre, correspondiente a la ejecución programada para la vigencia 2027.                                                                                                                                                                            "&amp;"           
")</f>
        <v xml:space="preserve">Acciones de tratamiento:                                                                                                                                            
Acción 1:Se adelanta la gestión y el seguimiento de los procesos administrativos para la adquisición de materiales y apoyos logísticos. Actualmente, se realiza el monitoreo de las solicitudes radicadas ante el área de compras, asegurando que los tiempos de respuesta se alineen con los cronogramas de los proyectos para prevenir retrasos en las actividades de campo.                                                                                                                                                                                                                                                                                                                            Acción 2:Se mantiene la atención permanente y la gestión de requerimientos provenientes de las Facultades. Se están canalizando las solicitudes relacionadas con el desarrollo de proyectos, brindando asesoría técnica y administrativa continua para asegurar que las unidades académicas cuenten con el soporte necesario en tiempo real.                                                                                                                                                                                                                                                                                              Acción 3: Se ejecuta el monitoreo y acompañamiento permanente a los Directores de Centro y coordinadores mediante canales de comunicación directa (asistencia personalizada y medios digitales), garantizando el flujo de información sobre el estado de los proyectos. Esta gestión presencial y remota ha permitido resolver dudas inmediatas y asegurar la trazabilidad de los procesos mientras se evalua  la transición hacia la automatización en el SIAU.                                                                                                                                                                                                                                                                                                  Asociadas a la ejecución de los controles:
C1.Se realizó el seguimiento trimestral de los indicadores de gestión, ejecución presupuestal  y del avance de metas, lo que permitió identificar la necesidad de ajustes en actividades y rubros de la ficha  BPUNI.                                                                                                                         
 C2.A la fecha no se cuenta con el reporte de los informes, teniendo en cuenta que su entrega se realiza con corte semestral. En este sentido, el informe de gestión correspondiente al primer semestre de 2026 será cargado en el mes de agosto del año en curso.                                                                                                       C3: La ejecución presupuestal de las metas definidas en las actividades y rubros de la ficha BPUNI será presentada en el mes de octubre, correspondiente a la ejecución programada para la vigencia 2027.                                                                                                                                                                                       
</v>
      </c>
      <c r="AD74" s="17" t="str">
        <f ca="1">IFERROR(__xludf.DUMMYFUNCTION("""COMPUTED_VALUE"""),"Director tecnico de proyección social")</f>
        <v>Director tecnico de proyección social</v>
      </c>
      <c r="AE74" s="18" t="str">
        <f ca="1">IFERROR(__xludf.DUMMYFUNCTION("""COMPUTED_VALUE"""),"Evidencia")</f>
        <v>Evidencia</v>
      </c>
      <c r="AF74" s="15" t="str">
        <f ca="1">IFERROR(__xludf.DUMMYFUNCTION("""COMPUTED_VALUE"""),"Si")</f>
        <v>Si</v>
      </c>
      <c r="AG74" s="15" t="str">
        <f ca="1">IFERROR(__xludf.DUMMYFUNCTION("""COMPUTED_VALUE"""),"En proceso")</f>
        <v>En proceso</v>
      </c>
      <c r="AH74" s="15" t="str">
        <f ca="1">IFERROR(__xludf.DUMMYFUNCTION("""COMPUTED_VALUE"""),"C1: Se evidenció el seguimiento trimestral a los indicadores de gestión, ejecución presupuestal y avance de metas mediante la ficha BPUNI reportada para la vigencia 2026.
C2: El proceso informó que la consolidación y reporte de la información se realiza "&amp;"de manera semestral; por lo tanto, el informe de gestión correspondiente al primer semestre de 2026 será presentado en el mes de agosto. Se acepta la justificación para el periodo evaluado.
C3: El proceso indicó que los ajustes de actividades y rubros as"&amp;"ociados a la ficha BPUNI serán presentados en octubre de 2026, conforme a la programación de ejecución para la vigencia 2027, por lo que el control no se ejecutó en el presente corte.
Acción 1: No se evidenció soporte documental suficiente que permita ve"&amp;"rificar la gestión y seguimiento de los procesos administrativos y contractuales relacionados con adquisiciones y apoyos logísticos.
Acción 2: Se evidenció gestión y atención de solicitudes mediante soporte de correos electrónicos aportados por el proces"&amp;"o, relacionados con el acompañamiento y respuesta a requerimientos de las Facultades.
Acción 3: Se evidenció acompañamiento y monitoreo mediante medios digitales y comunicación directa con directores y coordinadores de proyectos.
Materialización del rie"&amp;"sgo: El riesgo no se materializó durante el periodo evaluado.
Conclusión: Las evidencias permiten verificar parcialmente la ejecución de los controles y acciones reportadas. Se recomienda fortalecer la organización y trazabilidad de los soportes conforme"&amp;" a cada control y acción establecida en la matriz de riesgos.")</f>
        <v>C1: Se evidenció el seguimiento trimestral a los indicadores de gestión, ejecución presupuestal y avance de metas mediante la ficha BPUNI reportada para la vigencia 2026.
C2: El proceso informó que la consolidación y reporte de la información se realiza de manera semestral; por lo tanto, el informe de gestión correspondiente al primer semestre de 2026 será presentado en el mes de agosto. Se acepta la justificación para el periodo evaluado.
C3: El proceso indicó que los ajustes de actividades y rubros asociados a la ficha BPUNI serán presentados en octubre de 2026, conforme a la programación de ejecución para la vigencia 2027, por lo que el control no se ejecutó en el presente corte.
Acción 1: No se evidenció soporte documental suficiente que permita verificar la gestión y seguimiento de los procesos administrativos y contractuales relacionados con adquisiciones y apoyos logísticos.
Acción 2: Se evidenció gestión y atención de solicitudes mediante soporte de correos electrónicos aportados por el proceso, relacionados con el acompañamiento y respuesta a requerimientos de las Facultades.
Acción 3: Se evidenció acompañamiento y monitoreo mediante medios digitales y comunicación directa con directores y coordinadores de proyectos.
Materialización del riesgo: El riesgo no se materializó durante el periodo evaluado.
Conclusión: Las evidencias permiten verificar parcialmente la ejecución de los controles y acciones reportadas. Se recomienda fortalecer la organización y trazabilidad de los soportes conforme a cada control y acción establecida en la matriz de riesgos.</v>
      </c>
      <c r="AI74" s="15" t="str">
        <f ca="1">IFERROR(__xludf.DUMMYFUNCTION("""COMPUTED_VALUE"""),"30 de abril")</f>
        <v>30 de abril</v>
      </c>
      <c r="AJ74" s="17" t="str">
        <f ca="1">IFERROR(__xludf.DUMMYFUNCTION("""COMPUTED_VALUE"""),"Si")</f>
        <v>Si</v>
      </c>
      <c r="AK74" s="17" t="str">
        <f ca="1">IFERROR(__xludf.DUMMYFUNCTION("""COMPUTED_VALUE"""),"Si")</f>
        <v>Si</v>
      </c>
      <c r="AL74" s="17" t="str">
        <f ca="1">IFERROR(__xludf.DUMMYFUNCTION("""COMPUTED_VALUE"""),"Si")</f>
        <v>Si</v>
      </c>
      <c r="AM74" s="17" t="str">
        <f ca="1">IFERROR(__xludf.DUMMYFUNCTION("""COMPUTED_VALUE"""),"Si")</f>
        <v>Si</v>
      </c>
      <c r="AN74" s="17" t="str">
        <f ca="1">IFERROR(__xludf.DUMMYFUNCTION("""COMPUTED_VALUE"""),"Si")</f>
        <v>Si</v>
      </c>
      <c r="AO74" s="17" t="str">
        <f ca="1">IFERROR(__xludf.DUMMYFUNCTION("""COMPUTED_VALUE"""),"Si")</f>
        <v>Si</v>
      </c>
      <c r="AP74" s="17" t="str">
        <f ca="1">IFERROR(__xludf.DUMMYFUNCTION("""COMPUTED_VALUE"""),"Si")</f>
        <v>Si</v>
      </c>
      <c r="AQ74" s="17" t="str">
        <f ca="1">IFERROR(__xludf.DUMMYFUNCTION("""COMPUTED_VALUE"""),"No")</f>
        <v>No</v>
      </c>
      <c r="AR74" s="17" t="str">
        <f ca="1">IFERROR(__xludf.DUMMYFUNCTION("""COMPUTED_VALUE"""),"No")</f>
        <v>No</v>
      </c>
      <c r="AS74" s="15" t="str">
        <f ca="1">IFERROR(__xludf.DUMMYFUNCTION("""COMPUTED_VALUE"""),"No aplica")</f>
        <v>No aplica</v>
      </c>
      <c r="AT74" s="15" t="str">
        <f ca="1">IFERROR(__xludf.DUMMYFUNCTION("""COMPUTED_VALUE"""),"Recomendación:
Asegurar la ejecución de las acciones asociadas al tratamiento conforme a la periodicidad establecida.")</f>
        <v>Recomendación:
Asegurar la ejecución de las acciones asociadas al tratamiento conforme a la periodicidad establecida.</v>
      </c>
      <c r="AU74" s="10"/>
    </row>
    <row r="75" spans="1:47" ht="48" x14ac:dyDescent="0.25">
      <c r="A75" s="25"/>
      <c r="B75" s="86"/>
      <c r="C75" s="86"/>
      <c r="D75" s="89"/>
      <c r="E75" s="64"/>
      <c r="F75" s="64"/>
      <c r="G75" s="64"/>
      <c r="H75" s="64"/>
      <c r="I75" s="64"/>
      <c r="J75" s="64"/>
      <c r="K75" s="64"/>
      <c r="L75" s="64"/>
      <c r="M75" s="64"/>
      <c r="N75" s="64"/>
      <c r="O75" s="64"/>
      <c r="P75" s="64"/>
      <c r="Q75" s="83"/>
      <c r="R75" s="20" t="str">
        <f ca="1">IFERROR(__xludf.DUMMYFUNCTION("""COMPUTED_VALUE"""),"Atender y dar respuesta y gestión oportuna a las solicitudes de las Facultades en el marco del desarrollo de los proyectos y actividades. ")</f>
        <v xml:space="preserve">Atender y dar respuesta y gestión oportuna a las solicitudes de las Facultades en el marco del desarrollo de los proyectos y actividades. </v>
      </c>
      <c r="S75" s="42" t="str">
        <f ca="1">IFERROR(__xludf.DUMMYFUNCTION("""COMPUTED_VALUE"""),"Mensual ")</f>
        <v xml:space="preserve">Mensual </v>
      </c>
      <c r="T75" s="34" t="str">
        <f ca="1">IFERROR(__xludf.DUMMYFUNCTION("""COMPUTED_VALUE"""),"Consejo Institucional de Proyección Social")</f>
        <v>Consejo Institucional de Proyección Social</v>
      </c>
      <c r="U75" s="20" t="str">
        <f ca="1">IFERROR(__xludf.DUMMYFUNCTION("""COMPUTED_VALUE"""),"Actas de reunión, correos electrónicos o memorandos ")</f>
        <v xml:space="preserve">Actas de reunión, correos electrónicos o memorandos </v>
      </c>
      <c r="V75" s="89"/>
      <c r="W75" s="89"/>
      <c r="X75" s="89"/>
      <c r="Y75" s="89"/>
      <c r="Z75" s="15" t="str">
        <f ca="1">IFERROR(__xludf.DUMMYFUNCTION("""COMPUTED_VALUE"""),"30 de agosto")</f>
        <v>30 de agosto</v>
      </c>
      <c r="AA75" s="17"/>
      <c r="AB75" s="17"/>
      <c r="AC75" s="15"/>
      <c r="AD75" s="17"/>
      <c r="AE75" s="18" t="str">
        <f ca="1">IFERROR(__xludf.DUMMYFUNCTION("""COMPUTED_VALUE"""),"Evidencia")</f>
        <v>Evidencia</v>
      </c>
      <c r="AF75" s="15"/>
      <c r="AG75" s="15"/>
      <c r="AH75" s="15"/>
      <c r="AI75" s="24" t="str">
        <f ca="1">IFERROR(__xludf.DUMMYFUNCTION("""COMPUTED_VALUE"""),"31 de agosto")</f>
        <v>31 de agosto</v>
      </c>
      <c r="AJ75" s="17"/>
      <c r="AK75" s="17"/>
      <c r="AL75" s="17"/>
      <c r="AM75" s="17"/>
      <c r="AN75" s="17"/>
      <c r="AO75" s="17"/>
      <c r="AP75" s="17"/>
      <c r="AQ75" s="17"/>
      <c r="AR75" s="17"/>
      <c r="AS75" s="15"/>
      <c r="AT75" s="15"/>
      <c r="AU75" s="10"/>
    </row>
    <row r="76" spans="1:47" ht="48" x14ac:dyDescent="0.25">
      <c r="A76" s="25"/>
      <c r="B76" s="87"/>
      <c r="C76" s="87"/>
      <c r="D76" s="76"/>
      <c r="E76" s="61"/>
      <c r="F76" s="61"/>
      <c r="G76" s="61"/>
      <c r="H76" s="61"/>
      <c r="I76" s="61"/>
      <c r="J76" s="61"/>
      <c r="K76" s="61"/>
      <c r="L76" s="61"/>
      <c r="M76" s="61"/>
      <c r="N76" s="61"/>
      <c r="O76" s="61"/>
      <c r="P76" s="61"/>
      <c r="Q76" s="84"/>
      <c r="R76" s="26" t="str">
        <f ca="1">IFERROR(__xludf.DUMMYFUNCTION("""COMPUTED_VALUE"""),"Realizar seguimiento y monitoreo en el SIAU de la entrega de informes de avance y finalización de los proyectos de proyección social. ")</f>
        <v xml:space="preserve">Realizar seguimiento y monitoreo en el SIAU de la entrega de informes de avance y finalización de los proyectos de proyección social. </v>
      </c>
      <c r="S76" s="43" t="str">
        <f ca="1">IFERROR(__xludf.DUMMYFUNCTION("""COMPUTED_VALUE"""),"Semestral ")</f>
        <v xml:space="preserve">Semestral </v>
      </c>
      <c r="T76" s="38" t="str">
        <f ca="1">IFERROR(__xludf.DUMMYFUNCTION("""COMPUTED_VALUE"""),"Profesionales de apoyo proyección social")</f>
        <v>Profesionales de apoyo proyección social</v>
      </c>
      <c r="U76" s="26" t="str">
        <f ca="1">IFERROR(__xludf.DUMMYFUNCTION("""COMPUTED_VALUE"""),"Correos electrónicos o SIAU ")</f>
        <v xml:space="preserve">Correos electrónicos o SIAU </v>
      </c>
      <c r="V76" s="76"/>
      <c r="W76" s="76"/>
      <c r="X76" s="76"/>
      <c r="Y76" s="76"/>
      <c r="Z76" s="15" t="str">
        <f ca="1">IFERROR(__xludf.DUMMYFUNCTION("""COMPUTED_VALUE"""),"30 de diciembre")</f>
        <v>30 de diciembre</v>
      </c>
      <c r="AA76" s="17"/>
      <c r="AB76" s="17"/>
      <c r="AC76" s="15"/>
      <c r="AD76" s="17"/>
      <c r="AE76" s="18" t="str">
        <f ca="1">IFERROR(__xludf.DUMMYFUNCTION("""COMPUTED_VALUE"""),"Evidencia")</f>
        <v>Evidencia</v>
      </c>
      <c r="AF76" s="15"/>
      <c r="AG76" s="15"/>
      <c r="AH76" s="15"/>
      <c r="AI76" s="24" t="str">
        <f ca="1">IFERROR(__xludf.DUMMYFUNCTION("""COMPUTED_VALUE"""),"31 de diciembre")</f>
        <v>31 de diciembre</v>
      </c>
      <c r="AJ76" s="17"/>
      <c r="AK76" s="17"/>
      <c r="AL76" s="17"/>
      <c r="AM76" s="17"/>
      <c r="AN76" s="17"/>
      <c r="AO76" s="17"/>
      <c r="AP76" s="17"/>
      <c r="AQ76" s="17"/>
      <c r="AR76" s="17"/>
      <c r="AS76" s="15"/>
      <c r="AT76" s="15"/>
      <c r="AU76" s="10"/>
    </row>
    <row r="77" spans="1:47" ht="204" x14ac:dyDescent="0.25">
      <c r="A77" s="25"/>
      <c r="B77" s="90" t="s">
        <v>66</v>
      </c>
      <c r="C77" s="85" t="str">
        <f ca="1">IFERROR(__xludf.DUMMYFUNCTION("IMPORTRANGE(""https://docs.google.com/spreadsheets/d/13OzqGU_-_fHV5Qq7eXWVMz1UMzC3_KYwhmVKDK1CdoQ/edit?gid=2098233099#gid=2098233099"",""Matriz_riesgos!C11:AT16"")"),"Contribuir a la formación integral de la comunidad universitaria, mediante el diseño y ejecución de programas, que permitan fortalecer las diferentes dimensiones, físicas, psicoafectivas, políticas, cognitivas, culturales, ambientales, estética, social, d"&amp;"el ser humano encaminados a mejorar la calidad de vida. ")</f>
        <v xml:space="preserve">Contribuir a la formación integral de la comunidad universitaria, mediante el diseño y ejecución de programas, que permitan fortalecer las diferentes dimensiones, físicas, psicoafectivas, políticas, cognitivas, culturales, ambientales, estética, social, del ser humano encaminados a mejorar la calidad de vida. </v>
      </c>
      <c r="D77" s="63" t="str">
        <f ca="1">IFERROR(__xludf.DUMMYFUNCTION("""COMPUTED_VALUE"""),"Posibilidad de afectar el acceso oportuno y la participación de la comunidad universitaria en las actividades y servicios de Bienestar Institucional, debido a deficiencias en la validación, actualización y control de la información divulgada, lo que puede"&amp;" generar baja cobertura de los programas.")</f>
        <v>Posibilidad de afectar el acceso oportuno y la participación de la comunidad universitaria en las actividades y servicios de Bienestar Institucional, debido a deficiencias en la validación, actualización y control de la información divulgada, lo que puede generar baja cobertura de los programas.</v>
      </c>
      <c r="E77" s="63" t="str">
        <f ca="1">IFERROR(__xludf.DUMMYFUNCTION("""COMPUTED_VALUE"""),"División de Bienestar Institucional")</f>
        <v>División de Bienestar Institucional</v>
      </c>
      <c r="F77" s="63" t="str">
        <f ca="1">IFERROR(__xludf.DUMMYFUNCTION("""COMPUTED_VALUE"""),"Gestión")</f>
        <v>Gestión</v>
      </c>
      <c r="G77" s="63" t="str">
        <f ca="1">IFERROR(__xludf.DUMMYFUNCTION("""COMPUTED_VALUE"""),"- Deficiencias en la validación previa de la información antes de su divulgación a la comunidad universitaria.
- Falta de actualización oportuna de la información relacionada con las actividades propuestas en los planes de trabajo de cada area de bienesta"&amp;"r.
- Falta de seguimiento y control sobre la información divulgada y los canales utilizados para su publicación.")</f>
        <v>- Deficiencias en la validación previa de la información antes de su divulgación a la comunidad universitaria.
- Falta de actualización oportuna de la información relacionada con las actividades propuestas en los planes de trabajo de cada area de bienestar.
- Falta de seguimiento y control sobre la información divulgada y los canales utilizados para su publicación.</v>
      </c>
      <c r="H77" s="63" t="str">
        <f ca="1">IFERROR(__xludf.DUMMYFUNCTION("""COMPUTED_VALUE"""),"1. Disminución en la participación de la comunidad universitaria en las actividades y servicios de Bienestar Institucional.
2. Baja cobertura de las actividades programadas en los planes de trabajo de las áreas de Bienestar Institucional.
3. Subutilizació"&amp;"n o uso ineficiente de los recursos asignados para la ejecución de las actividades de Bienestar Institucional.
4. Afectación en la calidad y confiabilidad de la información reportada en los informes de gestión del proceso.")</f>
        <v>1. Disminución en la participación de la comunidad universitaria en las actividades y servicios de Bienestar Institucional.
2. Baja cobertura de las actividades programadas en los planes de trabajo de las áreas de Bienestar Institucional.
3. Subutilización o uso ineficiente de los recursos asignados para la ejecución de las actividades de Bienestar Institucional.
4. Afectación en la calidad y confiabilidad de la información reportada en los informes de gestión del proceso.</v>
      </c>
      <c r="I77" s="65" t="str">
        <f ca="1">IFERROR(__xludf.DUMMYFUNCTION("""COMPUTED_VALUE"""),"BIN_01")</f>
        <v>BIN_01</v>
      </c>
      <c r="J77" s="65" t="str">
        <f ca="1">IFERROR(__xludf.DUMMYFUNCTION("""COMPUTED_VALUE"""),"Alta")</f>
        <v>Alta</v>
      </c>
      <c r="K77" s="65" t="str">
        <f ca="1">IFERROR(__xludf.DUMMYFUNCTION("""COMPUTED_VALUE"""),"Moderado")</f>
        <v>Moderado</v>
      </c>
      <c r="L77" s="65" t="str">
        <f ca="1">IFERROR(__xludf.DUMMYFUNCTION("""COMPUTED_VALUE"""),"Alta")</f>
        <v>Alta</v>
      </c>
      <c r="M77" s="63" t="str">
        <f ca="1">IFERROR(__xludf.DUMMYFUNCTION("""COMPUTED_VALUE"""),"- C1: Los coordinadores de área realizan seguimiento mensual a la ejecución de las actividades programadas mediante los registros virtuales (QR), verificando la consistencia de la información de participación frente a las actividades ejecutadas, con el fi"&amp;"n de asegurar la confiabilidad de los datos y la adecuada cobertura de la comunidad universitaria.
- C2: Los coordinadores de área elaboran y remiten mensualmente al jefe de la División de Bienestar Institucional el informe de seguimiento de las metas del"&amp;" plan de acción, el cual es revisado y validado por el jefe, con el fin de verificar la consistencia de la información reportada y asegurar la confiabilidad de los datos para la toma de decisiones.
  ")</f>
        <v xml:space="preserve">- C1: Los coordinadores de área realizan seguimiento mensual a la ejecución de las actividades programadas mediante los registros virtuales (QR), verificando la consistencia de la información de participación frente a las actividades ejecutadas, con el fin de asegurar la confiabilidad de los datos y la adecuada cobertura de la comunidad universitaria.
- C2: Los coordinadores de área elaboran y remiten mensualmente al jefe de la División de Bienestar Institucional el informe de seguimiento de las metas del plan de acción, el cual es revisado y validado por el jefe, con el fin de verificar la consistencia de la información reportada y asegurar la confiabilidad de los datos para la toma de decisiones.
  </v>
      </c>
      <c r="N77" s="65" t="str">
        <f ca="1">IFERROR(__xludf.DUMMYFUNCTION("""COMPUTED_VALUE"""),"Baja")</f>
        <v>Baja</v>
      </c>
      <c r="O77" s="65" t="str">
        <f ca="1">IFERROR(__xludf.DUMMYFUNCTION("""COMPUTED_VALUE"""),"Moderado")</f>
        <v>Moderado</v>
      </c>
      <c r="P77" s="65" t="str">
        <f ca="1">IFERROR(__xludf.DUMMYFUNCTION("""COMPUTED_VALUE"""),"Media")</f>
        <v>Media</v>
      </c>
      <c r="Q77" s="91" t="str">
        <f ca="1">IFERROR(__xludf.DUMMYFUNCTION("""COMPUTED_VALUE"""),"Reducir")</f>
        <v>Reducir</v>
      </c>
      <c r="R77" s="20" t="str">
        <f ca="1">IFERROR(__xludf.DUMMYFUNCTION("""COMPUTED_VALUE"""),"Implementar acciones de mejora en las estrategias y canales de divulgación de las actividades de Bienestar Institucional, con base en los resultados del seguimiento de participación, con el fin de aumentar la cobertura de la comunidad universitaria.")</f>
        <v>Implementar acciones de mejora en las estrategias y canales de divulgación de las actividades de Bienestar Institucional, con base en los resultados del seguimiento de participación, con el fin de aumentar la cobertura de la comunidad universitaria.</v>
      </c>
      <c r="S77" s="40" t="str">
        <f ca="1">IFERROR(__xludf.DUMMYFUNCTION("""COMPUTED_VALUE"""),"Mensual")</f>
        <v>Mensual</v>
      </c>
      <c r="T77" s="14" t="str">
        <f ca="1">IFERROR(__xludf.DUMMYFUNCTION("""COMPUTED_VALUE"""),"Jefe de Bienestar Institucional")</f>
        <v>Jefe de Bienestar Institucional</v>
      </c>
      <c r="U77" s="55" t="str">
        <f ca="1">IFERROR(__xludf.DUMMYFUNCTION("""COMPUTED_VALUE"""),"- Piezas graficas divulgadas")</f>
        <v>- Piezas graficas divulgadas</v>
      </c>
      <c r="V77" s="92" t="str">
        <f ca="1">IFERROR(__xludf.DUMMYFUNCTION("""COMPUTED_VALUE"""),"Activar un plan de contingencia para la divulgación de las actividades de Bienestar Institucional, que incluya la corrección y republicación inmediata de la información, el uso de canales alternativos de comunicación y el seguimiento a la participación, c"&amp;"on el fin de mitigar el impacto en la comunidad universitaria")</f>
        <v>Activar un plan de contingencia para la divulgación de las actividades de Bienestar Institucional, que incluya la corrección y republicación inmediata de la información, el uso de canales alternativos de comunicación y el seguimiento a la participación, con el fin de mitigar el impacto en la comunidad universitaria</v>
      </c>
      <c r="W77" s="97" t="str">
        <f ca="1">IFERROR(__xludf.DUMMYFUNCTION("""COMPUTED_VALUE"""),"
correos de reenvío
publicaciones nuevas
evidencias de difusión adicional
registros de participación posterior")</f>
        <v xml:space="preserve">
correos de reenvío
publicaciones nuevas
evidencias de difusión adicional
registros de participación posterior</v>
      </c>
      <c r="X77" s="97" t="str">
        <f ca="1">IFERROR(__xludf.DUMMYFUNCTION("""COMPUTED_VALUE"""),"Jefe de Bienestar Institucional")</f>
        <v>Jefe de Bienestar Institucional</v>
      </c>
      <c r="Y77" s="97" t="str">
        <f ca="1">IFERROR(__xludf.DUMMYFUNCTION("""COMPUTED_VALUE"""),"1 semana")</f>
        <v>1 semana</v>
      </c>
      <c r="Z77" s="15" t="str">
        <f ca="1">IFERROR(__xludf.DUMMYFUNCTION("""COMPUTED_VALUE"""),"30 de abril")</f>
        <v>30 de abril</v>
      </c>
      <c r="AA77" s="17" t="str">
        <f ca="1">IFERROR(__xludf.DUMMYFUNCTION("""COMPUTED_VALUE"""),"Inicio I Primer Periodo Acedemico")</f>
        <v>Inicio I Primer Periodo Acedemico</v>
      </c>
      <c r="AB77" s="17" t="str">
        <f ca="1">IFERROR(__xludf.DUMMYFUNCTION("""COMPUTED_VALUE"""),"No")</f>
        <v>No</v>
      </c>
      <c r="AC77" s="15" t="str">
        <f ca="1">IFERROR(__xludf.DUMMYFUNCTION("""COMPUTED_VALUE"""),"
Sobre los controles: 
Riesgo 1:
C1: Se verificó la ejecución del control mediante la revisión de los registros generados por el sistema de códigos QR durante los meses de enero a  Abril. Los coordinadores validaron la trazabilidad y coherencia de los "&amp;"datos frente a la programación de actividades  y los criterios de focalización. El control operó efectivamente, mitigando el riesgo de inconsistencias en el reporte de cobertura de la comunidad universitaria.
C2: Conforme a las directrices de la Jefatura"&amp;", cada coordinador gestiono un informe digital mensual en Drive. Este reporte integra las evidencias que sustentan el cumplimiento del plan de acción y certifica que la participación de la comunidad universitaria guarda total correspondencia con las activ"&amp;"idades programadas
Sobre las acciones de tratamiento: 
Acción 1: Se realizo plan de difusion de las estrategias, programas, servicios ofertados desde la divisiond e bienestar institucional a traves de la creación de  piezas publicitarias las cuales fu"&amp;"eran publicadas en las redes sociales de la universidad de Llanos y el micrositio de Bienstar.
")</f>
        <v xml:space="preserve">
Sobre los controles: 
Riesgo 1:
C1: Se verificó la ejecución del control mediante la revisión de los registros generados por el sistema de códigos QR durante los meses de enero a  Abril. Los coordinadores validaron la trazabilidad y coherencia de los datos frente a la programación de actividades  y los criterios de focalización. El control operó efectivamente, mitigando el riesgo de inconsistencias en el reporte de cobertura de la comunidad universitaria.
C2: Conforme a las directrices de la Jefatura, cada coordinador gestiono un informe digital mensual en Drive. Este reporte integra las evidencias que sustentan el cumplimiento del plan de acción y certifica que la participación de la comunidad universitaria guarda total correspondencia con las actividades programadas
Sobre las acciones de tratamiento: 
Acción 1: Se realizo plan de difusion de las estrategias, programas, servicios ofertados desde la divisiond e bienestar institucional a traves de la creación de  piezas publicitarias las cuales fueran publicadas en las redes sociales de la universidad de Llanos y el micrositio de Bienstar.
</v>
      </c>
      <c r="AD77" s="17" t="str">
        <f ca="1">IFERROR(__xludf.DUMMYFUNCTION("""COMPUTED_VALUE"""),"Cada profesional asignado como apoyo de cada una de las áres de la division de Bienestar Institucional ")</f>
        <v xml:space="preserve">Cada profesional asignado como apoyo de cada una de las áres de la division de Bienestar Institucional </v>
      </c>
      <c r="AE77" s="18" t="str">
        <f ca="1">IFERROR(__xludf.DUMMYFUNCTION("""COMPUTED_VALUE"""),"Evidencia")</f>
        <v>Evidencia</v>
      </c>
      <c r="AF77" s="15" t="str">
        <f ca="1">IFERROR(__xludf.DUMMYFUNCTION("""COMPUTED_VALUE"""),"Si")</f>
        <v>Si</v>
      </c>
      <c r="AG77" s="15" t="str">
        <f ca="1">IFERROR(__xludf.DUMMYFUNCTION("""COMPUTED_VALUE"""),"Ejecutada")</f>
        <v>Ejecutada</v>
      </c>
      <c r="AH77" s="15" t="str">
        <f ca="1">IFERROR(__xludf.DUMMYFUNCTION("""COMPUTED_VALUE"""),"C1: Durante el periodo evaluado, se evidenció la verificación de los registros generados mediante códigos QR correspondientes a las actividades desarrolladas por las áreas de Bienestar Institucional, permitiendo validar la participación de la comunidad un"&amp;"iversitaria y la consistencia de la información reportada. Las evidencias fueron organizadas por control, periodo y área, facilitando su trazabilidad y verificación.
C2: Los coordinadores de las diferentes áreas remitieron informes digitales mensuales co"&amp;"n el seguimiento al cumplimiento de metas y actividades programadas, los cuales fueron consolidados y revisados por la Jefatura de Bienestar Institucional. Se evidenció organización adecuada de los soportes por áreas y periodos de seguimiento.
Acción de "&amp;"tratamiento: Se evidenció la divulgación de estrategias, programas y servicios de Bienestar Institucional mediante piezas gráficas publicadas en redes sociales institucionales y en el micrositio de Bienestar, orientadas a fortalecer la cobertura y partici"&amp;"pación de la comunidad universitaria.
Materialización del riesgo: El riesgo no se materializó durante el periodo evaluado.
Conclusión: Los controles y la acción de tratamiento reportados guardan relación con el riesgo identificado y cuentan con evidenci"&amp;"as suficientes, organizadas adecuadamente por control y periodo, permitiendo verificar su ejecución durante el monitoreo realizado.")</f>
        <v>C1: Durante el periodo evaluado, se evidenció la verificación de los registros generados mediante códigos QR correspondientes a las actividades desarrolladas por las áreas de Bienestar Institucional, permitiendo validar la participación de la comunidad universitaria y la consistencia de la información reportada. Las evidencias fueron organizadas por control, periodo y área, facilitando su trazabilidad y verificación.
C2: Los coordinadores de las diferentes áreas remitieron informes digitales mensuales con el seguimiento al cumplimiento de metas y actividades programadas, los cuales fueron consolidados y revisados por la Jefatura de Bienestar Institucional. Se evidenció organización adecuada de los soportes por áreas y periodos de seguimiento.
Acción de tratamiento: Se evidenció la divulgación de estrategias, programas y servicios de Bienestar Institucional mediante piezas gráficas publicadas en redes sociales institucionales y en el micrositio de Bienestar, orientadas a fortalecer la cobertura y participación de la comunidad universitaria.
Materialización del riesgo: El riesgo no se materializó durante el periodo evaluado.
Conclusión: Los controles y la acción de tratamiento reportados guardan relación con el riesgo identificado y cuentan con evidencias suficientes, organizadas adecuadamente por control y periodo, permitiendo verificar su ejecución durante el monitoreo realizado.</v>
      </c>
      <c r="AI77" s="15" t="str">
        <f ca="1">IFERROR(__xludf.DUMMYFUNCTION("""COMPUTED_VALUE"""),"30 de abril")</f>
        <v>30 de abril</v>
      </c>
      <c r="AJ77" s="17" t="str">
        <f ca="1">IFERROR(__xludf.DUMMYFUNCTION("""COMPUTED_VALUE"""),"Si")</f>
        <v>Si</v>
      </c>
      <c r="AK77" s="17" t="str">
        <f ca="1">IFERROR(__xludf.DUMMYFUNCTION("""COMPUTED_VALUE"""),"Si")</f>
        <v>Si</v>
      </c>
      <c r="AL77" s="17" t="str">
        <f ca="1">IFERROR(__xludf.DUMMYFUNCTION("""COMPUTED_VALUE"""),"Si")</f>
        <v>Si</v>
      </c>
      <c r="AM77" s="17" t="str">
        <f ca="1">IFERROR(__xludf.DUMMYFUNCTION("""COMPUTED_VALUE"""),"Si")</f>
        <v>Si</v>
      </c>
      <c r="AN77" s="17" t="str">
        <f ca="1">IFERROR(__xludf.DUMMYFUNCTION("""COMPUTED_VALUE"""),"Si")</f>
        <v>Si</v>
      </c>
      <c r="AO77" s="17" t="str">
        <f ca="1">IFERROR(__xludf.DUMMYFUNCTION("""COMPUTED_VALUE"""),"Si")</f>
        <v>Si</v>
      </c>
      <c r="AP77" s="17" t="str">
        <f ca="1">IFERROR(__xludf.DUMMYFUNCTION("""COMPUTED_VALUE"""),"Si")</f>
        <v>Si</v>
      </c>
      <c r="AQ77" s="17" t="str">
        <f ca="1">IFERROR(__xludf.DUMMYFUNCTION("""COMPUTED_VALUE"""),"No")</f>
        <v>No</v>
      </c>
      <c r="AR77" s="17" t="str">
        <f ca="1">IFERROR(__xludf.DUMMYFUNCTION("""COMPUTED_VALUE"""),"No")</f>
        <v>No</v>
      </c>
      <c r="AS77" s="15" t="str">
        <f ca="1">IFERROR(__xludf.DUMMYFUNCTION("""COMPUTED_VALUE"""),"No aplica")</f>
        <v>No aplica</v>
      </c>
      <c r="AT77" s="15" t="str">
        <f ca="1">IFERROR(__xludf.DUMMYFUNCTION("""COMPUTED_VALUE"""),"Ninguna")</f>
        <v>Ninguna</v>
      </c>
      <c r="AU77" s="10"/>
    </row>
    <row r="78" spans="1:47" x14ac:dyDescent="0.25">
      <c r="A78" s="25"/>
      <c r="B78" s="86"/>
      <c r="C78" s="86"/>
      <c r="D78" s="64"/>
      <c r="E78" s="64"/>
      <c r="F78" s="64"/>
      <c r="G78" s="64"/>
      <c r="H78" s="64"/>
      <c r="I78" s="64"/>
      <c r="J78" s="64"/>
      <c r="K78" s="64"/>
      <c r="L78" s="64"/>
      <c r="M78" s="64"/>
      <c r="N78" s="64"/>
      <c r="O78" s="64"/>
      <c r="P78" s="64"/>
      <c r="Q78" s="83"/>
      <c r="R78" s="20" t="str">
        <f ca="1">IFERROR(__xludf.DUMMYFUNCTION("""COMPUTED_VALUE"""),"")</f>
        <v/>
      </c>
      <c r="S78" s="42" t="str">
        <f ca="1">IFERROR(__xludf.DUMMYFUNCTION("""COMPUTED_VALUE"""),"")</f>
        <v/>
      </c>
      <c r="T78" s="34"/>
      <c r="U78" s="20"/>
      <c r="V78" s="89"/>
      <c r="W78" s="89"/>
      <c r="X78" s="89"/>
      <c r="Y78" s="89"/>
      <c r="Z78" s="15" t="str">
        <f ca="1">IFERROR(__xludf.DUMMYFUNCTION("""COMPUTED_VALUE"""),"30 de agosto")</f>
        <v>30 de agosto</v>
      </c>
      <c r="AA78" s="17"/>
      <c r="AB78" s="17"/>
      <c r="AC78" s="15"/>
      <c r="AD78" s="17"/>
      <c r="AE78" s="18" t="str">
        <f ca="1">IFERROR(__xludf.DUMMYFUNCTION("""COMPUTED_VALUE"""),"Evidencia")</f>
        <v>Evidencia</v>
      </c>
      <c r="AF78" s="15"/>
      <c r="AG78" s="15"/>
      <c r="AH78" s="15"/>
      <c r="AI78" s="24" t="str">
        <f ca="1">IFERROR(__xludf.DUMMYFUNCTION("""COMPUTED_VALUE"""),"31 de agosto")</f>
        <v>31 de agosto</v>
      </c>
      <c r="AJ78" s="17"/>
      <c r="AK78" s="17"/>
      <c r="AL78" s="17"/>
      <c r="AM78" s="17"/>
      <c r="AN78" s="17"/>
      <c r="AO78" s="17"/>
      <c r="AP78" s="17"/>
      <c r="AQ78" s="17"/>
      <c r="AR78" s="17"/>
      <c r="AS78" s="15"/>
      <c r="AT78" s="15"/>
      <c r="AU78" s="10"/>
    </row>
    <row r="79" spans="1:47" x14ac:dyDescent="0.25">
      <c r="A79" s="25"/>
      <c r="B79" s="86"/>
      <c r="C79" s="86"/>
      <c r="D79" s="61"/>
      <c r="E79" s="61"/>
      <c r="F79" s="61"/>
      <c r="G79" s="61"/>
      <c r="H79" s="61"/>
      <c r="I79" s="61"/>
      <c r="J79" s="61"/>
      <c r="K79" s="61"/>
      <c r="L79" s="61"/>
      <c r="M79" s="61"/>
      <c r="N79" s="61"/>
      <c r="O79" s="61"/>
      <c r="P79" s="61"/>
      <c r="Q79" s="84"/>
      <c r="R79" s="26" t="str">
        <f ca="1">IFERROR(__xludf.DUMMYFUNCTION("""COMPUTED_VALUE"""),"")</f>
        <v/>
      </c>
      <c r="S79" s="43" t="str">
        <f ca="1">IFERROR(__xludf.DUMMYFUNCTION("""COMPUTED_VALUE"""),"")</f>
        <v/>
      </c>
      <c r="T79" s="38"/>
      <c r="U79" s="26"/>
      <c r="V79" s="76"/>
      <c r="W79" s="76"/>
      <c r="X79" s="76"/>
      <c r="Y79" s="76"/>
      <c r="Z79" s="15" t="str">
        <f ca="1">IFERROR(__xludf.DUMMYFUNCTION("""COMPUTED_VALUE"""),"30 de diciembre")</f>
        <v>30 de diciembre</v>
      </c>
      <c r="AA79" s="17"/>
      <c r="AB79" s="17"/>
      <c r="AC79" s="15"/>
      <c r="AD79" s="17"/>
      <c r="AE79" s="18" t="str">
        <f ca="1">IFERROR(__xludf.DUMMYFUNCTION("""COMPUTED_VALUE"""),"Evidencia")</f>
        <v>Evidencia</v>
      </c>
      <c r="AF79" s="15"/>
      <c r="AG79" s="15"/>
      <c r="AH79" s="15"/>
      <c r="AI79" s="24" t="str">
        <f ca="1">IFERROR(__xludf.DUMMYFUNCTION("""COMPUTED_VALUE"""),"31 de diciembre")</f>
        <v>31 de diciembre</v>
      </c>
      <c r="AJ79" s="17"/>
      <c r="AK79" s="17"/>
      <c r="AL79" s="17"/>
      <c r="AM79" s="17"/>
      <c r="AN79" s="17"/>
      <c r="AO79" s="17"/>
      <c r="AP79" s="17"/>
      <c r="AQ79" s="17"/>
      <c r="AR79" s="17"/>
      <c r="AS79" s="15"/>
      <c r="AT79" s="15"/>
      <c r="AU79" s="10"/>
    </row>
    <row r="80" spans="1:47" ht="312" x14ac:dyDescent="0.25">
      <c r="A80" s="25"/>
      <c r="B80" s="86"/>
      <c r="C80" s="86"/>
      <c r="D80" s="63" t="str">
        <f ca="1">IFERROR(__xludf.DUMMYFUNCTION("""COMPUTED_VALUE"""),"Afectación económica y reputacional por incumplimiento del plan de acción anual de Bienestar Institucional Universitario, debido a debilidades en el seguimiento a dicho plan.")</f>
        <v>Afectación económica y reputacional por incumplimiento del plan de acción anual de Bienestar Institucional Universitario, debido a debilidades en el seguimiento a dicho plan.</v>
      </c>
      <c r="E80" s="63" t="str">
        <f ca="1">IFERROR(__xludf.DUMMYFUNCTION("""COMPUTED_VALUE"""),"División de Bienestar Institucional")</f>
        <v>División de Bienestar Institucional</v>
      </c>
      <c r="F80" s="63" t="str">
        <f ca="1">IFERROR(__xludf.DUMMYFUNCTION("""COMPUTED_VALUE"""),"Gestión")</f>
        <v>Gestión</v>
      </c>
      <c r="G80" s="63" t="str">
        <f ca="1">IFERROR(__xludf.DUMMYFUNCTION("""COMPUTED_VALUE"""),"- Cambios en el contexto interno o externo que afecten la ejecución del plan de acción de Bienestar
- Recortes en el presupuesto
- Debilidades en el seguimiento al plan de acción de Bienestar")</f>
        <v>- Cambios en el contexto interno o externo que afecten la ejecución del plan de acción de Bienestar
- Recortes en el presupuesto
- Debilidades en el seguimiento al plan de acción de Bienestar</v>
      </c>
      <c r="H80" s="63" t="str">
        <f ca="1">IFERROR(__xludf.DUMMYFUNCTION("""COMPUTED_VALUE"""),"1. Afectación a los indicadores institucionales.
2. Intervención de órganos de control.
3. Insatisfacción de los usuarios de los servicios de bienestar institucional.")</f>
        <v>1. Afectación a los indicadores institucionales.
2. Intervención de órganos de control.
3. Insatisfacción de los usuarios de los servicios de bienestar institucional.</v>
      </c>
      <c r="I80" s="65" t="str">
        <f ca="1">IFERROR(__xludf.DUMMYFUNCTION("""COMPUTED_VALUE"""),"BIN_02")</f>
        <v>BIN_02</v>
      </c>
      <c r="J80" s="65" t="str">
        <f ca="1">IFERROR(__xludf.DUMMYFUNCTION("""COMPUTED_VALUE"""),"Media")</f>
        <v>Media</v>
      </c>
      <c r="K80" s="65" t="str">
        <f ca="1">IFERROR(__xludf.DUMMYFUNCTION("""COMPUTED_VALUE"""),"Moderado")</f>
        <v>Moderado</v>
      </c>
      <c r="L80" s="65" t="str">
        <f ca="1">IFERROR(__xludf.DUMMYFUNCTION("""COMPUTED_VALUE"""),"Alta")</f>
        <v>Alta</v>
      </c>
      <c r="M80" s="63" t="str">
        <f ca="1">IFERROR(__xludf.DUMMYFUNCTION("""COMPUTED_VALUE"""),"- C1: El Consejo Superior Universitario, aprueba el POAI para la vigencia, mediante el cual se aseguran los recursos para la ejecución de diferentes actividades en la Universidad, dentro de ellas el Plan de Acción de Bienestar 
- C2: Los coordinadores de "&amp;"área realizan seguimiento a las acciones establecidas, con el fin de determinar el nivel de cumplimiento y las acciones a seguir en caso de que no sea aceptable dicho nivel
- C3: El jefe de Bienestar Universitario, realiza seguimiento a la ejecución del P"&amp;"lan de Acción de Bienestar, con el fin de determinar acciones en caso de bajo cumplimiento del mismo
 ")</f>
        <v xml:space="preserve">- C1: El Consejo Superior Universitario, aprueba el POAI para la vigencia, mediante el cual se aseguran los recursos para la ejecución de diferentes actividades en la Universidad, dentro de ellas el Plan de Acción de Bienestar 
- C2: Los coordinadores de área realizan seguimiento a las acciones establecidas, con el fin de determinar el nivel de cumplimiento y las acciones a seguir en caso de que no sea aceptable dicho nivel
- C3: El jefe de Bienestar Universitario, realiza seguimiento a la ejecución del Plan de Acción de Bienestar, con el fin de determinar acciones en caso de bajo cumplimiento del mismo
 </v>
      </c>
      <c r="N80" s="65" t="str">
        <f ca="1">IFERROR(__xludf.DUMMYFUNCTION("""COMPUTED_VALUE"""),"Muy baja")</f>
        <v>Muy baja</v>
      </c>
      <c r="O80" s="65" t="str">
        <f ca="1">IFERROR(__xludf.DUMMYFUNCTION("""COMPUTED_VALUE"""),"Moderado")</f>
        <v>Moderado</v>
      </c>
      <c r="P80" s="65" t="str">
        <f ca="1">IFERROR(__xludf.DUMMYFUNCTION("""COMPUTED_VALUE"""),"Media")</f>
        <v>Media</v>
      </c>
      <c r="Q80" s="91" t="str">
        <f ca="1">IFERROR(__xludf.DUMMYFUNCTION("""COMPUTED_VALUE"""),"Reducir")</f>
        <v>Reducir</v>
      </c>
      <c r="R80" s="20" t="str">
        <f ca="1">IFERROR(__xludf.DUMMYFUNCTION("""COMPUTED_VALUE"""),"Consolidar el plan de acción de Bienestar Institucional Universitario")</f>
        <v>Consolidar el plan de acción de Bienestar Institucional Universitario</v>
      </c>
      <c r="S80" s="40" t="str">
        <f ca="1">IFERROR(__xludf.DUMMYFUNCTION("""COMPUTED_VALUE"""),"Mensual")</f>
        <v>Mensual</v>
      </c>
      <c r="T80" s="32" t="str">
        <f ca="1">IFERROR(__xludf.DUMMYFUNCTION("""COMPUTED_VALUE"""),"Jefe de Bienestar Institucional")</f>
        <v>Jefe de Bienestar Institucional</v>
      </c>
      <c r="U80" s="41" t="str">
        <f ca="1">IFERROR(__xludf.DUMMYFUNCTION("""COMPUTED_VALUE"""),"Plan de Acción de Bienestar Institucional")</f>
        <v>Plan de Acción de Bienestar Institucional</v>
      </c>
      <c r="V80" s="92" t="str">
        <f ca="1">IFERROR(__xludf.DUMMYFUNCTION("""COMPUTED_VALUE"""),"Modificar el plan de acción de Bienestar Institucional, de acuerdo a los cambios que se presenten en el contexto interno o externo.")</f>
        <v>Modificar el plan de acción de Bienestar Institucional, de acuerdo a los cambios que se presenten en el contexto interno o externo.</v>
      </c>
      <c r="W80" s="97" t="str">
        <f ca="1">IFERROR(__xludf.DUMMYFUNCTION("""COMPUTED_VALUE"""),"Actas de Consejo de Bienestar Institucional")</f>
        <v>Actas de Consejo de Bienestar Institucional</v>
      </c>
      <c r="X80" s="97" t="str">
        <f ca="1">IFERROR(__xludf.DUMMYFUNCTION("""COMPUTED_VALUE"""),"Consejo de Bienestar Institucional")</f>
        <v>Consejo de Bienestar Institucional</v>
      </c>
      <c r="Y80" s="97" t="str">
        <f ca="1">IFERROR(__xludf.DUMMYFUNCTION("""COMPUTED_VALUE"""),"2 meses")</f>
        <v>2 meses</v>
      </c>
      <c r="Z80" s="15" t="str">
        <f ca="1">IFERROR(__xludf.DUMMYFUNCTION("""COMPUTED_VALUE"""),"30 de abril")</f>
        <v>30 de abril</v>
      </c>
      <c r="AA80" s="17" t="str">
        <f ca="1">IFERROR(__xludf.DUMMYFUNCTION("""COMPUTED_VALUE"""),"ENE-ABR")</f>
        <v>ENE-ABR</v>
      </c>
      <c r="AB80" s="17" t="str">
        <f ca="1">IFERROR(__xludf.DUMMYFUNCTION("""COMPUTED_VALUE"""),"No")</f>
        <v>No</v>
      </c>
      <c r="AC80" s="15" t="str">
        <f ca="1">IFERROR(__xludf.DUMMYFUNCTION("""COMPUTED_VALUE"""),"Sobre los controles: 
Riesgo 2:
C1: Se realizo la presentación del Plan Operativo Anual de Inversión (POAI) dentro de los términos establecidos en noviembre de 2025 con la aprobación oficial el 10 de diciembre de 2025, mediante la Resolución 035 de 2025"&amp;". Con este acto administrativo, se garantizó la asignación presupuestal para las actividades programadas en la vigencia 2026, cumpliendo con el objetivo de asegurar la suficiencia financiera institucional.
C2: Cada coordinador  realiza  seguimiento a las "&amp;"acciones del plan de accion 2026 lo cual es enviado a través de correo electroncio a jefatura para su respectiva revisión
C3: El jefe de binestar realiza seguimiento al Plan de acción   con base a las acciones reportadas por cada una de las áreas, generan"&amp;"dose un informe de la ejecución de las acciones
Sobre las acciones de tratamiento: 
Acción 2: Se  realizao una proyeccion del Plan de Acción el cual fue presentado ante el consejo de  Bienstar Universitario para su  respectiva aprobación , lo cual es s"&amp;"oportado con el acta del consejo ")</f>
        <v xml:space="preserve">Sobre los controles: 
Riesgo 2:
C1: Se realizo la presentación del Plan Operativo Anual de Inversión (POAI) dentro de los términos establecidos en noviembre de 2025 con la aprobación oficial el 10 de diciembre de 2025, mediante la Resolución 035 de 2025. Con este acto administrativo, se garantizó la asignación presupuestal para las actividades programadas en la vigencia 2026, cumpliendo con el objetivo de asegurar la suficiencia financiera institucional.
C2: Cada coordinador  realiza  seguimiento a las acciones del plan de accion 2026 lo cual es enviado a través de correo electroncio a jefatura para su respectiva revisión
C3: El jefe de binestar realiza seguimiento al Plan de acción   con base a las acciones reportadas por cada una de las áreas, generandose un informe de la ejecución de las acciones
Sobre las acciones de tratamiento: 
Acción 2: Se  realizao una proyeccion del Plan de Acción el cual fue presentado ante el consejo de  Bienstar Universitario para su  respectiva aprobación , lo cual es soportado con el acta del consejo </v>
      </c>
      <c r="AD80" s="17" t="str">
        <f ca="1">IFERROR(__xludf.DUMMYFUNCTION("""COMPUTED_VALUE"""),"Bienestar")</f>
        <v>Bienestar</v>
      </c>
      <c r="AE80" s="18" t="str">
        <f ca="1">IFERROR(__xludf.DUMMYFUNCTION("""COMPUTED_VALUE"""),"Evidencia")</f>
        <v>Evidencia</v>
      </c>
      <c r="AF80" s="15" t="str">
        <f ca="1">IFERROR(__xludf.DUMMYFUNCTION("""COMPUTED_VALUE"""),"Si")</f>
        <v>Si</v>
      </c>
      <c r="AG80" s="15" t="str">
        <f ca="1">IFERROR(__xludf.DUMMYFUNCTION("""COMPUTED_VALUE"""),"Ejecutada")</f>
        <v>Ejecutada</v>
      </c>
      <c r="AH80" s="15" t="str">
        <f ca="1">IFERROR(__xludf.DUMMYFUNCTION("""COMPUTED_VALUE"""),"C1: Se evidenció la aprobación del Plan Operativo Anual de Inversión (POAI) para la vigencia 2026 mediante la Resolución Superior No. 035 de 2025, garantizando la asignación de recursos para la ejecución de las actividades contempladas en el Plan de Acció"&amp;"n de Bienestar Institucional.
C2: Los coordinadores de las diferentes áreas realizaron seguimiento a las acciones establecidas en el Plan de Acción 2026 y remitieron los avances a la Jefatura de Bienestar Institucional para su revisión. Las evidencias se"&amp;" encuentran organizadas por áreas, permitiendo verificar la trazabilidad del seguimiento efectuado.
C3: El Jefe de Bienestar Institucional realizó seguimiento a la ejecución del Plan de Acción con base en los reportes suministrados por las áreas, evidenc"&amp;"iándose informe consolidado del avance correspondiente al periodo enero-marzo 2026.
Acción de tratamiento 1: Se evidenció soporte relacionado con la consolidación y proyección del Plan de Acción de Bienestar Institucional Universitario para la vigencia 2"&amp;"026. No obstante, esta actividad no fue descrita dentro del reporte diligenciado por el proceso, por lo que se recomienda que en próximos monitoreos se relacione expresamente la ejecución de esta acción junto con sus respectivos avances y resultados.
Acc"&amp;"ión de tratamiento 2: Se evidenció la implementación de una herramienta en Excel para el seguimiento al Plan de Acción de Bienestar Institucional, así como su presentación ante el Consejo de Bienestar Universitario. Sin embargo, se recomienda fortalecer l"&amp;"a descripción reportada, detallando de manera más clara la herramienta establecida, su finalidad y la forma en que contribuye al seguimiento y control del plan de acción.
Materialización del riesgo: El riesgo no se materializó durante el periodo evaluado"&amp;".
Conclusión: Los controles y acciones de tratamiento reportados guardan relación con el riesgo identificado y cuentan con evidencias suficientes para verificar su ejecución. Las evidencias presentan adecuada organización por controles y áreas, facilitan"&amp;"do su validación durante el monitoreo.")</f>
        <v>C1: Se evidenció la aprobación del Plan Operativo Anual de Inversión (POAI) para la vigencia 2026 mediante la Resolución Superior No. 035 de 2025, garantizando la asignación de recursos para la ejecución de las actividades contempladas en el Plan de Acción de Bienestar Institucional.
C2: Los coordinadores de las diferentes áreas realizaron seguimiento a las acciones establecidas en el Plan de Acción 2026 y remitieron los avances a la Jefatura de Bienestar Institucional para su revisión. Las evidencias se encuentran organizadas por áreas, permitiendo verificar la trazabilidad del seguimiento efectuado.
C3: El Jefe de Bienestar Institucional realizó seguimiento a la ejecución del Plan de Acción con base en los reportes suministrados por las áreas, evidenciándose informe consolidado del avance correspondiente al periodo enero-marzo 2026.
Acción de tratamiento 1: Se evidenció soporte relacionado con la consolidación y proyección del Plan de Acción de Bienestar Institucional Universitario para la vigencia 2026. No obstante, esta actividad no fue descrita dentro del reporte diligenciado por el proceso, por lo que se recomienda que en próximos monitoreos se relacione expresamente la ejecución de esta acción junto con sus respectivos avances y resultados.
Acción de tratamiento 2: Se evidenció la implementación de una herramienta en Excel para el seguimiento al Plan de Acción de Bienestar Institucional, así como su presentación ante el Consejo de Bienestar Universitario. Sin embargo, se recomienda fortalecer la descripción reportada, detallando de manera más clara la herramienta establecida, su finalidad y la forma en que contribuye al seguimiento y control del plan de acción.
Materialización del riesgo: El riesgo no se materializó durante el periodo evaluado.
Conclusión: Los controles y acciones de tratamiento reportados guardan relación con el riesgo identificado y cuentan con evidencias suficientes para verificar su ejecución. Las evidencias presentan adecuada organización por controles y áreas, facilitando su validación durante el monitoreo.</v>
      </c>
      <c r="AI80" s="15" t="str">
        <f ca="1">IFERROR(__xludf.DUMMYFUNCTION("""COMPUTED_VALUE"""),"30 de abril")</f>
        <v>30 de abril</v>
      </c>
      <c r="AJ80" s="17" t="str">
        <f ca="1">IFERROR(__xludf.DUMMYFUNCTION("""COMPUTED_VALUE"""),"Si")</f>
        <v>Si</v>
      </c>
      <c r="AK80" s="17" t="str">
        <f ca="1">IFERROR(__xludf.DUMMYFUNCTION("""COMPUTED_VALUE"""),"Si")</f>
        <v>Si</v>
      </c>
      <c r="AL80" s="17" t="str">
        <f ca="1">IFERROR(__xludf.DUMMYFUNCTION("""COMPUTED_VALUE"""),"Si")</f>
        <v>Si</v>
      </c>
      <c r="AM80" s="17" t="str">
        <f ca="1">IFERROR(__xludf.DUMMYFUNCTION("""COMPUTED_VALUE"""),"Si")</f>
        <v>Si</v>
      </c>
      <c r="AN80" s="17" t="str">
        <f ca="1">IFERROR(__xludf.DUMMYFUNCTION("""COMPUTED_VALUE"""),"Si")</f>
        <v>Si</v>
      </c>
      <c r="AO80" s="17" t="str">
        <f ca="1">IFERROR(__xludf.DUMMYFUNCTION("""COMPUTED_VALUE"""),"Si")</f>
        <v>Si</v>
      </c>
      <c r="AP80" s="17" t="str">
        <f ca="1">IFERROR(__xludf.DUMMYFUNCTION("""COMPUTED_VALUE"""),"Si")</f>
        <v>Si</v>
      </c>
      <c r="AQ80" s="17" t="str">
        <f ca="1">IFERROR(__xludf.DUMMYFUNCTION("""COMPUTED_VALUE"""),"No")</f>
        <v>No</v>
      </c>
      <c r="AR80" s="17" t="str">
        <f ca="1">IFERROR(__xludf.DUMMYFUNCTION("""COMPUTED_VALUE"""),"No")</f>
        <v>No</v>
      </c>
      <c r="AS80" s="15" t="str">
        <f ca="1">IFERROR(__xludf.DUMMYFUNCTION("""COMPUTED_VALUE"""),"No aplica")</f>
        <v>No aplica</v>
      </c>
      <c r="AT80" s="15" t="str">
        <f ca="1">IFERROR(__xludf.DUMMYFUNCTION("""COMPUTED_VALUE"""),"Ninguna")</f>
        <v>Ninguna</v>
      </c>
      <c r="AU80" s="10"/>
    </row>
    <row r="81" spans="1:47" ht="36" x14ac:dyDescent="0.25">
      <c r="A81" s="25"/>
      <c r="B81" s="86"/>
      <c r="C81" s="86"/>
      <c r="D81" s="64"/>
      <c r="E81" s="64"/>
      <c r="F81" s="64"/>
      <c r="G81" s="64"/>
      <c r="H81" s="64"/>
      <c r="I81" s="64"/>
      <c r="J81" s="64"/>
      <c r="K81" s="64"/>
      <c r="L81" s="64"/>
      <c r="M81" s="64"/>
      <c r="N81" s="64"/>
      <c r="O81" s="64"/>
      <c r="P81" s="64"/>
      <c r="Q81" s="83"/>
      <c r="R81" s="20" t="str">
        <f ca="1">IFERROR(__xludf.DUMMYFUNCTION("""COMPUTED_VALUE"""),"Diseñar una herramienta que permita realizar el seguimiento al Plan de acción de Bienestar Institucional Universitario")</f>
        <v>Diseñar una herramienta que permita realizar el seguimiento al Plan de acción de Bienestar Institucional Universitario</v>
      </c>
      <c r="S81" s="42" t="str">
        <f ca="1">IFERROR(__xludf.DUMMYFUNCTION("""COMPUTED_VALUE"""),"Mensual")</f>
        <v>Mensual</v>
      </c>
      <c r="T81" s="34" t="str">
        <f ca="1">IFERROR(__xludf.DUMMYFUNCTION("""COMPUTED_VALUE"""),"Jefe de Bienestar Institucional")</f>
        <v>Jefe de Bienestar Institucional</v>
      </c>
      <c r="U81" s="20" t="str">
        <f ca="1">IFERROR(__xludf.DUMMYFUNCTION("""COMPUTED_VALUE"""),"Herramienta de seguimiento")</f>
        <v>Herramienta de seguimiento</v>
      </c>
      <c r="V81" s="89"/>
      <c r="W81" s="89"/>
      <c r="X81" s="89"/>
      <c r="Y81" s="89"/>
      <c r="Z81" s="15" t="str">
        <f ca="1">IFERROR(__xludf.DUMMYFUNCTION("""COMPUTED_VALUE"""),"30 de agosto")</f>
        <v>30 de agosto</v>
      </c>
      <c r="AA81" s="17"/>
      <c r="AB81" s="17"/>
      <c r="AC81" s="15"/>
      <c r="AD81" s="17"/>
      <c r="AE81" s="18" t="str">
        <f ca="1">IFERROR(__xludf.DUMMYFUNCTION("""COMPUTED_VALUE"""),"Evidencia")</f>
        <v>Evidencia</v>
      </c>
      <c r="AF81" s="15"/>
      <c r="AG81" s="15"/>
      <c r="AH81" s="15"/>
      <c r="AI81" s="24" t="str">
        <f ca="1">IFERROR(__xludf.DUMMYFUNCTION("""COMPUTED_VALUE"""),"31 de agosto")</f>
        <v>31 de agosto</v>
      </c>
      <c r="AJ81" s="17"/>
      <c r="AK81" s="17"/>
      <c r="AL81" s="17"/>
      <c r="AM81" s="17"/>
      <c r="AN81" s="17"/>
      <c r="AO81" s="17"/>
      <c r="AP81" s="17"/>
      <c r="AQ81" s="17"/>
      <c r="AR81" s="17"/>
      <c r="AS81" s="15"/>
      <c r="AT81" s="15"/>
      <c r="AU81" s="10"/>
    </row>
    <row r="82" spans="1:47" x14ac:dyDescent="0.25">
      <c r="A82" s="25"/>
      <c r="B82" s="87"/>
      <c r="C82" s="87"/>
      <c r="D82" s="61"/>
      <c r="E82" s="61"/>
      <c r="F82" s="61"/>
      <c r="G82" s="61"/>
      <c r="H82" s="61"/>
      <c r="I82" s="61"/>
      <c r="J82" s="61"/>
      <c r="K82" s="61"/>
      <c r="L82" s="61"/>
      <c r="M82" s="61"/>
      <c r="N82" s="61"/>
      <c r="O82" s="61"/>
      <c r="P82" s="61"/>
      <c r="Q82" s="84"/>
      <c r="R82" s="26" t="str">
        <f ca="1">IFERROR(__xludf.DUMMYFUNCTION("""COMPUTED_VALUE"""),"")</f>
        <v/>
      </c>
      <c r="S82" s="43" t="str">
        <f ca="1">IFERROR(__xludf.DUMMYFUNCTION("""COMPUTED_VALUE"""),"")</f>
        <v/>
      </c>
      <c r="T82" s="38"/>
      <c r="U82" s="26"/>
      <c r="V82" s="76"/>
      <c r="W82" s="76"/>
      <c r="X82" s="76"/>
      <c r="Y82" s="76"/>
      <c r="Z82" s="15" t="str">
        <f ca="1">IFERROR(__xludf.DUMMYFUNCTION("""COMPUTED_VALUE"""),"30 de diciembre")</f>
        <v>30 de diciembre</v>
      </c>
      <c r="AA82" s="17"/>
      <c r="AB82" s="17"/>
      <c r="AC82" s="15"/>
      <c r="AD82" s="17"/>
      <c r="AE82" s="18" t="str">
        <f ca="1">IFERROR(__xludf.DUMMYFUNCTION("""COMPUTED_VALUE"""),"Evidencia")</f>
        <v>Evidencia</v>
      </c>
      <c r="AF82" s="15"/>
      <c r="AG82" s="15"/>
      <c r="AH82" s="15"/>
      <c r="AI82" s="24" t="str">
        <f ca="1">IFERROR(__xludf.DUMMYFUNCTION("""COMPUTED_VALUE"""),"31 de diciembre")</f>
        <v>31 de diciembre</v>
      </c>
      <c r="AJ82" s="17"/>
      <c r="AK82" s="17"/>
      <c r="AL82" s="17"/>
      <c r="AM82" s="17"/>
      <c r="AN82" s="17"/>
      <c r="AO82" s="17"/>
      <c r="AP82" s="17"/>
      <c r="AQ82" s="17"/>
      <c r="AR82" s="17"/>
      <c r="AS82" s="15"/>
      <c r="AT82" s="15"/>
      <c r="AU82" s="10"/>
    </row>
    <row r="83" spans="1:47" ht="252" x14ac:dyDescent="0.25">
      <c r="A83" s="25"/>
      <c r="B83" s="120" t="s">
        <v>67</v>
      </c>
      <c r="C83" s="123" t="str">
        <f ca="1">IFERROR(__xludf.DUMMYFUNCTION("IMPORTRANGE(""https://docs.google.com/spreadsheets/d/16gnebvln5D6mVTKZIPhsRkNrefLUtPApHS_UZLdmiCQ/edit?gid=2098233099#gid=2098233099"",""Matriz_riesgos!C11:AT28"")"),"Planear, definir y desarrollar con eficiencia y eficacia los servicios administrativos para la gestión del talento humano en la Universidad de los Llanos mediante el establecimiento de lineamientos, ejecución de acciones y seguimiento en las etapas de sel"&amp;"ección, vinculación, trayectoria y desvinculación del personal en la Institución; cumpliendo los requerimientos técnicos y legales vigentes; así como la ralización de la autoevaluación del proceso para promover la mejora continua, orientada a la misión, v"&amp;"isión y objetivos institucionales. ")</f>
        <v xml:space="preserve">Planear, definir y desarrollar con eficiencia y eficacia los servicios administrativos para la gestión del talento humano en la Universidad de los Llanos mediante el establecimiento de lineamientos, ejecución de acciones y seguimiento en las etapas de selección, vinculación, trayectoria y desvinculación del personal en la Institución; cumpliendo los requerimientos técnicos y legales vigentes; así como la ralización de la autoevaluación del proceso para promover la mejora continua, orientada a la misión, visión y objetivos institucionales. </v>
      </c>
      <c r="D83" s="88" t="str">
        <f ca="1">IFERROR(__xludf.DUMMYFUNCTION("""COMPUTED_VALUE"""),"Prosibilidad de afectación reputacional por vinculación y/o promoción de docentes que no cumplan con los requisitos y competencias requeridas.")</f>
        <v>Prosibilidad de afectación reputacional por vinculación y/o promoción de docentes que no cumplan con los requisitos y competencias requeridas.</v>
      </c>
      <c r="E83" s="63" t="str">
        <f ca="1">IFERROR(__xludf.DUMMYFUNCTION("""COMPUTED_VALUE"""),"Oficina de asuntos docentes")</f>
        <v>Oficina de asuntos docentes</v>
      </c>
      <c r="F83" s="63" t="str">
        <f ca="1">IFERROR(__xludf.DUMMYFUNCTION("""COMPUTED_VALUE"""),"Gestión")</f>
        <v>Gestión</v>
      </c>
      <c r="G83" s="63" t="str">
        <f ca="1">IFERROR(__xludf.DUMMYFUNCTION("""COMPUTED_VALUE"""),"- Ausencia de controles efectivos para la contratación de docentes idóneos
- Aprobación contratación de docentes por necesidad del servicio desde las Facultades
- Omisión de los procedimientos para contratación de docentes")</f>
        <v>- Ausencia de controles efectivos para la contratación de docentes idóneos
- Aprobación contratación de docentes por necesidad del servicio desde las Facultades
- Omisión de los procedimientos para contratación de docentes</v>
      </c>
      <c r="H83" s="63" t="str">
        <f ca="1">IFERROR(__xludf.DUMMYFUNCTION("""COMPUTED_VALUE"""),"1. Incumplimiento de los principios de transparencia y seleccion de la contrataciòn pública
2. Procesos sancionatorios, Disciplinarios y penales
3. Pérdida de la imagen y credibilidad institucional
4. Intervencion de organos de control")</f>
        <v>1. Incumplimiento de los principios de transparencia y seleccion de la contrataciòn pública
2. Procesos sancionatorios, Disciplinarios y penales
3. Pérdida de la imagen y credibilidad institucional
4. Intervencion de organos de control</v>
      </c>
      <c r="I83" s="65" t="str">
        <f ca="1">IFERROR(__xludf.DUMMYFUNCTION("""COMPUTED_VALUE"""),"GTH_01")</f>
        <v>GTH_01</v>
      </c>
      <c r="J83" s="65" t="str">
        <f ca="1">IFERROR(__xludf.DUMMYFUNCTION("""COMPUTED_VALUE"""),"Media")</f>
        <v>Media</v>
      </c>
      <c r="K83" s="65" t="str">
        <f ca="1">IFERROR(__xludf.DUMMYFUNCTION("""COMPUTED_VALUE"""),"Menor")</f>
        <v>Menor</v>
      </c>
      <c r="L83" s="65" t="str">
        <f ca="1">IFERROR(__xludf.DUMMYFUNCTION("""COMPUTED_VALUE"""),"Media")</f>
        <v>Media</v>
      </c>
      <c r="M83" s="63" t="str">
        <f ca="1">IFERROR(__xludf.DUMMYFUNCTION("""COMPUTED_VALUE"""),"- Los profesionales de la Oficina de Asuntos Docentes, realizan de manera semestral la verificación de los títulos académicos de los docentes vinculados, con el fin de garantizar su validez
- El Jefe de Asuntos Docentes semestralmente sensibiliza semestra"&amp;"lmente, durante la inducción y reinducción, a los directores de las unidades académicas sobre el uso del bando de datos de docentes, con el fin de que hagan uso del mismo
- Los profesionales de la Oficina de Asuntos Docentes, actualizan anualmente el banc"&amp;"o de datos de docentes, con el fin registrar información vigente de los perfiles de los docentes y aspirantes - El Comité Asignación y Reconocimiento de Puntaje -CARP- evalúa las hojas de vida de los docentes nuevos, cada vez que hay contratación o necesi"&amp;"dad académica ")</f>
        <v xml:space="preserve">- Los profesionales de la Oficina de Asuntos Docentes, realizan de manera semestral la verificación de los títulos académicos de los docentes vinculados, con el fin de garantizar su validez
- El Jefe de Asuntos Docentes semestralmente sensibiliza semestralmente, durante la inducción y reinducción, a los directores de las unidades académicas sobre el uso del bando de datos de docentes, con el fin de que hagan uso del mismo
- Los profesionales de la Oficina de Asuntos Docentes, actualizan anualmente el banco de datos de docentes, con el fin registrar información vigente de los perfiles de los docentes y aspirantes - El Comité Asignación y Reconocimiento de Puntaje -CARP- evalúa las hojas de vida de los docentes nuevos, cada vez que hay contratación o necesidad académica </v>
      </c>
      <c r="N83" s="65" t="str">
        <f ca="1">IFERROR(__xludf.DUMMYFUNCTION("""COMPUTED_VALUE"""),"Muy baja")</f>
        <v>Muy baja</v>
      </c>
      <c r="O83" s="65" t="str">
        <f ca="1">IFERROR(__xludf.DUMMYFUNCTION("""COMPUTED_VALUE"""),"Menor")</f>
        <v>Menor</v>
      </c>
      <c r="P83" s="65" t="str">
        <f ca="1">IFERROR(__xludf.DUMMYFUNCTION("""COMPUTED_VALUE"""),"Baja")</f>
        <v>Baja</v>
      </c>
      <c r="Q83" s="91" t="str">
        <f ca="1">IFERROR(__xludf.DUMMYFUNCTION("""COMPUTED_VALUE"""),"Aceptar")</f>
        <v>Aceptar</v>
      </c>
      <c r="R83" s="20" t="str">
        <f ca="1">IFERROR(__xludf.DUMMYFUNCTION("""COMPUTED_VALUE"""),"Debido a que se acepta el riesgo, no se establecen acciones de tratamiento, sin embargo, se monitorea la aplicación de controles")</f>
        <v>Debido a que se acepta el riesgo, no se establecen acciones de tratamiento, sin embargo, se monitorea la aplicación de controles</v>
      </c>
      <c r="S83" s="40" t="str">
        <f ca="1">IFERROR(__xludf.DUMMYFUNCTION("""COMPUTED_VALUE"""),"N/A")</f>
        <v>N/A</v>
      </c>
      <c r="T83" s="14" t="str">
        <f ca="1">IFERROR(__xludf.DUMMYFUNCTION("""COMPUTED_VALUE"""),"N/A")</f>
        <v>N/A</v>
      </c>
      <c r="U83" s="55" t="str">
        <f ca="1">IFERROR(__xludf.DUMMYFUNCTION("""COMPUTED_VALUE"""),"N/A")</f>
        <v>N/A</v>
      </c>
      <c r="V83" s="92" t="str">
        <f ca="1">IFERROR(__xludf.DUMMYFUNCTION("""COMPUTED_VALUE"""),"Se remite el caso a la Oficina Jurídica con el fin de que se realicen las actuaciones pertinentes")</f>
        <v>Se remite el caso a la Oficina Jurídica con el fin de que se realicen las actuaciones pertinentes</v>
      </c>
      <c r="W83" s="97" t="str">
        <f ca="1">IFERROR(__xludf.DUMMYFUNCTION("""COMPUTED_VALUE"""),"Correo electrónico")</f>
        <v>Correo electrónico</v>
      </c>
      <c r="X83" s="97" t="str">
        <f ca="1">IFERROR(__xludf.DUMMYFUNCTION("""COMPUTED_VALUE"""),"Jefe de Oficina Asuntos Docentes")</f>
        <v>Jefe de Oficina Asuntos Docentes</v>
      </c>
      <c r="Y83" s="97" t="str">
        <f ca="1">IFERROR(__xludf.DUMMYFUNCTION("""COMPUTED_VALUE"""),"Inmediato ")</f>
        <v xml:space="preserve">Inmediato </v>
      </c>
      <c r="Z83" s="15" t="str">
        <f ca="1">IFERROR(__xludf.DUMMYFUNCTION("""COMPUTED_VALUE"""),"30 de abril")</f>
        <v>30 de abril</v>
      </c>
      <c r="AA83" s="17" t="str">
        <f ca="1">IFERROR(__xludf.DUMMYFUNCTION("""COMPUTED_VALUE"""),"a 29/04/2026")</f>
        <v>a 29/04/2026</v>
      </c>
      <c r="AB83" s="17" t="str">
        <f ca="1">IFERROR(__xludf.DUMMYFUNCTION("""COMPUTED_VALUE"""),"No")</f>
        <v>No</v>
      </c>
      <c r="AC83" s="15" t="str">
        <f ca="1">IFERROR(__xludf.DUMMYFUNCTION("""COMPUTED_VALUE"""),"Al corte del monitoreo NO se materializó el riesgo. 
Reporte acciones de tratamiento: 
Debido a que se acepta el riesgo, no se establecen acciones de tratamiento, sin embargo se aplican los controles establecidos.
Reporte sobre los controles:
Control "&amp;"1: Se recopiló la información de los títulos a verificar según las valoraciones de hoja de vida avaladas por el CARP, y se inicia el proceso de verificación. Se adjunta documento en excel y muestra de las verificaciones realizas a la fecha.
Control 2: A "&amp;"fin de dar cumplimiento a este control, el día 22 de enero de 2026 se presentó a los nuevos secretarios académicos y directores de unidades académicas en una inducción organizada por la Vicerrectoría Académica,  el instructivo para acceder al banco de dat"&amp;"os. Se adjunta el correo de invitación a la jornada y la presentación con el instructivo.
Control 3: En este periodo de reporte, aún no se ha ejecutado este control.
Control 4: En este periodo se realizaron las sesiones número 01 (19/01/2026), 02 (26/01"&amp;"/2026),  03 (03/02/2026), 04 (06/02/2026), 05 (18/02/2026), 06 (04/03/2026) y 08 (06/04/2026) del Comité de Asignación y Reconocimiento de Puntaje CARP, donde se avalaron las valoraciones de hoja de vida de docentes nuevos ocasionales y catedráticos selec"&amp;"cionados por convocatoria, y docentes catedráticos que ingresan por necesidad de servicio. Se adjuntan las valoraciones avaladas en estas sesiones.
")</f>
        <v xml:space="preserve">Al corte del monitoreo NO se materializó el riesgo. 
Reporte acciones de tratamiento: 
Debido a que se acepta el riesgo, no se establecen acciones de tratamiento, sin embargo se aplican los controles establecidos.
Reporte sobre los controles:
Control 1: Se recopiló la información de los títulos a verificar según las valoraciones de hoja de vida avaladas por el CARP, y se inicia el proceso de verificación. Se adjunta documento en excel y muestra de las verificaciones realizas a la fecha.
Control 2: A fin de dar cumplimiento a este control, el día 22 de enero de 2026 se presentó a los nuevos secretarios académicos y directores de unidades académicas en una inducción organizada por la Vicerrectoría Académica,  el instructivo para acceder al banco de datos. Se adjunta el correo de invitación a la jornada y la presentación con el instructivo.
Control 3: En este periodo de reporte, aún no se ha ejecutado este control.
Control 4: En este periodo se realizaron las sesiones número 01 (19/01/2026), 02 (26/01/2026),  03 (03/02/2026), 04 (06/02/2026), 05 (18/02/2026), 06 (04/03/2026) y 08 (06/04/2026) del Comité de Asignación y Reconocimiento de Puntaje CARP, donde se avalaron las valoraciones de hoja de vida de docentes nuevos ocasionales y catedráticos seleccionados por convocatoria, y docentes catedráticos que ingresan por necesidad de servicio. Se adjuntan las valoraciones avaladas en estas sesiones.
</v>
      </c>
      <c r="AD83" s="17" t="str">
        <f ca="1">IFERROR(__xludf.DUMMYFUNCTION("""COMPUTED_VALUE"""),"Jefe de la Oficina de Asuntos Docentes")</f>
        <v>Jefe de la Oficina de Asuntos Docentes</v>
      </c>
      <c r="AE83" s="18" t="str">
        <f ca="1">IFERROR(__xludf.DUMMYFUNCTION("""COMPUTED_VALUE"""),"Evidencia")</f>
        <v>Evidencia</v>
      </c>
      <c r="AF83" s="15" t="str">
        <f ca="1">IFERROR(__xludf.DUMMYFUNCTION("""COMPUTED_VALUE"""),"Si")</f>
        <v>Si</v>
      </c>
      <c r="AG83" s="15" t="str">
        <f ca="1">IFERROR(__xludf.DUMMYFUNCTION("""COMPUTED_VALUE"""),"Ejecutada")</f>
        <v>Ejecutada</v>
      </c>
      <c r="AH83" s="15" t="str">
        <f ca="1">IFERROR(__xludf.DUMMYFUNCTION("""COMPUTED_VALUE"""),"C1: Se evidenció la verificación de títulos académicos de docentes vinculados, conforme a las valoraciones avaladas por el CARP.
C2: Se realizó inducción a secretarios académicos y directores de unidades académicas sobre el uso del banco de datos de doce"&amp;"ntes, aportando los soportes correspondientes.
C3: No se evidenció la ejecución de la actualización anual del banco de datos de docentes durante el periodo evaluado. Se recomienda que en próximos monitoreos se especifique claramente la razón de su no eje"&amp;"cución, indicando si obedece a la periodicidad anual del control o a un posible incumplimiento en su aplicación.
C4: Se evidenció la realización de sesiones del CARP para evaluación y aval de hojas de vida de docentes nuevos.
Materialización del riesgo:"&amp;" El riesgo no se materializó durante el periodo evaluado.
Conclusión: Los soportes aportados corresponden a los controles establecidos; sin embargo, el Control 3 no fue ejecutado en el periodo monitoreado y requiere mayor claridad en su justificación.")</f>
        <v>C1: Se evidenció la verificación de títulos académicos de docentes vinculados, conforme a las valoraciones avaladas por el CARP.
C2: Se realizó inducción a secretarios académicos y directores de unidades académicas sobre el uso del banco de datos de docentes, aportando los soportes correspondientes.
C3: No se evidenció la ejecución de la actualización anual del banco de datos de docentes durante el periodo evaluado. Se recomienda que en próximos monitoreos se especifique claramente la razón de su no ejecución, indicando si obedece a la periodicidad anual del control o a un posible incumplimiento en su aplicación.
C4: Se evidenció la realización de sesiones del CARP para evaluación y aval de hojas de vida de docentes nuevos.
Materialización del riesgo: El riesgo no se materializó durante el periodo evaluado.
Conclusión: Los soportes aportados corresponden a los controles establecidos; sin embargo, el Control 3 no fue ejecutado en el periodo monitoreado y requiere mayor claridad en su justificación.</v>
      </c>
      <c r="AI83" s="15" t="str">
        <f ca="1">IFERROR(__xludf.DUMMYFUNCTION("""COMPUTED_VALUE"""),"30 de abril")</f>
        <v>30 de abril</v>
      </c>
      <c r="AJ83" s="17" t="str">
        <f ca="1">IFERROR(__xludf.DUMMYFUNCTION("""COMPUTED_VALUE"""),"Si")</f>
        <v>Si</v>
      </c>
      <c r="AK83" s="17" t="str">
        <f ca="1">IFERROR(__xludf.DUMMYFUNCTION("""COMPUTED_VALUE"""),"Si")</f>
        <v>Si</v>
      </c>
      <c r="AL83" s="17" t="str">
        <f ca="1">IFERROR(__xludf.DUMMYFUNCTION("""COMPUTED_VALUE"""),"Si")</f>
        <v>Si</v>
      </c>
      <c r="AM83" s="17" t="str">
        <f ca="1">IFERROR(__xludf.DUMMYFUNCTION("""COMPUTED_VALUE"""),"Si")</f>
        <v>Si</v>
      </c>
      <c r="AN83" s="17" t="str">
        <f ca="1">IFERROR(__xludf.DUMMYFUNCTION("""COMPUTED_VALUE"""),"Si")</f>
        <v>Si</v>
      </c>
      <c r="AO83" s="17" t="str">
        <f ca="1">IFERROR(__xludf.DUMMYFUNCTION("""COMPUTED_VALUE"""),"Si")</f>
        <v>Si</v>
      </c>
      <c r="AP83" s="17" t="str">
        <f ca="1">IFERROR(__xludf.DUMMYFUNCTION("""COMPUTED_VALUE"""),"Si")</f>
        <v>Si</v>
      </c>
      <c r="AQ83" s="17" t="str">
        <f ca="1">IFERROR(__xludf.DUMMYFUNCTION("""COMPUTED_VALUE"""),"No")</f>
        <v>No</v>
      </c>
      <c r="AR83" s="17" t="str">
        <f ca="1">IFERROR(__xludf.DUMMYFUNCTION("""COMPUTED_VALUE"""),"No")</f>
        <v>No</v>
      </c>
      <c r="AS83" s="15" t="str">
        <f ca="1">IFERROR(__xludf.DUMMYFUNCTION("""COMPUTED_VALUE"""),"No aplica")</f>
        <v>No aplica</v>
      </c>
      <c r="AT83" s="15" t="str">
        <f ca="1">IFERROR(__xludf.DUMMYFUNCTION("""COMPUTED_VALUE"""),"Recomendación:
Defir un momento de la vigencia en el cual se espera ejecutar el control N°3, con el fin de que pueda asegurarse su cumplimiento.")</f>
        <v>Recomendación:
Defir un momento de la vigencia en el cual se espera ejecutar el control N°3, con el fin de que pueda asegurarse su cumplimiento.</v>
      </c>
      <c r="AU83" s="10"/>
    </row>
    <row r="84" spans="1:47" x14ac:dyDescent="0.25">
      <c r="A84" s="25"/>
      <c r="B84" s="121"/>
      <c r="C84" s="121"/>
      <c r="D84" s="89"/>
      <c r="E84" s="64"/>
      <c r="F84" s="64"/>
      <c r="G84" s="64"/>
      <c r="H84" s="64"/>
      <c r="I84" s="64"/>
      <c r="J84" s="64"/>
      <c r="K84" s="64"/>
      <c r="L84" s="64"/>
      <c r="M84" s="64"/>
      <c r="N84" s="64"/>
      <c r="O84" s="64"/>
      <c r="P84" s="64"/>
      <c r="Q84" s="83"/>
      <c r="R84" s="20" t="str">
        <f ca="1">IFERROR(__xludf.DUMMYFUNCTION("""COMPUTED_VALUE"""),"")</f>
        <v/>
      </c>
      <c r="S84" s="42" t="str">
        <f ca="1">IFERROR(__xludf.DUMMYFUNCTION("""COMPUTED_VALUE"""),"")</f>
        <v/>
      </c>
      <c r="T84" s="34"/>
      <c r="U84" s="20"/>
      <c r="V84" s="89"/>
      <c r="W84" s="89"/>
      <c r="X84" s="89"/>
      <c r="Y84" s="89"/>
      <c r="Z84" s="15" t="str">
        <f ca="1">IFERROR(__xludf.DUMMYFUNCTION("""COMPUTED_VALUE"""),"30 de agosto")</f>
        <v>30 de agosto</v>
      </c>
      <c r="AA84" s="17"/>
      <c r="AB84" s="17"/>
      <c r="AC84" s="15"/>
      <c r="AD84" s="17"/>
      <c r="AE84" s="18" t="str">
        <f ca="1">IFERROR(__xludf.DUMMYFUNCTION("""COMPUTED_VALUE"""),"Evidencia")</f>
        <v>Evidencia</v>
      </c>
      <c r="AF84" s="15"/>
      <c r="AG84" s="15"/>
      <c r="AH84" s="15"/>
      <c r="AI84" s="24" t="str">
        <f ca="1">IFERROR(__xludf.DUMMYFUNCTION("""COMPUTED_VALUE"""),"31 de agosto")</f>
        <v>31 de agosto</v>
      </c>
      <c r="AJ84" s="17"/>
      <c r="AK84" s="17"/>
      <c r="AL84" s="17"/>
      <c r="AM84" s="17"/>
      <c r="AN84" s="17"/>
      <c r="AO84" s="17"/>
      <c r="AP84" s="17"/>
      <c r="AQ84" s="17"/>
      <c r="AR84" s="17"/>
      <c r="AS84" s="15"/>
      <c r="AT84" s="15"/>
      <c r="AU84" s="10"/>
    </row>
    <row r="85" spans="1:47" x14ac:dyDescent="0.25">
      <c r="A85" s="25"/>
      <c r="B85" s="121"/>
      <c r="C85" s="121"/>
      <c r="D85" s="76"/>
      <c r="E85" s="61"/>
      <c r="F85" s="61"/>
      <c r="G85" s="61"/>
      <c r="H85" s="61"/>
      <c r="I85" s="61"/>
      <c r="J85" s="61"/>
      <c r="K85" s="61"/>
      <c r="L85" s="61"/>
      <c r="M85" s="61"/>
      <c r="N85" s="61"/>
      <c r="O85" s="61"/>
      <c r="P85" s="61"/>
      <c r="Q85" s="84"/>
      <c r="R85" s="26" t="str">
        <f ca="1">IFERROR(__xludf.DUMMYFUNCTION("""COMPUTED_VALUE"""),"")</f>
        <v/>
      </c>
      <c r="S85" s="43" t="str">
        <f ca="1">IFERROR(__xludf.DUMMYFUNCTION("""COMPUTED_VALUE"""),"")</f>
        <v/>
      </c>
      <c r="T85" s="38"/>
      <c r="U85" s="26"/>
      <c r="V85" s="76"/>
      <c r="W85" s="76"/>
      <c r="X85" s="76"/>
      <c r="Y85" s="76"/>
      <c r="Z85" s="15" t="str">
        <f ca="1">IFERROR(__xludf.DUMMYFUNCTION("""COMPUTED_VALUE"""),"30 de diciembre")</f>
        <v>30 de diciembre</v>
      </c>
      <c r="AA85" s="17"/>
      <c r="AB85" s="17"/>
      <c r="AC85" s="15"/>
      <c r="AD85" s="17"/>
      <c r="AE85" s="18" t="str">
        <f ca="1">IFERROR(__xludf.DUMMYFUNCTION("""COMPUTED_VALUE"""),"Evidencia")</f>
        <v>Evidencia</v>
      </c>
      <c r="AF85" s="15"/>
      <c r="AG85" s="15"/>
      <c r="AH85" s="15"/>
      <c r="AI85" s="24" t="str">
        <f ca="1">IFERROR(__xludf.DUMMYFUNCTION("""COMPUTED_VALUE"""),"31 de diciembre")</f>
        <v>31 de diciembre</v>
      </c>
      <c r="AJ85" s="17"/>
      <c r="AK85" s="17"/>
      <c r="AL85" s="17"/>
      <c r="AM85" s="17"/>
      <c r="AN85" s="17"/>
      <c r="AO85" s="17"/>
      <c r="AP85" s="17"/>
      <c r="AQ85" s="17"/>
      <c r="AR85" s="17"/>
      <c r="AS85" s="15"/>
      <c r="AT85" s="15"/>
      <c r="AU85" s="10"/>
    </row>
    <row r="86" spans="1:47" ht="192" x14ac:dyDescent="0.25">
      <c r="A86" s="25"/>
      <c r="B86" s="121"/>
      <c r="C86" s="121"/>
      <c r="D86" s="88" t="str">
        <f ca="1">IFERROR(__xludf.DUMMYFUNCTION("""COMPUTED_VALUE"""),"Prosibilidad de afectación reputacional por ausencia de evaluación de docentes, debido a falta de articulación y gestión entre las unidades que llevan a cabo actividades necesarias para poder realizar la evaluación de los docentes")</f>
        <v>Prosibilidad de afectación reputacional por ausencia de evaluación de docentes, debido a falta de articulación y gestión entre las unidades que llevan a cabo actividades necesarias para poder realizar la evaluación de los docentes</v>
      </c>
      <c r="E86" s="63" t="str">
        <f ca="1">IFERROR(__xludf.DUMMYFUNCTION("""COMPUTED_VALUE"""),"Evaluación docente")</f>
        <v>Evaluación docente</v>
      </c>
      <c r="F86" s="63" t="str">
        <f ca="1">IFERROR(__xludf.DUMMYFUNCTION("""COMPUTED_VALUE"""),"Gestión")</f>
        <v>Gestión</v>
      </c>
      <c r="G86" s="63" t="str">
        <f ca="1">IFERROR(__xludf.DUMMYFUNCTION("""COMPUTED_VALUE"""),"-Falta de articulación y gestión entre las unidades que llevan a cabo actividades necesarias para poder realizar la evaluación de los docentes
- Omisión por parte de los estudiantes de realizar la evaluación a los docentes
- Omisión del envío de cronogram"&amp;"a de cursos y cohortes programado para el periodo académico")</f>
        <v>-Falta de articulación y gestión entre las unidades que llevan a cabo actividades necesarias para poder realizar la evaluación de los docentes
- Omisión por parte de los estudiantes de realizar la evaluación a los docentes
- Omisión del envío de cronograma de cursos y cohortes programado para el periodo académico</v>
      </c>
      <c r="H86" s="63" t="str">
        <f ca="1">IFERROR(__xludf.DUMMYFUNCTION("""COMPUTED_VALUE"""),"1. Intervención de órganos de control
2. Afectación de la calidad en la prestación del servicio")</f>
        <v>1. Intervención de órganos de control
2. Afectación de la calidad en la prestación del servicio</v>
      </c>
      <c r="I86" s="65" t="str">
        <f ca="1">IFERROR(__xludf.DUMMYFUNCTION("""COMPUTED_VALUE"""),"GTH_02")</f>
        <v>GTH_02</v>
      </c>
      <c r="J86" s="65" t="str">
        <f ca="1">IFERROR(__xludf.DUMMYFUNCTION("""COMPUTED_VALUE"""),"Alta")</f>
        <v>Alta</v>
      </c>
      <c r="K86" s="65" t="str">
        <f ca="1">IFERROR(__xludf.DUMMYFUNCTION("""COMPUTED_VALUE"""),"Menor")</f>
        <v>Menor</v>
      </c>
      <c r="L86" s="65" t="str">
        <f ca="1">IFERROR(__xludf.DUMMYFUNCTION("""COMPUTED_VALUE"""),"Alta")</f>
        <v>Alta</v>
      </c>
      <c r="M86" s="63" t="str">
        <f ca="1">IFERROR(__xludf.DUMMYFUNCTION("""COMPUTED_VALUE"""),"- El Secretario Técnico de Evaluación Docente, solicita a los programas académicos, docentes y secretarías académicas, la realización de la evaluación docentes por parte de los estudiantes, en fechas establecidas de acuerdo al calendario académico
- El Se"&amp;"cretario Técnico de Evaluación Docente, solicita a los estudiantes el diligenciamiento de la evaluación docente de acuerdo al calendario académico, mediante correo electrónico institucional
- El Secretario Técnico de Evaluación Docente, cuando se está lle"&amp;"vando a cabo la evaluación a los docentes, realiza el seguimiento al proceso, revisando las diferentes fuentes, con el fin de verificar el grado de avance, y le informa a quien corresponda, cuando no el proceso no se ha realizado en los tiempos establecid"&amp;"os en el calendario académico ")</f>
        <v xml:space="preserve">- El Secretario Técnico de Evaluación Docente, solicita a los programas académicos, docentes y secretarías académicas, la realización de la evaluación docentes por parte de los estudiantes, en fechas establecidas de acuerdo al calendario académico
- El Secretario Técnico de Evaluación Docente, solicita a los estudiantes el diligenciamiento de la evaluación docente de acuerdo al calendario académico, mediante correo electrónico institucional
- El Secretario Técnico de Evaluación Docente, cuando se está llevando a cabo la evaluación a los docentes, realiza el seguimiento al proceso, revisando las diferentes fuentes, con el fin de verificar el grado de avance, y le informa a quien corresponda, cuando no el proceso no se ha realizado en los tiempos establecidos en el calendario académico </v>
      </c>
      <c r="N86" s="65" t="str">
        <f ca="1">IFERROR(__xludf.DUMMYFUNCTION("""COMPUTED_VALUE"""),"Baja")</f>
        <v>Baja</v>
      </c>
      <c r="O86" s="65" t="str">
        <f ca="1">IFERROR(__xludf.DUMMYFUNCTION("""COMPUTED_VALUE"""),"Menor")</f>
        <v>Menor</v>
      </c>
      <c r="P86" s="65" t="str">
        <f ca="1">IFERROR(__xludf.DUMMYFUNCTION("""COMPUTED_VALUE"""),"Baja")</f>
        <v>Baja</v>
      </c>
      <c r="Q86" s="91" t="str">
        <f ca="1">IFERROR(__xludf.DUMMYFUNCTION("""COMPUTED_VALUE"""),"Reducir")</f>
        <v>Reducir</v>
      </c>
      <c r="R86" s="20" t="str">
        <f ca="1">IFERROR(__xludf.DUMMYFUNCTION("""COMPUTED_VALUE"""),"Debido a que se acepta el riesgo, no se establecen acciones de tratamiento, sin embargo, se monitorea la aplicación de controles")</f>
        <v>Debido a que se acepta el riesgo, no se establecen acciones de tratamiento, sin embargo, se monitorea la aplicación de controles</v>
      </c>
      <c r="S86" s="40" t="str">
        <f ca="1">IFERROR(__xludf.DUMMYFUNCTION("""COMPUTED_VALUE"""),"N/A")</f>
        <v>N/A</v>
      </c>
      <c r="T86" s="32" t="str">
        <f ca="1">IFERROR(__xludf.DUMMYFUNCTION("""COMPUTED_VALUE"""),"N/A")</f>
        <v>N/A</v>
      </c>
      <c r="U86" s="41" t="str">
        <f ca="1">IFERROR(__xludf.DUMMYFUNCTION("""COMPUTED_VALUE"""),"N/A")</f>
        <v>N/A</v>
      </c>
      <c r="V86" s="92" t="str">
        <f ca="1">IFERROR(__xludf.DUMMYFUNCTION("""COMPUTED_VALUE"""),"Informar la situación al comité de evaluación y promoción docente")</f>
        <v>Informar la situación al comité de evaluación y promoción docente</v>
      </c>
      <c r="W86" s="97" t="str">
        <f ca="1">IFERROR(__xludf.DUMMYFUNCTION("""COMPUTED_VALUE"""),"Acta de reunión del comité ")</f>
        <v xml:space="preserve">Acta de reunión del comité </v>
      </c>
      <c r="X86" s="97" t="str">
        <f ca="1">IFERROR(__xludf.DUMMYFUNCTION("""COMPUTED_VALUE"""),"Secretaría técnica de evaluación y promoción docente.")</f>
        <v>Secretaría técnica de evaluación y promoción docente.</v>
      </c>
      <c r="Y86" s="97" t="str">
        <f ca="1">IFERROR(__xludf.DUMMYFUNCTION("""COMPUTED_VALUE"""),"Máximo  1 mes después de la materialización del riesgo")</f>
        <v>Máximo  1 mes después de la materialización del riesgo</v>
      </c>
      <c r="Z86" s="15" t="str">
        <f ca="1">IFERROR(__xludf.DUMMYFUNCTION("""COMPUTED_VALUE"""),"30 de abril")</f>
        <v>30 de abril</v>
      </c>
      <c r="AA86" s="56">
        <f ca="1">IFERROR(__xludf.DUMMYFUNCTION("""COMPUTED_VALUE"""),46141)</f>
        <v>46141</v>
      </c>
      <c r="AB86" s="17"/>
      <c r="AC86" s="15" t="str">
        <f ca="1">IFERROR(__xludf.DUMMYFUNCTION("""COMPUTED_VALUE"""),"Al corte del monitoreo NO se materializó el riesgo. 
Reporte acciones de tratamiento: 
Manual
Actualizar manuales de procedimiento en los procesos de evaluación de Posgrado: 
PD-GTH-11 Procedimiento Evaluación de Desempeño Docente Nivel Posgrado, fue mo"&amp;"dificado el año 2024 avalado en Comité.
Reporte sobre los controles:
Control 1: El proceso de evaluación se realiza informando a todas las fuentes evaluadora (Estudiantes, Docente, Consejo de Facultad) de acuerdo a los establecido en el acuerdo 005 del 20"&amp;"22, para este primer informe se realizaron 67 solicitudes de Evaluación de Desempeño Docente en Programas Posgrado. 
Control 2: la solicitud de evaluación de desempeño docente se realizar por parte de la secretaria a los estudiantes directamente 
Control "&amp;"3:  Una vez cumplidas las fechas habilitadas para cada fuente evaluadora se hace seguimiento al Proceso en el caso que alguna de las fuentes no realice la evaluación es informado al Programa siguiendo el hilo del correo de la solicitud de evaluación. 
")</f>
        <v xml:space="preserve">Al corte del monitoreo NO se materializó el riesgo. 
Reporte acciones de tratamiento: 
Manual
Actualizar manuales de procedimiento en los procesos de evaluación de Posgrado: 
PD-GTH-11 Procedimiento Evaluación de Desempeño Docente Nivel Posgrado, fue modificado el año 2024 avalado en Comité.
Reporte sobre los controles:
Control 1: El proceso de evaluación se realiza informando a todas las fuentes evaluadora (Estudiantes, Docente, Consejo de Facultad) de acuerdo a los establecido en el acuerdo 005 del 2022, para este primer informe se realizaron 67 solicitudes de Evaluación de Desempeño Docente en Programas Posgrado. 
Control 2: la solicitud de evaluación de desempeño docente se realizar por parte de la secretaria a los estudiantes directamente 
Control 3:  Una vez cumplidas las fechas habilitadas para cada fuente evaluadora se hace seguimiento al Proceso en el caso que alguna de las fuentes no realice la evaluación es informado al Programa siguiendo el hilo del correo de la solicitud de evaluación. 
</v>
      </c>
      <c r="AD86" s="17" t="str">
        <f ca="1">IFERROR(__xludf.DUMMYFUNCTION("""COMPUTED_VALUE"""),"Secretaría Tecnica de Evaluación y Promoción Docente ")</f>
        <v xml:space="preserve">Secretaría Tecnica de Evaluación y Promoción Docente </v>
      </c>
      <c r="AE86" s="18" t="str">
        <f ca="1">IFERROR(__xludf.DUMMYFUNCTION("""COMPUTED_VALUE"""),"Evidencia")</f>
        <v>Evidencia</v>
      </c>
      <c r="AF86" s="15" t="str">
        <f ca="1">IFERROR(__xludf.DUMMYFUNCTION("""COMPUTED_VALUE"""),"Si")</f>
        <v>Si</v>
      </c>
      <c r="AG86" s="15" t="str">
        <f ca="1">IFERROR(__xludf.DUMMYFUNCTION("""COMPUTED_VALUE"""),"Ejecutada")</f>
        <v>Ejecutada</v>
      </c>
      <c r="AH86" s="15" t="str">
        <f ca="1">IFERROR(__xludf.DUMMYFUNCTION("""COMPUTED_VALUE"""),"C1: Se evidenció la realización de solicitudes de evaluación de desempeño docente a las diferentes fuentes evaluadoras, conforme a lo establecido en el Acuerdo 005 de 2022.
C2: Se evidenció el envío de solicitudes de evaluación de desempeño docente dirig"&amp;"idas a estudiantes por parte de la Secretaría Técnica de Evaluación Docente.
C3: Se evidenció la realización del seguimiento al proceso de evaluación docente a través de los mismos hilos de correo utilizados para las solicitudes de evaluación. No obstant"&amp;"e, en el reporte del monitoreo no se especifica si durante el periodo evaluado se presentaron retrasos o incumplimientos que requirieran notificación adicional a los programas académicos. Se recomienda que en próximos monitoreos se indique expresamente si"&amp;" la situación se presentó o no, con el fin de determinar la necesidad de aportar evidencias adicionales del seguimiento realizado.
Materialización del riesgo: El riesgo no se materializó durante el periodo evaluado.
Conclusión: Los controles reportados "&amp;"guardan relación con lo establecido en la matriz de riesgos; sin embargo, se recomienda fortalecer la claridad en la descripción del Control 3 frente a las situaciones presentadas durante el periodo monitoreado.")</f>
        <v>C1: Se evidenció la realización de solicitudes de evaluación de desempeño docente a las diferentes fuentes evaluadoras, conforme a lo establecido en el Acuerdo 005 de 2022.
C2: Se evidenció el envío de solicitudes de evaluación de desempeño docente dirigidas a estudiantes por parte de la Secretaría Técnica de Evaluación Docente.
C3: Se evidenció la realización del seguimiento al proceso de evaluación docente a través de los mismos hilos de correo utilizados para las solicitudes de evaluación. No obstante, en el reporte del monitoreo no se especifica si durante el periodo evaluado se presentaron retrasos o incumplimientos que requirieran notificación adicional a los programas académicos. Se recomienda que en próximos monitoreos se indique expresamente si la situación se presentó o no, con el fin de determinar la necesidad de aportar evidencias adicionales del seguimiento realizado.
Materialización del riesgo: El riesgo no se materializó durante el periodo evaluado.
Conclusión: Los controles reportados guardan relación con lo establecido en la matriz de riesgos; sin embargo, se recomienda fortalecer la claridad en la descripción del Control 3 frente a las situaciones presentadas durante el periodo monitoreado.</v>
      </c>
      <c r="AI86" s="15" t="str">
        <f ca="1">IFERROR(__xludf.DUMMYFUNCTION("""COMPUTED_VALUE"""),"30 de abril")</f>
        <v>30 de abril</v>
      </c>
      <c r="AJ86" s="17" t="str">
        <f ca="1">IFERROR(__xludf.DUMMYFUNCTION("""COMPUTED_VALUE"""),"Si")</f>
        <v>Si</v>
      </c>
      <c r="AK86" s="17" t="str">
        <f ca="1">IFERROR(__xludf.DUMMYFUNCTION("""COMPUTED_VALUE"""),"Si")</f>
        <v>Si</v>
      </c>
      <c r="AL86" s="17" t="str">
        <f ca="1">IFERROR(__xludf.DUMMYFUNCTION("""COMPUTED_VALUE"""),"Si")</f>
        <v>Si</v>
      </c>
      <c r="AM86" s="17" t="str">
        <f ca="1">IFERROR(__xludf.DUMMYFUNCTION("""COMPUTED_VALUE"""),"Si")</f>
        <v>Si</v>
      </c>
      <c r="AN86" s="17" t="str">
        <f ca="1">IFERROR(__xludf.DUMMYFUNCTION("""COMPUTED_VALUE"""),"Si")</f>
        <v>Si</v>
      </c>
      <c r="AO86" s="17" t="str">
        <f ca="1">IFERROR(__xludf.DUMMYFUNCTION("""COMPUTED_VALUE"""),"Si")</f>
        <v>Si</v>
      </c>
      <c r="AP86" s="17" t="str">
        <f ca="1">IFERROR(__xludf.DUMMYFUNCTION("""COMPUTED_VALUE"""),"Si")</f>
        <v>Si</v>
      </c>
      <c r="AQ86" s="17" t="str">
        <f ca="1">IFERROR(__xludf.DUMMYFUNCTION("""COMPUTED_VALUE"""),"Si")</f>
        <v>Si</v>
      </c>
      <c r="AR86" s="17" t="str">
        <f ca="1">IFERROR(__xludf.DUMMYFUNCTION("""COMPUTED_VALUE"""),"Si")</f>
        <v>Si</v>
      </c>
      <c r="AS86" s="15" t="str">
        <f ca="1">IFERROR(__xludf.DUMMYFUNCTION("""COMPUTED_VALUE"""),"No aplica")</f>
        <v>No aplica</v>
      </c>
      <c r="AT86" s="15" t="str">
        <f ca="1">IFERROR(__xludf.DUMMYFUNCTION("""COMPUTED_VALUE"""),"Ninguna")</f>
        <v>Ninguna</v>
      </c>
      <c r="AU86" s="10"/>
    </row>
    <row r="87" spans="1:47" x14ac:dyDescent="0.25">
      <c r="A87" s="25"/>
      <c r="B87" s="121"/>
      <c r="C87" s="121"/>
      <c r="D87" s="89"/>
      <c r="E87" s="64"/>
      <c r="F87" s="64"/>
      <c r="G87" s="64"/>
      <c r="H87" s="64"/>
      <c r="I87" s="64"/>
      <c r="J87" s="64"/>
      <c r="K87" s="64"/>
      <c r="L87" s="64"/>
      <c r="M87" s="64"/>
      <c r="N87" s="64"/>
      <c r="O87" s="64"/>
      <c r="P87" s="64"/>
      <c r="Q87" s="83"/>
      <c r="R87" s="20" t="str">
        <f ca="1">IFERROR(__xludf.DUMMYFUNCTION("""COMPUTED_VALUE"""),"")</f>
        <v/>
      </c>
      <c r="S87" s="42" t="str">
        <f ca="1">IFERROR(__xludf.DUMMYFUNCTION("""COMPUTED_VALUE"""),"")</f>
        <v/>
      </c>
      <c r="T87" s="34"/>
      <c r="U87" s="20"/>
      <c r="V87" s="89"/>
      <c r="W87" s="89"/>
      <c r="X87" s="89"/>
      <c r="Y87" s="89"/>
      <c r="Z87" s="15" t="str">
        <f ca="1">IFERROR(__xludf.DUMMYFUNCTION("""COMPUTED_VALUE"""),"30 de agosto")</f>
        <v>30 de agosto</v>
      </c>
      <c r="AA87" s="17"/>
      <c r="AB87" s="17"/>
      <c r="AC87" s="15"/>
      <c r="AD87" s="17"/>
      <c r="AE87" s="18" t="str">
        <f ca="1">IFERROR(__xludf.DUMMYFUNCTION("""COMPUTED_VALUE"""),"Evidencia")</f>
        <v>Evidencia</v>
      </c>
      <c r="AF87" s="15"/>
      <c r="AG87" s="15"/>
      <c r="AH87" s="15"/>
      <c r="AI87" s="24" t="str">
        <f ca="1">IFERROR(__xludf.DUMMYFUNCTION("""COMPUTED_VALUE"""),"31 de agosto")</f>
        <v>31 de agosto</v>
      </c>
      <c r="AJ87" s="17"/>
      <c r="AK87" s="17"/>
      <c r="AL87" s="17"/>
      <c r="AM87" s="17"/>
      <c r="AN87" s="17"/>
      <c r="AO87" s="17"/>
      <c r="AP87" s="17"/>
      <c r="AQ87" s="17"/>
      <c r="AR87" s="17"/>
      <c r="AS87" s="15"/>
      <c r="AT87" s="15"/>
      <c r="AU87" s="10"/>
    </row>
    <row r="88" spans="1:47" x14ac:dyDescent="0.25">
      <c r="A88" s="25"/>
      <c r="B88" s="121"/>
      <c r="C88" s="121"/>
      <c r="D88" s="76"/>
      <c r="E88" s="61"/>
      <c r="F88" s="61"/>
      <c r="G88" s="61"/>
      <c r="H88" s="61"/>
      <c r="I88" s="61"/>
      <c r="J88" s="61"/>
      <c r="K88" s="61"/>
      <c r="L88" s="61"/>
      <c r="M88" s="61"/>
      <c r="N88" s="61"/>
      <c r="O88" s="61"/>
      <c r="P88" s="61"/>
      <c r="Q88" s="84"/>
      <c r="R88" s="26" t="str">
        <f ca="1">IFERROR(__xludf.DUMMYFUNCTION("""COMPUTED_VALUE"""),"")</f>
        <v/>
      </c>
      <c r="S88" s="43" t="str">
        <f ca="1">IFERROR(__xludf.DUMMYFUNCTION("""COMPUTED_VALUE"""),"")</f>
        <v/>
      </c>
      <c r="T88" s="38"/>
      <c r="U88" s="26"/>
      <c r="V88" s="76"/>
      <c r="W88" s="76"/>
      <c r="X88" s="76"/>
      <c r="Y88" s="76"/>
      <c r="Z88" s="15" t="str">
        <f ca="1">IFERROR(__xludf.DUMMYFUNCTION("""COMPUTED_VALUE"""),"30 de diciembre")</f>
        <v>30 de diciembre</v>
      </c>
      <c r="AA88" s="17"/>
      <c r="AB88" s="17"/>
      <c r="AC88" s="15"/>
      <c r="AD88" s="17"/>
      <c r="AE88" s="18" t="str">
        <f ca="1">IFERROR(__xludf.DUMMYFUNCTION("""COMPUTED_VALUE"""),"Evidencia")</f>
        <v>Evidencia</v>
      </c>
      <c r="AF88" s="15"/>
      <c r="AG88" s="15"/>
      <c r="AH88" s="15"/>
      <c r="AI88" s="24" t="str">
        <f ca="1">IFERROR(__xludf.DUMMYFUNCTION("""COMPUTED_VALUE"""),"31 de diciembre")</f>
        <v>31 de diciembre</v>
      </c>
      <c r="AJ88" s="17"/>
      <c r="AK88" s="17"/>
      <c r="AL88" s="17"/>
      <c r="AM88" s="17"/>
      <c r="AN88" s="17"/>
      <c r="AO88" s="17"/>
      <c r="AP88" s="17"/>
      <c r="AQ88" s="17"/>
      <c r="AR88" s="17"/>
      <c r="AS88" s="15"/>
      <c r="AT88" s="15"/>
      <c r="AU88" s="10"/>
    </row>
    <row r="89" spans="1:47" ht="168" x14ac:dyDescent="0.25">
      <c r="A89" s="25"/>
      <c r="B89" s="121"/>
      <c r="C89" s="121"/>
      <c r="D89" s="88" t="str">
        <f ca="1">IFERROR(__xludf.DUMMYFUNCTION("""COMPUTED_VALUE"""),"Prosibilidad de afectación económica y reputacional por vinculación de personal operativo o administrativo sin el cumplimiento de los requisitos especificados para el cargo")</f>
        <v>Prosibilidad de afectación económica y reputacional por vinculación de personal operativo o administrativo sin el cumplimiento de los requisitos especificados para el cargo</v>
      </c>
      <c r="E89" s="63" t="str">
        <f ca="1">IFERROR(__xludf.DUMMYFUNCTION("""COMPUTED_VALUE"""),"División de servicios administrativos")</f>
        <v>División de servicios administrativos</v>
      </c>
      <c r="F89" s="63" t="str">
        <f ca="1">IFERROR(__xludf.DUMMYFUNCTION("""COMPUTED_VALUE"""),"Gestión")</f>
        <v>Gestión</v>
      </c>
      <c r="G89" s="63" t="str">
        <f ca="1">IFERROR(__xludf.DUMMYFUNCTION("""COMPUTED_VALUE"""),"- Debilidades en la aplicación de controles asociados a la viculación de personal operativo y administrativo
")</f>
        <v xml:space="preserve">- Debilidades en la aplicación de controles asociados a la viculación de personal operativo y administrativo
</v>
      </c>
      <c r="H89" s="63" t="str">
        <f ca="1">IFERROR(__xludf.DUMMYFUNCTION("""COMPUTED_VALUE"""),"1. Procesos sancionatorios, disciplinarios y fiscales
2. Pérdida de imagen y credibilidad institucional
3. Intervención de órganos de control")</f>
        <v>1. Procesos sancionatorios, disciplinarios y fiscales
2. Pérdida de imagen y credibilidad institucional
3. Intervención de órganos de control</v>
      </c>
      <c r="I89" s="65" t="str">
        <f ca="1">IFERROR(__xludf.DUMMYFUNCTION("""COMPUTED_VALUE"""),"GTH_03")</f>
        <v>GTH_03</v>
      </c>
      <c r="J89" s="65" t="str">
        <f ca="1">IFERROR(__xludf.DUMMYFUNCTION("""COMPUTED_VALUE"""),"Baja")</f>
        <v>Baja</v>
      </c>
      <c r="K89" s="65" t="str">
        <f ca="1">IFERROR(__xludf.DUMMYFUNCTION("""COMPUTED_VALUE"""),"Menor")</f>
        <v>Menor</v>
      </c>
      <c r="L89" s="65" t="str">
        <f ca="1">IFERROR(__xludf.DUMMYFUNCTION("""COMPUTED_VALUE"""),"Baja")</f>
        <v>Baja</v>
      </c>
      <c r="M89" s="63" t="str">
        <f ca="1">IFERROR(__xludf.DUMMYFUNCTION("""COMPUTED_VALUE"""),"- Cuando se presentan nombramientos, el profesional de apoyo de Servicios Adminsitrativos realiza la verificación de los documentos que soportan la hoja de vida de los aspirantes a cargos administrativos y de libre nombramiento y remosión
- El jefe de per"&amp;"sonal emite certificación de cumplimiento de requisitos para nombramiento, en el caso del personal administrativo, para todos los casos de nombramientos")</f>
        <v>- Cuando se presentan nombramientos, el profesional de apoyo de Servicios Adminsitrativos realiza la verificación de los documentos que soportan la hoja de vida de los aspirantes a cargos administrativos y de libre nombramiento y remosión
- El jefe de personal emite certificación de cumplimiento de requisitos para nombramiento, en el caso del personal administrativo, para todos los casos de nombramientos</v>
      </c>
      <c r="N89" s="65" t="str">
        <f ca="1">IFERROR(__xludf.DUMMYFUNCTION("""COMPUTED_VALUE"""),"Muy baja")</f>
        <v>Muy baja</v>
      </c>
      <c r="O89" s="65" t="str">
        <f ca="1">IFERROR(__xludf.DUMMYFUNCTION("""COMPUTED_VALUE"""),"Menor")</f>
        <v>Menor</v>
      </c>
      <c r="P89" s="65" t="str">
        <f ca="1">IFERROR(__xludf.DUMMYFUNCTION("""COMPUTED_VALUE"""),"Baja")</f>
        <v>Baja</v>
      </c>
      <c r="Q89" s="91" t="str">
        <f ca="1">IFERROR(__xludf.DUMMYFUNCTION("""COMPUTED_VALUE"""),"Aceptar")</f>
        <v>Aceptar</v>
      </c>
      <c r="R89" s="20" t="str">
        <f ca="1">IFERROR(__xludf.DUMMYFUNCTION("""COMPUTED_VALUE"""),"Dado que el la zona del riesgo residual es baja, se acepta el riesgo, por lo tanto no establecen acciones para el tratamiento, sin embargo, se monitorea la aplicación de los controles")</f>
        <v>Dado que el la zona del riesgo residual es baja, se acepta el riesgo, por lo tanto no establecen acciones para el tratamiento, sin embargo, se monitorea la aplicación de los controles</v>
      </c>
      <c r="S89" s="40" t="str">
        <f ca="1">IFERROR(__xludf.DUMMYFUNCTION("""COMPUTED_VALUE"""),"N/A")</f>
        <v>N/A</v>
      </c>
      <c r="T89" s="32" t="str">
        <f ca="1">IFERROR(__xludf.DUMMYFUNCTION("""COMPUTED_VALUE"""),"N/A")</f>
        <v>N/A</v>
      </c>
      <c r="U89" s="41" t="str">
        <f ca="1">IFERROR(__xludf.DUMMYFUNCTION("""COMPUTED_VALUE"""),"N/A")</f>
        <v>N/A</v>
      </c>
      <c r="V89" s="92" t="str">
        <f ca="1">IFERROR(__xludf.DUMMYFUNCTION("""COMPUTED_VALUE"""),"Revocatoria del nombramiento sin el lleno de requisitos legales")</f>
        <v>Revocatoria del nombramiento sin el lleno de requisitos legales</v>
      </c>
      <c r="W89" s="97" t="str">
        <f ca="1">IFERROR(__xludf.DUMMYFUNCTION("""COMPUTED_VALUE"""),"Acto administrativo")</f>
        <v>Acto administrativo</v>
      </c>
      <c r="X89" s="97" t="str">
        <f ca="1">IFERROR(__xludf.DUMMYFUNCTION("""COMPUTED_VALUE"""),"El rector - Consejo Superior")</f>
        <v>El rector - Consejo Superior</v>
      </c>
      <c r="Y89" s="97" t="str">
        <f ca="1">IFERROR(__xludf.DUMMYFUNCTION("""COMPUTED_VALUE"""),"Inmediato")</f>
        <v>Inmediato</v>
      </c>
      <c r="Z89" s="15" t="str">
        <f ca="1">IFERROR(__xludf.DUMMYFUNCTION("""COMPUTED_VALUE"""),"30 de abril")</f>
        <v>30 de abril</v>
      </c>
      <c r="AA89" s="17" t="str">
        <f ca="1">IFERROR(__xludf.DUMMYFUNCTION("""COMPUTED_VALUE"""),"ABRIL")</f>
        <v>ABRIL</v>
      </c>
      <c r="AB89" s="17" t="str">
        <f ca="1">IFERROR(__xludf.DUMMYFUNCTION("""COMPUTED_VALUE"""),"No")</f>
        <v>No</v>
      </c>
      <c r="AC89" s="15" t="str">
        <f ca="1">IFERROR(__xludf.DUMMYFUNCTION("""COMPUTED_VALUE"""),"Acciones asociadas a la ejecución de los controles:
C1-Se realizo la actividad de verificación de documentos en el mes de enero de 2026, para el cargo de libre nombramiento y remosión del jefe de control interno de gestión. 
C2-Se emitio certificación de "&amp;"cumplimiento de requisitos para el nombramiento. 
Para lo que va corrido del año solo se presento un ingreso a la planta. Basado en ello, se tiene el registro de ingreso y el acto administrativo dando cumplimiento a lo solicitado.")</f>
        <v>Acciones asociadas a la ejecución de los controles:
C1-Se realizo la actividad de verificación de documentos en el mes de enero de 2026, para el cargo de libre nombramiento y remosión del jefe de control interno de gestión. 
C2-Se emitio certificación de cumplimiento de requisitos para el nombramiento. 
Para lo que va corrido del año solo se presento un ingreso a la planta. Basado en ello, se tiene el registro de ingreso y el acto administrativo dando cumplimiento a lo solicitado.</v>
      </c>
      <c r="AD89" s="17" t="str">
        <f ca="1">IFERROR(__xludf.DUMMYFUNCTION("""COMPUTED_VALUE"""),"Servicios Administrativos")</f>
        <v>Servicios Administrativos</v>
      </c>
      <c r="AE89" s="18" t="str">
        <f ca="1">IFERROR(__xludf.DUMMYFUNCTION("""COMPUTED_VALUE"""),"Evidencia")</f>
        <v>Evidencia</v>
      </c>
      <c r="AF89" s="15" t="str">
        <f ca="1">IFERROR(__xludf.DUMMYFUNCTION("""COMPUTED_VALUE"""),"Si")</f>
        <v>Si</v>
      </c>
      <c r="AG89" s="15" t="str">
        <f ca="1">IFERROR(__xludf.DUMMYFUNCTION("""COMPUTED_VALUE"""),"Ejecutada")</f>
        <v>Ejecutada</v>
      </c>
      <c r="AH89" s="15" t="str">
        <f ca="1">IFERROR(__xludf.DUMMYFUNCTION("""COMPUTED_VALUE"""),"C1: Se evidenció la verificación de documentos para el nombramiento del cargo de libre nombramiento y remoción del Jefe de Control Interno de Gestión durante el periodo evaluado.
C2: Se evidenció la emisión de la certificación de cumplimiento de requisit"&amp;"os para el nombramiento reportado.
Observación: En el reporte se menciona que durante la vigencia solo se presentó un ingreso a la planta y que se cuenta con el registro de ingreso y acto administrativo; sin embargo, dichos soportes no se evidencian clar"&amp;"amente dentro de la carpeta aportada. Se recomienda que en próximos monitoreos se relacionen y organicen las evidencias conforme a cada control y a las situaciones reportadas.
Materialización del riesgo: El riesgo no se materializó durante el periodo eva"&amp;"luado.
Conclusión: Los soportes aportados guardan relación con los controles establecidos; no obstante, se requiere mayor claridad y organización de las evidencias relacionadas con el ingreso a planta mencionado en el monitoreo.")</f>
        <v>C1: Se evidenció la verificación de documentos para el nombramiento del cargo de libre nombramiento y remoción del Jefe de Control Interno de Gestión durante el periodo evaluado.
C2: Se evidenció la emisión de la certificación de cumplimiento de requisitos para el nombramiento reportado.
Observación: En el reporte se menciona que durante la vigencia solo se presentó un ingreso a la planta y que se cuenta con el registro de ingreso y acto administrativo; sin embargo, dichos soportes no se evidencian claramente dentro de la carpeta aportada. Se recomienda que en próximos monitoreos se relacionen y organicen las evidencias conforme a cada control y a las situaciones reportadas.
Materialización del riesgo: El riesgo no se materializó durante el periodo evaluado.
Conclusión: Los soportes aportados guardan relación con los controles establecidos; no obstante, se requiere mayor claridad y organización de las evidencias relacionadas con el ingreso a planta mencionado en el monitoreo.</v>
      </c>
      <c r="AI89" s="15" t="str">
        <f ca="1">IFERROR(__xludf.DUMMYFUNCTION("""COMPUTED_VALUE"""),"30 de abril")</f>
        <v>30 de abril</v>
      </c>
      <c r="AJ89" s="17" t="str">
        <f ca="1">IFERROR(__xludf.DUMMYFUNCTION("""COMPUTED_VALUE"""),"Si")</f>
        <v>Si</v>
      </c>
      <c r="AK89" s="17" t="str">
        <f ca="1">IFERROR(__xludf.DUMMYFUNCTION("""COMPUTED_VALUE"""),"Si")</f>
        <v>Si</v>
      </c>
      <c r="AL89" s="17" t="str">
        <f ca="1">IFERROR(__xludf.DUMMYFUNCTION("""COMPUTED_VALUE"""),"Si")</f>
        <v>Si</v>
      </c>
      <c r="AM89" s="17" t="str">
        <f ca="1">IFERROR(__xludf.DUMMYFUNCTION("""COMPUTED_VALUE"""),"Si")</f>
        <v>Si</v>
      </c>
      <c r="AN89" s="17" t="str">
        <f ca="1">IFERROR(__xludf.DUMMYFUNCTION("""COMPUTED_VALUE"""),"Si")</f>
        <v>Si</v>
      </c>
      <c r="AO89" s="17" t="str">
        <f ca="1">IFERROR(__xludf.DUMMYFUNCTION("""COMPUTED_VALUE"""),"Si")</f>
        <v>Si</v>
      </c>
      <c r="AP89" s="17" t="str">
        <f ca="1">IFERROR(__xludf.DUMMYFUNCTION("""COMPUTED_VALUE"""),"Si")</f>
        <v>Si</v>
      </c>
      <c r="AQ89" s="17" t="str">
        <f ca="1">IFERROR(__xludf.DUMMYFUNCTION("""COMPUTED_VALUE"""),"Si")</f>
        <v>Si</v>
      </c>
      <c r="AR89" s="17" t="str">
        <f ca="1">IFERROR(__xludf.DUMMYFUNCTION("""COMPUTED_VALUE"""),"Si")</f>
        <v>Si</v>
      </c>
      <c r="AS89" s="15" t="str">
        <f ca="1">IFERROR(__xludf.DUMMYFUNCTION("""COMPUTED_VALUE"""),"No aplica")</f>
        <v>No aplica</v>
      </c>
      <c r="AT89" s="15" t="str">
        <f ca="1">IFERROR(__xludf.DUMMYFUNCTION("""COMPUTED_VALUE"""),"Ninguna")</f>
        <v>Ninguna</v>
      </c>
      <c r="AU89" s="10"/>
    </row>
    <row r="90" spans="1:47" x14ac:dyDescent="0.25">
      <c r="A90" s="25"/>
      <c r="B90" s="121"/>
      <c r="C90" s="121"/>
      <c r="D90" s="89"/>
      <c r="E90" s="64"/>
      <c r="F90" s="64"/>
      <c r="G90" s="64"/>
      <c r="H90" s="64"/>
      <c r="I90" s="64"/>
      <c r="J90" s="64"/>
      <c r="K90" s="64"/>
      <c r="L90" s="64"/>
      <c r="M90" s="64"/>
      <c r="N90" s="64"/>
      <c r="O90" s="64"/>
      <c r="P90" s="64"/>
      <c r="Q90" s="83"/>
      <c r="R90" s="20" t="str">
        <f ca="1">IFERROR(__xludf.DUMMYFUNCTION("""COMPUTED_VALUE"""),"")</f>
        <v/>
      </c>
      <c r="S90" s="42" t="str">
        <f ca="1">IFERROR(__xludf.DUMMYFUNCTION("""COMPUTED_VALUE"""),"")</f>
        <v/>
      </c>
      <c r="T90" s="34"/>
      <c r="U90" s="20"/>
      <c r="V90" s="89"/>
      <c r="W90" s="89"/>
      <c r="X90" s="89"/>
      <c r="Y90" s="89"/>
      <c r="Z90" s="15" t="str">
        <f ca="1">IFERROR(__xludf.DUMMYFUNCTION("""COMPUTED_VALUE"""),"30 de agosto")</f>
        <v>30 de agosto</v>
      </c>
      <c r="AA90" s="17"/>
      <c r="AB90" s="17"/>
      <c r="AC90" s="15"/>
      <c r="AD90" s="17"/>
      <c r="AE90" s="18" t="str">
        <f ca="1">IFERROR(__xludf.DUMMYFUNCTION("""COMPUTED_VALUE"""),"Evidencia")</f>
        <v>Evidencia</v>
      </c>
      <c r="AF90" s="15"/>
      <c r="AG90" s="15"/>
      <c r="AH90" s="15"/>
      <c r="AI90" s="24" t="str">
        <f ca="1">IFERROR(__xludf.DUMMYFUNCTION("""COMPUTED_VALUE"""),"31 de agosto")</f>
        <v>31 de agosto</v>
      </c>
      <c r="AJ90" s="17"/>
      <c r="AK90" s="17"/>
      <c r="AL90" s="17"/>
      <c r="AM90" s="17"/>
      <c r="AN90" s="17"/>
      <c r="AO90" s="17"/>
      <c r="AP90" s="17"/>
      <c r="AQ90" s="17"/>
      <c r="AR90" s="17"/>
      <c r="AS90" s="15"/>
      <c r="AT90" s="15"/>
      <c r="AU90" s="10"/>
    </row>
    <row r="91" spans="1:47" x14ac:dyDescent="0.25">
      <c r="A91" s="25"/>
      <c r="B91" s="121"/>
      <c r="C91" s="121"/>
      <c r="D91" s="76"/>
      <c r="E91" s="61"/>
      <c r="F91" s="61"/>
      <c r="G91" s="61"/>
      <c r="H91" s="61"/>
      <c r="I91" s="61"/>
      <c r="J91" s="61"/>
      <c r="K91" s="61"/>
      <c r="L91" s="61"/>
      <c r="M91" s="61"/>
      <c r="N91" s="61"/>
      <c r="O91" s="61"/>
      <c r="P91" s="61"/>
      <c r="Q91" s="84"/>
      <c r="R91" s="26" t="str">
        <f ca="1">IFERROR(__xludf.DUMMYFUNCTION("""COMPUTED_VALUE"""),"")</f>
        <v/>
      </c>
      <c r="S91" s="43" t="str">
        <f ca="1">IFERROR(__xludf.DUMMYFUNCTION("""COMPUTED_VALUE"""),"")</f>
        <v/>
      </c>
      <c r="T91" s="38"/>
      <c r="U91" s="26"/>
      <c r="V91" s="76"/>
      <c r="W91" s="76"/>
      <c r="X91" s="76"/>
      <c r="Y91" s="76"/>
      <c r="Z91" s="15" t="str">
        <f ca="1">IFERROR(__xludf.DUMMYFUNCTION("""COMPUTED_VALUE"""),"30 de diciembre")</f>
        <v>30 de diciembre</v>
      </c>
      <c r="AA91" s="17"/>
      <c r="AB91" s="17"/>
      <c r="AC91" s="15"/>
      <c r="AD91" s="17"/>
      <c r="AE91" s="18" t="str">
        <f ca="1">IFERROR(__xludf.DUMMYFUNCTION("""COMPUTED_VALUE"""),"Evidencia")</f>
        <v>Evidencia</v>
      </c>
      <c r="AF91" s="15"/>
      <c r="AG91" s="15"/>
      <c r="AH91" s="15"/>
      <c r="AI91" s="24" t="str">
        <f ca="1">IFERROR(__xludf.DUMMYFUNCTION("""COMPUTED_VALUE"""),"31 de diciembre")</f>
        <v>31 de diciembre</v>
      </c>
      <c r="AJ91" s="17"/>
      <c r="AK91" s="17"/>
      <c r="AL91" s="17"/>
      <c r="AM91" s="17"/>
      <c r="AN91" s="17"/>
      <c r="AO91" s="17"/>
      <c r="AP91" s="17"/>
      <c r="AQ91" s="17"/>
      <c r="AR91" s="17"/>
      <c r="AS91" s="15"/>
      <c r="AT91" s="15"/>
      <c r="AU91" s="10"/>
    </row>
    <row r="92" spans="1:47" ht="120" x14ac:dyDescent="0.25">
      <c r="A92" s="25"/>
      <c r="B92" s="121"/>
      <c r="C92" s="121"/>
      <c r="D92" s="88" t="str">
        <f ca="1">IFERROR(__xludf.DUMMYFUNCTION("""COMPUTED_VALUE"""),"Probabilidad de afectación económica por el pago inadecaudo de nómina")</f>
        <v>Probabilidad de afectación económica por el pago inadecaudo de nómina</v>
      </c>
      <c r="E92" s="63" t="str">
        <f ca="1">IFERROR(__xludf.DUMMYFUNCTION("""COMPUTED_VALUE"""),"División de servicios administrativos")</f>
        <v>División de servicios administrativos</v>
      </c>
      <c r="F92" s="63" t="str">
        <f ca="1">IFERROR(__xludf.DUMMYFUNCTION("""COMPUTED_VALUE"""),"Gestión")</f>
        <v>Gestión</v>
      </c>
      <c r="G92" s="63" t="str">
        <f ca="1">IFERROR(__xludf.DUMMYFUNCTION("""COMPUTED_VALUE"""),"- Errores o fallos en el software")</f>
        <v>- Errores o fallos en el software</v>
      </c>
      <c r="H92" s="63" t="str">
        <f ca="1">IFERROR(__xludf.DUMMYFUNCTION("""COMPUTED_VALUE"""),"1. Sanciones fiscales, disciplinarias
2. Multas de las entidades de vigilancia")</f>
        <v>1. Sanciones fiscales, disciplinarias
2. Multas de las entidades de vigilancia</v>
      </c>
      <c r="I92" s="65" t="str">
        <f ca="1">IFERROR(__xludf.DUMMYFUNCTION("""COMPUTED_VALUE"""),"GTH_04")</f>
        <v>GTH_04</v>
      </c>
      <c r="J92" s="65" t="str">
        <f ca="1">IFERROR(__xludf.DUMMYFUNCTION("""COMPUTED_VALUE"""),"Baja")</f>
        <v>Baja</v>
      </c>
      <c r="K92" s="65" t="str">
        <f ca="1">IFERROR(__xludf.DUMMYFUNCTION("""COMPUTED_VALUE"""),"Menor")</f>
        <v>Menor</v>
      </c>
      <c r="L92" s="65" t="str">
        <f ca="1">IFERROR(__xludf.DUMMYFUNCTION("""COMPUTED_VALUE"""),"Baja")</f>
        <v>Baja</v>
      </c>
      <c r="M92" s="63" t="str">
        <f ca="1">IFERROR(__xludf.DUMMYFUNCTION("""COMPUTED_VALUE"""),"- Cuando se presenten fallos en el software, el técnico operativo de la División de Servicios Administrativos, encargado del pago de nómina elabora ticket al proveedor de software, para que el proveedor gestione la solución
- Cada vez que se liquida nómin"&amp;"a, por lo menos dos colaboradores de al división de servicios administrativos, revisan de manera detallada e independiente dicha liquidación, con el fin de detectar errores
 ")</f>
        <v xml:space="preserve">- Cuando se presenten fallos en el software, el técnico operativo de la División de Servicios Administrativos, encargado del pago de nómina elabora ticket al proveedor de software, para que el proveedor gestione la solución
- Cada vez que se liquida nómina, por lo menos dos colaboradores de al división de servicios administrativos, revisan de manera detallada e independiente dicha liquidación, con el fin de detectar errores
 </v>
      </c>
      <c r="N92" s="65" t="str">
        <f ca="1">IFERROR(__xludf.DUMMYFUNCTION("""COMPUTED_VALUE"""),"Baja")</f>
        <v>Baja</v>
      </c>
      <c r="O92" s="65" t="str">
        <f ca="1">IFERROR(__xludf.DUMMYFUNCTION("""COMPUTED_VALUE"""),"Menor")</f>
        <v>Menor</v>
      </c>
      <c r="P92" s="65" t="str">
        <f ca="1">IFERROR(__xludf.DUMMYFUNCTION("""COMPUTED_VALUE"""),"Baja")</f>
        <v>Baja</v>
      </c>
      <c r="Q92" s="91" t="str">
        <f ca="1">IFERROR(__xludf.DUMMYFUNCTION("""COMPUTED_VALUE"""),"Aceptar")</f>
        <v>Aceptar</v>
      </c>
      <c r="R92" s="20" t="str">
        <f ca="1">IFERROR(__xludf.DUMMYFUNCTION("""COMPUTED_VALUE"""),"Dado que el la zona del riesgo residual es baja, se acepta el riesgo, por lo tanto no establecen acciones para el tratamiento, sin embargo, se monitorea la aplicación de los controles")</f>
        <v>Dado que el la zona del riesgo residual es baja, se acepta el riesgo, por lo tanto no establecen acciones para el tratamiento, sin embargo, se monitorea la aplicación de los controles</v>
      </c>
      <c r="S92" s="40" t="str">
        <f ca="1">IFERROR(__xludf.DUMMYFUNCTION("""COMPUTED_VALUE"""),"N/A")</f>
        <v>N/A</v>
      </c>
      <c r="T92" s="32" t="str">
        <f ca="1">IFERROR(__xludf.DUMMYFUNCTION("""COMPUTED_VALUE"""),"N/A")</f>
        <v>N/A</v>
      </c>
      <c r="U92" s="41" t="str">
        <f ca="1">IFERROR(__xludf.DUMMYFUNCTION("""COMPUTED_VALUE"""),"N/A")</f>
        <v>N/A</v>
      </c>
      <c r="V92" s="92" t="str">
        <f ca="1">IFERROR(__xludf.DUMMYFUNCTION("""COMPUTED_VALUE"""),"Ajustar la novedad en la nómina detectada, para ser deducida en el siguiente mes")</f>
        <v>Ajustar la novedad en la nómina detectada, para ser deducida en el siguiente mes</v>
      </c>
      <c r="W92" s="97" t="str">
        <f ca="1">IFERROR(__xludf.DUMMYFUNCTION("""COMPUTED_VALUE"""),"Archivo de novedades ")</f>
        <v xml:space="preserve">Archivo de novedades </v>
      </c>
      <c r="X92" s="97" t="str">
        <f ca="1">IFERROR(__xludf.DUMMYFUNCTION("""COMPUTED_VALUE"""),"Auxiliar de nómina")</f>
        <v>Auxiliar de nómina</v>
      </c>
      <c r="Y92" s="97" t="str">
        <f ca="1">IFERROR(__xludf.DUMMYFUNCTION("""COMPUTED_VALUE"""),"1 mes ")</f>
        <v xml:space="preserve">1 mes </v>
      </c>
      <c r="Z92" s="15" t="str">
        <f ca="1">IFERROR(__xludf.DUMMYFUNCTION("""COMPUTED_VALUE"""),"30 de abril")</f>
        <v>30 de abril</v>
      </c>
      <c r="AA92" s="17" t="str">
        <f ca="1">IFERROR(__xludf.DUMMYFUNCTION("""COMPUTED_VALUE"""),"ENE-ABR")</f>
        <v>ENE-ABR</v>
      </c>
      <c r="AB92" s="17" t="str">
        <f ca="1">IFERROR(__xludf.DUMMYFUNCTION("""COMPUTED_VALUE"""),"No")</f>
        <v>No</v>
      </c>
      <c r="AC92" s="15" t="str">
        <f ca="1">IFERROR(__xludf.DUMMYFUNCTION("""COMPUTED_VALUE"""),"Acciones asociadas a la ejecución de los controles:
C1-Para este corte el tecnico operativo genero los tickets respectivos.
C2-Para este corte los dos colaboradores de la División de Servicios Administrativos desarrollarón la actividad de revisión de la n"&amp;"omina a fin detectar errores. ")</f>
        <v xml:space="preserve">Acciones asociadas a la ejecución de los controles:
C1-Para este corte el tecnico operativo genero los tickets respectivos.
C2-Para este corte los dos colaboradores de la División de Servicios Administrativos desarrollarón la actividad de revisión de la nomina a fin detectar errores. </v>
      </c>
      <c r="AD92" s="17" t="str">
        <f ca="1">IFERROR(__xludf.DUMMYFUNCTION("""COMPUTED_VALUE"""),"División de Servicios Administrativos")</f>
        <v>División de Servicios Administrativos</v>
      </c>
      <c r="AE92" s="18" t="str">
        <f ca="1">IFERROR(__xludf.DUMMYFUNCTION("""COMPUTED_VALUE"""),"Evidencia")</f>
        <v>Evidencia</v>
      </c>
      <c r="AF92" s="15" t="str">
        <f ca="1">IFERROR(__xludf.DUMMYFUNCTION("""COMPUTED_VALUE"""),"Si")</f>
        <v>Si</v>
      </c>
      <c r="AG92" s="15" t="str">
        <f ca="1">IFERROR(__xludf.DUMMYFUNCTION("""COMPUTED_VALUE"""),"Ejecutada")</f>
        <v>Ejecutada</v>
      </c>
      <c r="AH92" s="15" t="str">
        <f ca="1">IFERROR(__xludf.DUMMYFUNCTION("""COMPUTED_VALUE"""),"C1: Se evidenció la generación de tickets al proveedor del software para la atención de fallos presentados durante el periodo evaluado.
C2: Se evidenció la revisión detallada e independiente de la liquidación de nómina por parte de colaboradores de la Di"&amp;"visión de Servicios Administrativos, con el fin de detectar posibles errores.
Materialización del riesgo: El riesgo no se materializó durante el periodo evaluado.
Conclusión: Los soportes aportados corresponden a los controles establecidos y evidencian "&amp;"la ejecución de las actividades de verificación y seguimiento relacionadas con el proceso de liquidación de nómina.")</f>
        <v>C1: Se evidenció la generación de tickets al proveedor del software para la atención de fallos presentados durante el periodo evaluado.
C2: Se evidenció la revisión detallada e independiente de la liquidación de nómina por parte de colaboradores de la División de Servicios Administrativos, con el fin de detectar posibles errores.
Materialización del riesgo: El riesgo no se materializó durante el periodo evaluado.
Conclusión: Los soportes aportados corresponden a los controles establecidos y evidencian la ejecución de las actividades de verificación y seguimiento relacionadas con el proceso de liquidación de nómina.</v>
      </c>
      <c r="AI92" s="15" t="str">
        <f ca="1">IFERROR(__xludf.DUMMYFUNCTION("""COMPUTED_VALUE"""),"30 de abril")</f>
        <v>30 de abril</v>
      </c>
      <c r="AJ92" s="17" t="str">
        <f ca="1">IFERROR(__xludf.DUMMYFUNCTION("""COMPUTED_VALUE"""),"Si")</f>
        <v>Si</v>
      </c>
      <c r="AK92" s="17" t="str">
        <f ca="1">IFERROR(__xludf.DUMMYFUNCTION("""COMPUTED_VALUE"""),"Si")</f>
        <v>Si</v>
      </c>
      <c r="AL92" s="17" t="str">
        <f ca="1">IFERROR(__xludf.DUMMYFUNCTION("""COMPUTED_VALUE"""),"Si")</f>
        <v>Si</v>
      </c>
      <c r="AM92" s="17" t="str">
        <f ca="1">IFERROR(__xludf.DUMMYFUNCTION("""COMPUTED_VALUE"""),"Si")</f>
        <v>Si</v>
      </c>
      <c r="AN92" s="17" t="str">
        <f ca="1">IFERROR(__xludf.DUMMYFUNCTION("""COMPUTED_VALUE"""),"Si")</f>
        <v>Si</v>
      </c>
      <c r="AO92" s="17" t="str">
        <f ca="1">IFERROR(__xludf.DUMMYFUNCTION("""COMPUTED_VALUE"""),"Si")</f>
        <v>Si</v>
      </c>
      <c r="AP92" s="17" t="str">
        <f ca="1">IFERROR(__xludf.DUMMYFUNCTION("""COMPUTED_VALUE"""),"Si")</f>
        <v>Si</v>
      </c>
      <c r="AQ92" s="17" t="str">
        <f ca="1">IFERROR(__xludf.DUMMYFUNCTION("""COMPUTED_VALUE"""),"No")</f>
        <v>No</v>
      </c>
      <c r="AR92" s="17" t="str">
        <f ca="1">IFERROR(__xludf.DUMMYFUNCTION("""COMPUTED_VALUE"""),"No")</f>
        <v>No</v>
      </c>
      <c r="AS92" s="15" t="str">
        <f ca="1">IFERROR(__xludf.DUMMYFUNCTION("""COMPUTED_VALUE"""),"No aplica")</f>
        <v>No aplica</v>
      </c>
      <c r="AT92" s="15" t="str">
        <f ca="1">IFERROR(__xludf.DUMMYFUNCTION("""COMPUTED_VALUE"""),"Recomendación: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de igual manera se recomienda que la descripción inicie con el término ""Posibilidad"", conforme a la orientación de la guía.")</f>
        <v>Recomendación: 
1. Fortalecer la descripción del riesgo, considerando la metodología de la Guía para la Administración del Riesgo y el diseño de controles en entidades públicas Versión 7, que propone los elementos para la descripción del riesgo, como son: Impacto+Causa Inmediata+Causa Raíz, de igual manera se recomienda que la descripción inicie con el término "Posibilidad", conforme a la orientación de la guía.</v>
      </c>
      <c r="AU92" s="10"/>
    </row>
    <row r="93" spans="1:47" x14ac:dyDescent="0.25">
      <c r="A93" s="25"/>
      <c r="B93" s="121"/>
      <c r="C93" s="121"/>
      <c r="D93" s="89"/>
      <c r="E93" s="64"/>
      <c r="F93" s="64"/>
      <c r="G93" s="64"/>
      <c r="H93" s="64"/>
      <c r="I93" s="64"/>
      <c r="J93" s="64"/>
      <c r="K93" s="64"/>
      <c r="L93" s="64"/>
      <c r="M93" s="64"/>
      <c r="N93" s="64"/>
      <c r="O93" s="64"/>
      <c r="P93" s="64"/>
      <c r="Q93" s="83"/>
      <c r="R93" s="20" t="str">
        <f ca="1">IFERROR(__xludf.DUMMYFUNCTION("""COMPUTED_VALUE"""),"")</f>
        <v/>
      </c>
      <c r="S93" s="42" t="str">
        <f ca="1">IFERROR(__xludf.DUMMYFUNCTION("""COMPUTED_VALUE"""),"")</f>
        <v/>
      </c>
      <c r="T93" s="34"/>
      <c r="U93" s="20"/>
      <c r="V93" s="89"/>
      <c r="W93" s="89"/>
      <c r="X93" s="89"/>
      <c r="Y93" s="89"/>
      <c r="Z93" s="15" t="str">
        <f ca="1">IFERROR(__xludf.DUMMYFUNCTION("""COMPUTED_VALUE"""),"30 de agosto")</f>
        <v>30 de agosto</v>
      </c>
      <c r="AA93" s="17"/>
      <c r="AB93" s="17"/>
      <c r="AC93" s="15"/>
      <c r="AD93" s="17"/>
      <c r="AE93" s="18" t="str">
        <f ca="1">IFERROR(__xludf.DUMMYFUNCTION("""COMPUTED_VALUE"""),"Evidencia")</f>
        <v>Evidencia</v>
      </c>
      <c r="AF93" s="15"/>
      <c r="AG93" s="15"/>
      <c r="AH93" s="15"/>
      <c r="AI93" s="24" t="str">
        <f ca="1">IFERROR(__xludf.DUMMYFUNCTION("""COMPUTED_VALUE"""),"31 de agosto")</f>
        <v>31 de agosto</v>
      </c>
      <c r="AJ93" s="17"/>
      <c r="AK93" s="17"/>
      <c r="AL93" s="17"/>
      <c r="AM93" s="17"/>
      <c r="AN93" s="17"/>
      <c r="AO93" s="17"/>
      <c r="AP93" s="17"/>
      <c r="AQ93" s="17"/>
      <c r="AR93" s="17"/>
      <c r="AS93" s="15"/>
      <c r="AT93" s="15"/>
      <c r="AU93" s="10"/>
    </row>
    <row r="94" spans="1:47" x14ac:dyDescent="0.25">
      <c r="A94" s="25"/>
      <c r="B94" s="121"/>
      <c r="C94" s="121"/>
      <c r="D94" s="76"/>
      <c r="E94" s="61"/>
      <c r="F94" s="61"/>
      <c r="G94" s="61"/>
      <c r="H94" s="61"/>
      <c r="I94" s="61"/>
      <c r="J94" s="61"/>
      <c r="K94" s="61"/>
      <c r="L94" s="61"/>
      <c r="M94" s="61"/>
      <c r="N94" s="61"/>
      <c r="O94" s="61"/>
      <c r="P94" s="61"/>
      <c r="Q94" s="84"/>
      <c r="R94" s="26" t="str">
        <f ca="1">IFERROR(__xludf.DUMMYFUNCTION("""COMPUTED_VALUE"""),"")</f>
        <v/>
      </c>
      <c r="S94" s="43" t="str">
        <f ca="1">IFERROR(__xludf.DUMMYFUNCTION("""COMPUTED_VALUE"""),"")</f>
        <v/>
      </c>
      <c r="T94" s="38"/>
      <c r="U94" s="26"/>
      <c r="V94" s="76"/>
      <c r="W94" s="76"/>
      <c r="X94" s="76"/>
      <c r="Y94" s="76"/>
      <c r="Z94" s="15" t="str">
        <f ca="1">IFERROR(__xludf.DUMMYFUNCTION("""COMPUTED_VALUE"""),"30 de diciembre")</f>
        <v>30 de diciembre</v>
      </c>
      <c r="AA94" s="17"/>
      <c r="AB94" s="17"/>
      <c r="AC94" s="15"/>
      <c r="AD94" s="17"/>
      <c r="AE94" s="18" t="str">
        <f ca="1">IFERROR(__xludf.DUMMYFUNCTION("""COMPUTED_VALUE"""),"Evidencia")</f>
        <v>Evidencia</v>
      </c>
      <c r="AF94" s="15"/>
      <c r="AG94" s="15"/>
      <c r="AH94" s="15"/>
      <c r="AI94" s="24" t="str">
        <f ca="1">IFERROR(__xludf.DUMMYFUNCTION("""COMPUTED_VALUE"""),"31 de diciembre")</f>
        <v>31 de diciembre</v>
      </c>
      <c r="AJ94" s="17"/>
      <c r="AK94" s="17"/>
      <c r="AL94" s="17"/>
      <c r="AM94" s="17"/>
      <c r="AN94" s="17"/>
      <c r="AO94" s="17"/>
      <c r="AP94" s="17"/>
      <c r="AQ94" s="17"/>
      <c r="AR94" s="17"/>
      <c r="AS94" s="15"/>
      <c r="AT94" s="15"/>
      <c r="AU94" s="10"/>
    </row>
    <row r="95" spans="1:47" ht="132" x14ac:dyDescent="0.25">
      <c r="A95" s="25"/>
      <c r="B95" s="121"/>
      <c r="C95" s="121"/>
      <c r="D95" s="88" t="str">
        <f ca="1">IFERROR(__xludf.DUMMYFUNCTION("""COMPUTED_VALUE"""),"Probabilidad de afectación reputacional por no desarrollo de los comités que se encuentran bajo la responsabilidad de la División de Servicios Administrativos")</f>
        <v>Probabilidad de afectación reputacional por no desarrollo de los comités que se encuentran bajo la responsabilidad de la División de Servicios Administrativos</v>
      </c>
      <c r="E95" s="63" t="str">
        <f ca="1">IFERROR(__xludf.DUMMYFUNCTION("""COMPUTED_VALUE"""),"División de servicios administrativos")</f>
        <v>División de servicios administrativos</v>
      </c>
      <c r="F95" s="63" t="str">
        <f ca="1">IFERROR(__xludf.DUMMYFUNCTION("""COMPUTED_VALUE"""),"Gestión")</f>
        <v>Gestión</v>
      </c>
      <c r="G95" s="63" t="str">
        <f ca="1">IFERROR(__xludf.DUMMYFUNCTION("""COMPUTED_VALUE"""),"- Baja participación de los integrantes de los comités bajo la responsabilidad de la División de Servicios Administrativos
- Baja promoción a los empleados de la Universidad, a participar en los comités bajo la responsabilidad de la División de Servicios "&amp;"Administrativos 
- El procedimiento de comité de convivencia laboral, no especifica las acciones a seguir cuando el quejoso y presunto acosador, no acuden a las citaciones")</f>
        <v>- Baja participación de los integrantes de los comités bajo la responsabilidad de la División de Servicios Administrativos
- Baja promoción a los empleados de la Universidad, a participar en los comités bajo la responsabilidad de la División de Servicios Administrativos 
- El procedimiento de comité de convivencia laboral, no especifica las acciones a seguir cuando el quejoso y presunto acosador, no acuden a las citaciones</v>
      </c>
      <c r="H95" s="63" t="str">
        <f ca="1">IFERROR(__xludf.DUMMYFUNCTION("""COMPUTED_VALUE"""),"1. Procesos sancionatorios, disciplinarios o fiscales
2. Pérdida de imagen y credibilidad institucional
3. Intervención de órganos de control
4. Vulneración de los derechos de los empleados de la Universidad")</f>
        <v>1. Procesos sancionatorios, disciplinarios o fiscales
2. Pérdida de imagen y credibilidad institucional
3. Intervención de órganos de control
4. Vulneración de los derechos de los empleados de la Universidad</v>
      </c>
      <c r="I95" s="65" t="str">
        <f ca="1">IFERROR(__xludf.DUMMYFUNCTION("""COMPUTED_VALUE"""),"GTH_05")</f>
        <v>GTH_05</v>
      </c>
      <c r="J95" s="65" t="str">
        <f ca="1">IFERROR(__xludf.DUMMYFUNCTION("""COMPUTED_VALUE"""),"Media")</f>
        <v>Media</v>
      </c>
      <c r="K95" s="65" t="str">
        <f ca="1">IFERROR(__xludf.DUMMYFUNCTION("""COMPUTED_VALUE"""),"Menor")</f>
        <v>Menor</v>
      </c>
      <c r="L95" s="65" t="str">
        <f ca="1">IFERROR(__xludf.DUMMYFUNCTION("""COMPUTED_VALUE"""),"Media")</f>
        <v>Media</v>
      </c>
      <c r="M95" s="63" t="str">
        <f ca="1">IFERROR(__xludf.DUMMYFUNCTION("""COMPUTED_VALUE"""),"- El Jefe de personal, de acuerdo al rol que desempeña en cada uno de los comités, realiza la citación a los integrantes de cada uno de ellos; cuando se va a sesionar
- El jefe de personal, cada vez que se desarrollan procesos eleccionarios de los comités"&amp;", realiza mediante los medios de comunicación institucionales, la invitación a los empleados para que participen en estas convocatorias   ")</f>
        <v xml:space="preserve">- El Jefe de personal, de acuerdo al rol que desempeña en cada uno de los comités, realiza la citación a los integrantes de cada uno de ellos; cuando se va a sesionar
- El jefe de personal, cada vez que se desarrollan procesos eleccionarios de los comités, realiza mediante los medios de comunicación institucionales, la invitación a los empleados para que participen en estas convocatorias   </v>
      </c>
      <c r="N95" s="65" t="str">
        <f ca="1">IFERROR(__xludf.DUMMYFUNCTION("""COMPUTED_VALUE"""),"Baja")</f>
        <v>Baja</v>
      </c>
      <c r="O95" s="65" t="str">
        <f ca="1">IFERROR(__xludf.DUMMYFUNCTION("""COMPUTED_VALUE"""),"Menor")</f>
        <v>Menor</v>
      </c>
      <c r="P95" s="65" t="str">
        <f ca="1">IFERROR(__xludf.DUMMYFUNCTION("""COMPUTED_VALUE"""),"Baja")</f>
        <v>Baja</v>
      </c>
      <c r="Q95" s="91" t="str">
        <f ca="1">IFERROR(__xludf.DUMMYFUNCTION("""COMPUTED_VALUE"""),"Reducir")</f>
        <v>Reducir</v>
      </c>
      <c r="R95" s="20" t="str">
        <f ca="1">IFERROR(__xludf.DUMMYFUNCTION("""COMPUTED_VALUE"""),"Actualizar el procedimiento de comité de convivencia laboral de acuerdo con la normatividad aplicable y la realidad operativa, especificando las acciones a seguir cuando el quejoso y presunto acosador, no acuden a las citaciones")</f>
        <v>Actualizar el procedimiento de comité de convivencia laboral de acuerdo con la normatividad aplicable y la realidad operativa, especificando las acciones a seguir cuando el quejoso y presunto acosador, no acuden a las citaciones</v>
      </c>
      <c r="S95" s="40">
        <f ca="1">IFERROR(__xludf.DUMMYFUNCTION("""COMPUTED_VALUE"""),46203)</f>
        <v>46203</v>
      </c>
      <c r="T95" s="32" t="str">
        <f ca="1">IFERROR(__xludf.DUMMYFUNCTION("""COMPUTED_VALUE"""),"Jefe de personal")</f>
        <v>Jefe de personal</v>
      </c>
      <c r="U95" s="41" t="str">
        <f ca="1">IFERROR(__xludf.DUMMYFUNCTION("""COMPUTED_VALUE"""),"Procedimiento actualizado")</f>
        <v>Procedimiento actualizado</v>
      </c>
      <c r="V95" s="92" t="str">
        <f ca="1">IFERROR(__xludf.DUMMYFUNCTION("""COMPUTED_VALUE"""),"- La División de Servicios Administrativos toma las medidas pertinentes para desarrollar los comités, dando cumplimiento a la normatividad aplicable")</f>
        <v>- La División de Servicios Administrativos toma las medidas pertinentes para desarrollar los comités, dando cumplimiento a la normatividad aplicable</v>
      </c>
      <c r="W95" s="97" t="str">
        <f ca="1">IFERROR(__xludf.DUMMYFUNCTION("""COMPUTED_VALUE"""),"Reiteración de citación a las sesiones de los comités")</f>
        <v>Reiteración de citación a las sesiones de los comités</v>
      </c>
      <c r="X95" s="97" t="str">
        <f ca="1">IFERROR(__xludf.DUMMYFUNCTION("""COMPUTED_VALUE"""),"Jefe de personal")</f>
        <v>Jefe de personal</v>
      </c>
      <c r="Y95" s="97" t="str">
        <f ca="1">IFERROR(__xludf.DUMMYFUNCTION("""COMPUTED_VALUE"""),"De acuerdo a la normatividad interna y externa aplicable")</f>
        <v>De acuerdo a la normatividad interna y externa aplicable</v>
      </c>
      <c r="Z95" s="15" t="str">
        <f ca="1">IFERROR(__xludf.DUMMYFUNCTION("""COMPUTED_VALUE"""),"30 de abril")</f>
        <v>30 de abril</v>
      </c>
      <c r="AA95" s="17" t="str">
        <f ca="1">IFERROR(__xludf.DUMMYFUNCTION("""COMPUTED_VALUE"""),"ENE-ABR")</f>
        <v>ENE-ABR</v>
      </c>
      <c r="AB95" s="17" t="str">
        <f ca="1">IFERROR(__xludf.DUMMYFUNCTION("""COMPUTED_VALUE"""),"No")</f>
        <v>No</v>
      </c>
      <c r="AC95" s="15" t="str">
        <f ca="1">IFERROR(__xludf.DUMMYFUNCTION("""COMPUTED_VALUE"""),"Acciones asociadas a la ejecución de los controles:
C1-El jefe de personal en cumplimiento de la Resolución 3461 del 2025, realiza la citación de los integrantes a las sesiones del CCL, cumpliendo con el numeral 1 del Articulo 7 de la mencionada normativi"&amp;"dad.
C2-Cuando no se presentan las personas al segundo  llamado para ser escuchados, en base al reglamento interno del comité, se tomara la decisión de enviar el caso a la medida disciplinaria correspondiente. Sin embargo, cabe resaltar que hasta la fecha"&amp;" del corte de abril,  no se ha presentado tal eventualidad.")</f>
        <v>Acciones asociadas a la ejecución de los controles:
C1-El jefe de personal en cumplimiento de la Resolución 3461 del 2025, realiza la citación de los integrantes a las sesiones del CCL, cumpliendo con el numeral 1 del Articulo 7 de la mencionada normatividad.
C2-Cuando no se presentan las personas al segundo  llamado para ser escuchados, en base al reglamento interno del comité, se tomara la decisión de enviar el caso a la medida disciplinaria correspondiente. Sin embargo, cabe resaltar que hasta la fecha del corte de abril,  no se ha presentado tal eventualidad.</v>
      </c>
      <c r="AD95" s="17" t="str">
        <f ca="1">IFERROR(__xludf.DUMMYFUNCTION("""COMPUTED_VALUE"""),"División de Servicios Administrativos")</f>
        <v>División de Servicios Administrativos</v>
      </c>
      <c r="AE95" s="18" t="str">
        <f ca="1">IFERROR(__xludf.DUMMYFUNCTION("""COMPUTED_VALUE"""),"Evidencia")</f>
        <v>Evidencia</v>
      </c>
      <c r="AF95" s="15" t="str">
        <f ca="1">IFERROR(__xludf.DUMMYFUNCTION("""COMPUTED_VALUE"""),"Si")</f>
        <v>Si</v>
      </c>
      <c r="AG95" s="15" t="str">
        <f ca="1">IFERROR(__xludf.DUMMYFUNCTION("""COMPUTED_VALUE"""),"Ejecutada")</f>
        <v>Ejecutada</v>
      </c>
      <c r="AH95" s="15" t="str">
        <f ca="1">IFERROR(__xludf.DUMMYFUNCTION("""COMPUTED_VALUE"""),"C1: Se evidenció la realización de citaciones a los integrantes del Comité de Convivencia Laboral conforme a la normatividad aplicable.
C2: Se evidenció avance frente al manejo de inasistencias a citaciones, indicando las acciones a seguir según el regla"&amp;"mento interno. Durante el periodo evaluado no se presentó dicha situación.
Acción de tratamiento: Se evidenció avance en la actualización del procedimiento del Comité de Convivencia Laboral.
Materialización del riesgo: El riesgo no se materializó durant"&amp;"e el periodo evaluado.
Conclusión: Las evidencias aportadas guardan relación con los controles y la acción de tratamiento establecidos.")</f>
        <v>C1: Se evidenció la realización de citaciones a los integrantes del Comité de Convivencia Laboral conforme a la normatividad aplicable.
C2: Se evidenció avance frente al manejo de inasistencias a citaciones, indicando las acciones a seguir según el reglamento interno. Durante el periodo evaluado no se presentó dicha situación.
Acción de tratamiento: Se evidenció avance en la actualización del procedimiento del Comité de Convivencia Laboral.
Materialización del riesgo: El riesgo no se materializó durante el periodo evaluado.
Conclusión: Las evidencias aportadas guardan relación con los controles y la acción de tratamiento establecidos.</v>
      </c>
      <c r="AI95" s="15" t="str">
        <f ca="1">IFERROR(__xludf.DUMMYFUNCTION("""COMPUTED_VALUE"""),"30 de abril")</f>
        <v>30 de abril</v>
      </c>
      <c r="AJ95" s="17" t="str">
        <f ca="1">IFERROR(__xludf.DUMMYFUNCTION("""COMPUTED_VALUE"""),"Si")</f>
        <v>Si</v>
      </c>
      <c r="AK95" s="17" t="str">
        <f ca="1">IFERROR(__xludf.DUMMYFUNCTION("""COMPUTED_VALUE"""),"Si")</f>
        <v>Si</v>
      </c>
      <c r="AL95" s="17" t="str">
        <f ca="1">IFERROR(__xludf.DUMMYFUNCTION("""COMPUTED_VALUE"""),"Si")</f>
        <v>Si</v>
      </c>
      <c r="AM95" s="17" t="str">
        <f ca="1">IFERROR(__xludf.DUMMYFUNCTION("""COMPUTED_VALUE"""),"Si")</f>
        <v>Si</v>
      </c>
      <c r="AN95" s="17" t="str">
        <f ca="1">IFERROR(__xludf.DUMMYFUNCTION("""COMPUTED_VALUE"""),"Si")</f>
        <v>Si</v>
      </c>
      <c r="AO95" s="17" t="str">
        <f ca="1">IFERROR(__xludf.DUMMYFUNCTION("""COMPUTED_VALUE"""),"Si")</f>
        <v>Si</v>
      </c>
      <c r="AP95" s="17" t="str">
        <f ca="1">IFERROR(__xludf.DUMMYFUNCTION("""COMPUTED_VALUE"""),"Si")</f>
        <v>Si</v>
      </c>
      <c r="AQ95" s="17" t="str">
        <f ca="1">IFERROR(__xludf.DUMMYFUNCTION("""COMPUTED_VALUE"""),"No")</f>
        <v>No</v>
      </c>
      <c r="AR95" s="17" t="str">
        <f ca="1">IFERROR(__xludf.DUMMYFUNCTION("""COMPUTED_VALUE"""),"No")</f>
        <v>No</v>
      </c>
      <c r="AS95" s="15" t="str">
        <f ca="1">IFERROR(__xludf.DUMMYFUNCTION("""COMPUTED_VALUE"""),"No aplica")</f>
        <v>No aplica</v>
      </c>
      <c r="AT95" s="15" t="str">
        <f ca="1">IFERROR(__xludf.DUMMYFUNCTION("""COMPUTED_VALUE"""),"Recomendación: 
1. Fortalecer la descripción del riesgo, iniciando con el término ""Posibilidad"", conforme a la orientación de la guía metodológica.")</f>
        <v>Recomendación: 
1. Fortalecer la descripción del riesgo, iniciando con el término "Posibilidad", conforme a la orientación de la guía metodológica.</v>
      </c>
      <c r="AU95" s="10"/>
    </row>
    <row r="96" spans="1:47" x14ac:dyDescent="0.25">
      <c r="A96" s="25"/>
      <c r="B96" s="121"/>
      <c r="C96" s="121"/>
      <c r="D96" s="89"/>
      <c r="E96" s="64"/>
      <c r="F96" s="64"/>
      <c r="G96" s="64"/>
      <c r="H96" s="64"/>
      <c r="I96" s="64"/>
      <c r="J96" s="64"/>
      <c r="K96" s="64"/>
      <c r="L96" s="64"/>
      <c r="M96" s="64"/>
      <c r="N96" s="64"/>
      <c r="O96" s="64"/>
      <c r="P96" s="64"/>
      <c r="Q96" s="83"/>
      <c r="R96" s="20" t="str">
        <f ca="1">IFERROR(__xludf.DUMMYFUNCTION("""COMPUTED_VALUE"""),"")</f>
        <v/>
      </c>
      <c r="S96" s="42" t="str">
        <f ca="1">IFERROR(__xludf.DUMMYFUNCTION("""COMPUTED_VALUE"""),"")</f>
        <v/>
      </c>
      <c r="T96" s="34"/>
      <c r="U96" s="20"/>
      <c r="V96" s="89"/>
      <c r="W96" s="89"/>
      <c r="X96" s="89"/>
      <c r="Y96" s="89"/>
      <c r="Z96" s="15" t="str">
        <f ca="1">IFERROR(__xludf.DUMMYFUNCTION("""COMPUTED_VALUE"""),"30 de agosto")</f>
        <v>30 de agosto</v>
      </c>
      <c r="AA96" s="17"/>
      <c r="AB96" s="17"/>
      <c r="AC96" s="15"/>
      <c r="AD96" s="17"/>
      <c r="AE96" s="18" t="str">
        <f ca="1">IFERROR(__xludf.DUMMYFUNCTION("""COMPUTED_VALUE"""),"Evidencia")</f>
        <v>Evidencia</v>
      </c>
      <c r="AF96" s="15"/>
      <c r="AG96" s="15"/>
      <c r="AH96" s="15"/>
      <c r="AI96" s="24" t="str">
        <f ca="1">IFERROR(__xludf.DUMMYFUNCTION("""COMPUTED_VALUE"""),"31 de agosto")</f>
        <v>31 de agosto</v>
      </c>
      <c r="AJ96" s="17"/>
      <c r="AK96" s="17"/>
      <c r="AL96" s="17"/>
      <c r="AM96" s="17"/>
      <c r="AN96" s="17"/>
      <c r="AO96" s="17"/>
      <c r="AP96" s="17"/>
      <c r="AQ96" s="17"/>
      <c r="AR96" s="17"/>
      <c r="AS96" s="15"/>
      <c r="AT96" s="15"/>
      <c r="AU96" s="10"/>
    </row>
    <row r="97" spans="1:47" x14ac:dyDescent="0.25">
      <c r="A97" s="25"/>
      <c r="B97" s="121"/>
      <c r="C97" s="121"/>
      <c r="D97" s="76"/>
      <c r="E97" s="61"/>
      <c r="F97" s="61"/>
      <c r="G97" s="61"/>
      <c r="H97" s="61"/>
      <c r="I97" s="61"/>
      <c r="J97" s="61"/>
      <c r="K97" s="61"/>
      <c r="L97" s="61"/>
      <c r="M97" s="61"/>
      <c r="N97" s="61"/>
      <c r="O97" s="61"/>
      <c r="P97" s="61"/>
      <c r="Q97" s="84"/>
      <c r="R97" s="26" t="str">
        <f ca="1">IFERROR(__xludf.DUMMYFUNCTION("""COMPUTED_VALUE"""),"")</f>
        <v/>
      </c>
      <c r="S97" s="43" t="str">
        <f ca="1">IFERROR(__xludf.DUMMYFUNCTION("""COMPUTED_VALUE"""),"")</f>
        <v/>
      </c>
      <c r="T97" s="38"/>
      <c r="U97" s="26"/>
      <c r="V97" s="76"/>
      <c r="W97" s="76"/>
      <c r="X97" s="76"/>
      <c r="Y97" s="76"/>
      <c r="Z97" s="15" t="str">
        <f ca="1">IFERROR(__xludf.DUMMYFUNCTION("""COMPUTED_VALUE"""),"30 de diciembre")</f>
        <v>30 de diciembre</v>
      </c>
      <c r="AA97" s="17"/>
      <c r="AB97" s="17"/>
      <c r="AC97" s="15"/>
      <c r="AD97" s="17"/>
      <c r="AE97" s="18" t="str">
        <f ca="1">IFERROR(__xludf.DUMMYFUNCTION("""COMPUTED_VALUE"""),"Evidencia")</f>
        <v>Evidencia</v>
      </c>
      <c r="AF97" s="15"/>
      <c r="AG97" s="15"/>
      <c r="AH97" s="15"/>
      <c r="AI97" s="24" t="str">
        <f ca="1">IFERROR(__xludf.DUMMYFUNCTION("""COMPUTED_VALUE"""),"31 de diciembre")</f>
        <v>31 de diciembre</v>
      </c>
      <c r="AJ97" s="17"/>
      <c r="AK97" s="17"/>
      <c r="AL97" s="17"/>
      <c r="AM97" s="17"/>
      <c r="AN97" s="17"/>
      <c r="AO97" s="17"/>
      <c r="AP97" s="17"/>
      <c r="AQ97" s="17"/>
      <c r="AR97" s="17"/>
      <c r="AS97" s="15"/>
      <c r="AT97" s="15"/>
      <c r="AU97" s="10"/>
    </row>
    <row r="98" spans="1:47" ht="204" x14ac:dyDescent="0.25">
      <c r="A98" s="25"/>
      <c r="B98" s="121"/>
      <c r="C98" s="121"/>
      <c r="D98" s="63" t="str">
        <f ca="1">IFERROR(__xludf.DUMMYFUNCTION("""COMPUTED_VALUE"""),"Probabilidad de afectación económica y reputacional por incumplimiento del plan de trabajo de Seguridad y Salud en el Trabajo, debido a debilidades en la aplicación de controles asociados al monitoreo de este.")</f>
        <v>Probabilidad de afectación económica y reputacional por incumplimiento del plan de trabajo de Seguridad y Salud en el Trabajo, debido a debilidades en la aplicación de controles asociados al monitoreo de este.</v>
      </c>
      <c r="E98" s="63" t="str">
        <f ca="1">IFERROR(__xludf.DUMMYFUNCTION("""COMPUTED_VALUE"""),"Área de Seguridad y Salud en el Trabajo")</f>
        <v>Área de Seguridad y Salud en el Trabajo</v>
      </c>
      <c r="F98" s="63" t="str">
        <f ca="1">IFERROR(__xludf.DUMMYFUNCTION("""COMPUTED_VALUE"""),"Gestión")</f>
        <v>Gestión</v>
      </c>
      <c r="G98" s="63" t="str">
        <f ca="1">IFERROR(__xludf.DUMMYFUNCTION("""COMPUTED_VALUE"""),"- Debilidades en la aplicación de controles en el monitoreo del plan anual de trabajo
- Baja participación del personal de la Universidad en las actividades planeadas.")</f>
        <v>- Debilidades en la aplicación de controles en el monitoreo del plan anual de trabajo
- Baja participación del personal de la Universidad en las actividades planeadas.</v>
      </c>
      <c r="H98" s="63" t="str">
        <f ca="1">IFERROR(__xludf.DUMMYFUNCTION("""COMPUTED_VALUE"""),"1. Sanciones de tipo legal y económico a la institución.
2. Afectación a la salud de las personas.
3. Afectación a la infraestructura de la institución.")</f>
        <v>1. Sanciones de tipo legal y económico a la institución.
2. Afectación a la salud de las personas.
3. Afectación a la infraestructura de la institución.</v>
      </c>
      <c r="I98" s="65" t="str">
        <f ca="1">IFERROR(__xludf.DUMMYFUNCTION("""COMPUTED_VALUE"""),"GTH_06")</f>
        <v>GTH_06</v>
      </c>
      <c r="J98" s="65" t="str">
        <f ca="1">IFERROR(__xludf.DUMMYFUNCTION("""COMPUTED_VALUE"""),"Media")</f>
        <v>Media</v>
      </c>
      <c r="K98" s="65" t="str">
        <f ca="1">IFERROR(__xludf.DUMMYFUNCTION("""COMPUTED_VALUE"""),"Moderado")</f>
        <v>Moderado</v>
      </c>
      <c r="L98" s="65" t="str">
        <f ca="1">IFERROR(__xludf.DUMMYFUNCTION("""COMPUTED_VALUE"""),"Alta")</f>
        <v>Alta</v>
      </c>
      <c r="M98" s="63" t="str">
        <f ca="1">IFERROR(__xludf.DUMMYFUNCTION("""COMPUTED_VALUE"""),"- El profesional de área de SST realiza monitoreo trimestral a la aplicación de controles al riesgo biológico
- El área de SST da respuesta a las solicitudes de apoyo que presta el SG-SST, cada vez que son solicitados por parte de la comunidad Universitar"&amp;"ia
- El coordinador del SG-SST realiza seguimiento trimestral a las actividades del plan anual de trabajo - El equipo del SG-SST, cuando las actividades del plan anual de trabajo no se ejecutan en las fechas establecidas, realizará la reprogramación de es"&amp;"tas, con el fin de garantizar su cumplimiento. ")</f>
        <v xml:space="preserve">- El profesional de área de SST realiza monitoreo trimestral a la aplicación de controles al riesgo biológico
- El área de SST da respuesta a las solicitudes de apoyo que presta el SG-SST, cada vez que son solicitados por parte de la comunidad Universitaria
- El coordinador del SG-SST realiza seguimiento trimestral a las actividades del plan anual de trabajo - El equipo del SG-SST, cuando las actividades del plan anual de trabajo no se ejecutan en las fechas establecidas, realizará la reprogramación de estas, con el fin de garantizar su cumplimiento. </v>
      </c>
      <c r="N98" s="65" t="str">
        <f ca="1">IFERROR(__xludf.DUMMYFUNCTION("""COMPUTED_VALUE"""),"Baja")</f>
        <v>Baja</v>
      </c>
      <c r="O98" s="65" t="str">
        <f ca="1">IFERROR(__xludf.DUMMYFUNCTION("""COMPUTED_VALUE"""),"Menor")</f>
        <v>Menor</v>
      </c>
      <c r="P98" s="65" t="str">
        <f ca="1">IFERROR(__xludf.DUMMYFUNCTION("""COMPUTED_VALUE"""),"Baja")</f>
        <v>Baja</v>
      </c>
      <c r="Q98" s="91" t="str">
        <f ca="1">IFERROR(__xludf.DUMMYFUNCTION("""COMPUTED_VALUE"""),"Reducir")</f>
        <v>Reducir</v>
      </c>
      <c r="R98" s="20" t="str">
        <f ca="1">IFERROR(__xludf.DUMMYFUNCTION("""COMPUTED_VALUE"""),"El plan de trabajo SG-SST 2026 se revisa y se actualiza la ejecución de las actividades ")</f>
        <v xml:space="preserve">El plan de trabajo SG-SST 2026 se revisa y se actualiza la ejecución de las actividades </v>
      </c>
      <c r="S98" s="40">
        <f ca="1">IFERROR(__xludf.DUMMYFUNCTION("""COMPUTED_VALUE"""),46142)</f>
        <v>46142</v>
      </c>
      <c r="T98" s="32" t="str">
        <f ca="1">IFERROR(__xludf.DUMMYFUNCTION("""COMPUTED_VALUE"""),"Profesional Especializado")</f>
        <v>Profesional Especializado</v>
      </c>
      <c r="U98" s="41" t="str">
        <f ca="1">IFERROR(__xludf.DUMMYFUNCTION("""COMPUTED_VALUE"""),"Plan de trabajo SG-SST 2026 ya publicado")</f>
        <v>Plan de trabajo SG-SST 2026 ya publicado</v>
      </c>
      <c r="V98" s="92" t="str">
        <f ca="1">IFERROR(__xludf.DUMMYFUNCTION("""COMPUTED_VALUE"""),"- Reprogramar las actividades en el cronograma, en caso de que no se ejecuten en las fechas establecidas, para garantizar su cumplimiento.")</f>
        <v>- Reprogramar las actividades en el cronograma, en caso de que no se ejecuten en las fechas establecidas, para garantizar su cumplimiento.</v>
      </c>
      <c r="W98" s="97" t="str">
        <f ca="1">IFERROR(__xludf.DUMMYFUNCTION("""COMPUTED_VALUE"""),"Plan de trabajo actualizado")</f>
        <v>Plan de trabajo actualizado</v>
      </c>
      <c r="X98" s="97" t="str">
        <f ca="1">IFERROR(__xludf.DUMMYFUNCTION("""COMPUTED_VALUE"""),"Profesional Especializado SST")</f>
        <v>Profesional Especializado SST</v>
      </c>
      <c r="Y98" s="97" t="str">
        <f ca="1">IFERROR(__xludf.DUMMYFUNCTION("""COMPUTED_VALUE"""),"1 mes")</f>
        <v>1 mes</v>
      </c>
      <c r="Z98" s="15" t="str">
        <f ca="1">IFERROR(__xludf.DUMMYFUNCTION("""COMPUTED_VALUE"""),"30 de abril")</f>
        <v>30 de abril</v>
      </c>
      <c r="AA98" s="56">
        <f ca="1">IFERROR(__xludf.DUMMYFUNCTION("""COMPUTED_VALUE"""),46142)</f>
        <v>46142</v>
      </c>
      <c r="AB98" s="17" t="str">
        <f ca="1">IFERROR(__xludf.DUMMYFUNCTION("""COMPUTED_VALUE"""),"No")</f>
        <v>No</v>
      </c>
      <c r="AC98" s="15" t="str">
        <f ca="1">IFERROR(__xludf.DUMMYFUNCTION("""COMPUTED_VALUE"""),"Acciones asociadas a la ejecución de los controles:
C1: Se realizo capacitación en prevención de accidentes de trabajo por riesgo biológico (mordeduras, picaduras, pinchazos, cortes y contacto con fluidos) el día 17 de abril contando con la participación "&amp;"de 55 personas
C2: Se están implementando diversas estrategias orientadas a incrementar la participación del personal de la universidad en las actividades programadas, mediante la inclusión de incentivos y el desarrollo de actividades en modalidad remota."&amp;"
C3: Se actualiza el plan de trabajo, dejándolo publicado y al día con las actividades ejecutadas y se realiza la reprogramación de aquellas actividades que no pudieron desarrollarse según lo previsto")</f>
        <v>Acciones asociadas a la ejecución de los controles:
C1: Se realizo capacitación en prevención de accidentes de trabajo por riesgo biológico (mordeduras, picaduras, pinchazos, cortes y contacto con fluidos) el día 17 de abril contando con la participación de 55 personas
C2: Se están implementando diversas estrategias orientadas a incrementar la participación del personal de la universidad en las actividades programadas, mediante la inclusión de incentivos y el desarrollo de actividades en modalidad remota.
C3: Se actualiza el plan de trabajo, dejándolo publicado y al día con las actividades ejecutadas y se realiza la reprogramación de aquellas actividades que no pudieron desarrollarse según lo previsto</v>
      </c>
      <c r="AD98" s="17" t="str">
        <f ca="1">IFERROR(__xludf.DUMMYFUNCTION("""COMPUTED_VALUE"""),"Profesional Especializado SST")</f>
        <v>Profesional Especializado SST</v>
      </c>
      <c r="AE98" s="18" t="str">
        <f ca="1">IFERROR(__xludf.DUMMYFUNCTION("""COMPUTED_VALUE"""),"Evidencia")</f>
        <v>Evidencia</v>
      </c>
      <c r="AF98" s="15" t="str">
        <f ca="1">IFERROR(__xludf.DUMMYFUNCTION("""COMPUTED_VALUE"""),"Si")</f>
        <v>Si</v>
      </c>
      <c r="AG98" s="15" t="str">
        <f ca="1">IFERROR(__xludf.DUMMYFUNCTION("""COMPUTED_VALUE"""),"Ejecutada")</f>
        <v>Ejecutada</v>
      </c>
      <c r="AH98" s="15" t="str">
        <f ca="1">IFERROR(__xludf.DUMMYFUNCTION("""COMPUTED_VALUE"""),"C1: Se adjunta como evidencia el Plan de Trabajo SG-SST 2026; sin embargo, no se evidencian soportes que permitan verificar la ejecución de la capacitación reportada ni la participación de las 55 personas mencionadas, tales como listados de asistencia o r"&amp;"egistros de la actividad. Adicionalmente, la evidencia aportada no guarda relación directa con el control establecido en la matriz frente al monitoreo trimestral del riesgo biológico.
C2: Se evidenció la implementación de estrategias orientadas a fortale"&amp;"cer la participación del personal en las actividades programadas, mediante invitaciones y actividades en modalidad remota.
C3-C4: Se reporta la actualización y reprogramación del Plan de Trabajo SG-SST 2026; no obstante, no se evidenció una carpeta indep"&amp;"endiente para el Control 3, ya que se adjuntó nuevamente el mismo soporte aportado para el C1.
Acción de tratamiento: Se evidenció la actualización del Plan de Trabajo SG-SST 2026.
Materialización del riesgo: El riesgo no se materializó durante el perio"&amp;"do evaluado.
Conclusión: Se recomienda organizar las evidencias conforme a cada control establecido en la matriz de riesgos y fortalecer los soportes aportados, con el fin de facilitar la verificación de la ejecución efectiva de los controles reportados.")</f>
        <v>C1: Se adjunta como evidencia el Plan de Trabajo SG-SST 2026; sin embargo, no se evidencian soportes que permitan verificar la ejecución de la capacitación reportada ni la participación de las 55 personas mencionadas, tales como listados de asistencia o registros de la actividad. Adicionalmente, la evidencia aportada no guarda relación directa con el control establecido en la matriz frente al monitoreo trimestral del riesgo biológico.
C2: Se evidenció la implementación de estrategias orientadas a fortalecer la participación del personal en las actividades programadas, mediante invitaciones y actividades en modalidad remota.
C3-C4: Se reporta la actualización y reprogramación del Plan de Trabajo SG-SST 2026; no obstante, no se evidenció una carpeta independiente para el Control 3, ya que se adjuntó nuevamente el mismo soporte aportado para el C1.
Acción de tratamiento: Se evidenció la actualización del Plan de Trabajo SG-SST 2026.
Materialización del riesgo: El riesgo no se materializó durante el periodo evaluado.
Conclusión: Se recomienda organizar las evidencias conforme a cada control establecido en la matriz de riesgos y fortalecer los soportes aportados, con el fin de facilitar la verificación de la ejecución efectiva de los controles reportados.</v>
      </c>
      <c r="AI98" s="15" t="str">
        <f ca="1">IFERROR(__xludf.DUMMYFUNCTION("""COMPUTED_VALUE"""),"30 de abril")</f>
        <v>30 de abril</v>
      </c>
      <c r="AJ98" s="17" t="str">
        <f ca="1">IFERROR(__xludf.DUMMYFUNCTION("""COMPUTED_VALUE"""),"Si")</f>
        <v>Si</v>
      </c>
      <c r="AK98" s="17" t="str">
        <f ca="1">IFERROR(__xludf.DUMMYFUNCTION("""COMPUTED_VALUE"""),"Si")</f>
        <v>Si</v>
      </c>
      <c r="AL98" s="17" t="str">
        <f ca="1">IFERROR(__xludf.DUMMYFUNCTION("""COMPUTED_VALUE"""),"Si")</f>
        <v>Si</v>
      </c>
      <c r="AM98" s="17" t="str">
        <f ca="1">IFERROR(__xludf.DUMMYFUNCTION("""COMPUTED_VALUE"""),"Si")</f>
        <v>Si</v>
      </c>
      <c r="AN98" s="17" t="str">
        <f ca="1">IFERROR(__xludf.DUMMYFUNCTION("""COMPUTED_VALUE"""),"Si")</f>
        <v>Si</v>
      </c>
      <c r="AO98" s="17" t="str">
        <f ca="1">IFERROR(__xludf.DUMMYFUNCTION("""COMPUTED_VALUE"""),"Si")</f>
        <v>Si</v>
      </c>
      <c r="AP98" s="17" t="str">
        <f ca="1">IFERROR(__xludf.DUMMYFUNCTION("""COMPUTED_VALUE"""),"Si")</f>
        <v>Si</v>
      </c>
      <c r="AQ98" s="17" t="str">
        <f ca="1">IFERROR(__xludf.DUMMYFUNCTION("""COMPUTED_VALUE"""),"No")</f>
        <v>No</v>
      </c>
      <c r="AR98" s="17" t="str">
        <f ca="1">IFERROR(__xludf.DUMMYFUNCTION("""COMPUTED_VALUE"""),"No")</f>
        <v>No</v>
      </c>
      <c r="AS98" s="15" t="str">
        <f ca="1">IFERROR(__xludf.DUMMYFUNCTION("""COMPUTED_VALUE"""),"No aplica")</f>
        <v>No aplica</v>
      </c>
      <c r="AT98" s="15" t="str">
        <f ca="1">IFERROR(__xludf.DUMMYFUNCTION("""COMPUTED_VALUE"""),"Recomendación: 
1. Fortalecer la descripción del riesgo, iniciando con el término ""Posibilidad"", conforme a la orientación de la guía metodológica.")</f>
        <v>Recomendación: 
1. Fortalecer la descripción del riesgo, iniciando con el término "Posibilidad", conforme a la orientación de la guía metodológica.</v>
      </c>
      <c r="AU98" s="10"/>
    </row>
    <row r="99" spans="1:47" x14ac:dyDescent="0.25">
      <c r="A99" s="25"/>
      <c r="B99" s="121"/>
      <c r="C99" s="121"/>
      <c r="D99" s="64"/>
      <c r="E99" s="64"/>
      <c r="F99" s="64"/>
      <c r="G99" s="64"/>
      <c r="H99" s="64"/>
      <c r="I99" s="64"/>
      <c r="J99" s="64"/>
      <c r="K99" s="64"/>
      <c r="L99" s="64"/>
      <c r="M99" s="64"/>
      <c r="N99" s="64"/>
      <c r="O99" s="64"/>
      <c r="P99" s="64"/>
      <c r="Q99" s="83"/>
      <c r="R99" s="20" t="str">
        <f ca="1">IFERROR(__xludf.DUMMYFUNCTION("""COMPUTED_VALUE"""),"")</f>
        <v/>
      </c>
      <c r="S99" s="42" t="str">
        <f ca="1">IFERROR(__xludf.DUMMYFUNCTION("""COMPUTED_VALUE"""),"")</f>
        <v/>
      </c>
      <c r="T99" s="34"/>
      <c r="U99" s="20"/>
      <c r="V99" s="89"/>
      <c r="W99" s="89"/>
      <c r="X99" s="89"/>
      <c r="Y99" s="89"/>
      <c r="Z99" s="15" t="str">
        <f ca="1">IFERROR(__xludf.DUMMYFUNCTION("""COMPUTED_VALUE"""),"30 de agosto")</f>
        <v>30 de agosto</v>
      </c>
      <c r="AA99" s="17"/>
      <c r="AB99" s="17"/>
      <c r="AC99" s="15"/>
      <c r="AD99" s="17"/>
      <c r="AE99" s="18" t="str">
        <f ca="1">IFERROR(__xludf.DUMMYFUNCTION("""COMPUTED_VALUE"""),"Evidencia")</f>
        <v>Evidencia</v>
      </c>
      <c r="AF99" s="15"/>
      <c r="AG99" s="15"/>
      <c r="AH99" s="15"/>
      <c r="AI99" s="24" t="str">
        <f ca="1">IFERROR(__xludf.DUMMYFUNCTION("""COMPUTED_VALUE"""),"31 de agosto")</f>
        <v>31 de agosto</v>
      </c>
      <c r="AJ99" s="17"/>
      <c r="AK99" s="17"/>
      <c r="AL99" s="17"/>
      <c r="AM99" s="17"/>
      <c r="AN99" s="17"/>
      <c r="AO99" s="17"/>
      <c r="AP99" s="17"/>
      <c r="AQ99" s="17"/>
      <c r="AR99" s="17"/>
      <c r="AS99" s="15"/>
      <c r="AT99" s="15"/>
      <c r="AU99" s="10"/>
    </row>
    <row r="100" spans="1:47" x14ac:dyDescent="0.25">
      <c r="A100" s="25"/>
      <c r="B100" s="122"/>
      <c r="C100" s="122"/>
      <c r="D100" s="61"/>
      <c r="E100" s="61"/>
      <c r="F100" s="61"/>
      <c r="G100" s="61"/>
      <c r="H100" s="61"/>
      <c r="I100" s="61"/>
      <c r="J100" s="61"/>
      <c r="K100" s="61"/>
      <c r="L100" s="61"/>
      <c r="M100" s="61"/>
      <c r="N100" s="61"/>
      <c r="O100" s="61"/>
      <c r="P100" s="61"/>
      <c r="Q100" s="84"/>
      <c r="R100" s="26" t="str">
        <f ca="1">IFERROR(__xludf.DUMMYFUNCTION("""COMPUTED_VALUE"""),"")</f>
        <v/>
      </c>
      <c r="S100" s="43" t="str">
        <f ca="1">IFERROR(__xludf.DUMMYFUNCTION("""COMPUTED_VALUE"""),"")</f>
        <v/>
      </c>
      <c r="T100" s="38"/>
      <c r="U100" s="26"/>
      <c r="V100" s="76"/>
      <c r="W100" s="76"/>
      <c r="X100" s="76"/>
      <c r="Y100" s="76"/>
      <c r="Z100" s="15" t="str">
        <f ca="1">IFERROR(__xludf.DUMMYFUNCTION("""COMPUTED_VALUE"""),"30 de diciembre")</f>
        <v>30 de diciembre</v>
      </c>
      <c r="AA100" s="17"/>
      <c r="AB100" s="17"/>
      <c r="AC100" s="15"/>
      <c r="AD100" s="17"/>
      <c r="AE100" s="18" t="str">
        <f ca="1">IFERROR(__xludf.DUMMYFUNCTION("""COMPUTED_VALUE"""),"Evidencia")</f>
        <v>Evidencia</v>
      </c>
      <c r="AF100" s="15"/>
      <c r="AG100" s="15"/>
      <c r="AH100" s="15"/>
      <c r="AI100" s="24" t="str">
        <f ca="1">IFERROR(__xludf.DUMMYFUNCTION("""COMPUTED_VALUE"""),"31 de diciembre")</f>
        <v>31 de diciembre</v>
      </c>
      <c r="AJ100" s="17"/>
      <c r="AK100" s="17"/>
      <c r="AL100" s="17"/>
      <c r="AM100" s="17"/>
      <c r="AN100" s="17"/>
      <c r="AO100" s="17"/>
      <c r="AP100" s="17"/>
      <c r="AQ100" s="17"/>
      <c r="AR100" s="17"/>
      <c r="AS100" s="15"/>
      <c r="AT100" s="15"/>
      <c r="AU100" s="10"/>
    </row>
    <row r="101" spans="1:47" ht="276" x14ac:dyDescent="0.25">
      <c r="A101" s="25"/>
      <c r="B101" s="90" t="s">
        <v>68</v>
      </c>
      <c r="C101" s="85" t="str">
        <f ca="1">IFERROR(__xludf.DUMMYFUNCTION("IMPORTRANGE(""https://docs.google.com/spreadsheets/d/13GiQCPLtLYQMMXCufLdo8k8qjsvC-kI3Nqz83k2Lv1g/edit?gid=2098233099#gid=2098233099"",""Matriz_riesgos!C11:AT22"")"),"Administrar de forma eficaz y eficiente los recursos de la Universidad para realizar el ejercicio de los procesos. ")</f>
        <v xml:space="preserve">Administrar de forma eficaz y eficiente los recursos de la Universidad para realizar el ejercicio de los procesos. </v>
      </c>
      <c r="D101" s="88" t="str">
        <f ca="1">IFERROR(__xludf.DUMMYFUNCTION("""COMPUTED_VALUE"""),"Posibilidad de afectación económica y reputaciónal por celebración de contratos sin el cumplimiento de requisitos técnicos, jurídicos o financieros, por debilidades en la aplicación de controles orientados a verificar los requisitos técnicos, jurídicos o "&amp;"financieros de los procesos contractuales")</f>
        <v>Posibilidad de afectación económica y reputaciónal por celebración de contratos sin el cumplimiento de requisitos técnicos, jurídicos o financieros, por debilidades en la aplicación de controles orientados a verificar los requisitos técnicos, jurídicos o financieros de los procesos contractuales</v>
      </c>
      <c r="E101" s="63" t="str">
        <f ca="1">IFERROR(__xludf.DUMMYFUNCTION("""COMPUTED_VALUE"""),"Vicerrectoría de Recursos Universitarios")</f>
        <v>Vicerrectoría de Recursos Universitarios</v>
      </c>
      <c r="F101" s="63" t="str">
        <f ca="1">IFERROR(__xludf.DUMMYFUNCTION("""COMPUTED_VALUE"""),"Corrupción")</f>
        <v>Corrupción</v>
      </c>
      <c r="G101" s="63" t="str">
        <f ca="1">IFERROR(__xludf.DUMMYFUNCTION("""COMPUTED_VALUE"""),"- Deficiencia en la etapa de planeación de los procesos contractuales
- Debilidades en la aplicación de controles orientados a verificar los requisitos técnicos, jurídicos o financieros de los procesos contractuales")</f>
        <v>- Deficiencia en la etapa de planeación de los procesos contractuales
- Debilidades en la aplicación de controles orientados a verificar los requisitos técnicos, jurídicos o financieros de los procesos contractuales</v>
      </c>
      <c r="H101" s="63" t="str">
        <f ca="1">IFERROR(__xludf.DUMMYFUNCTION("""COMPUTED_VALUE"""),"1. Detrimento patrimonial
2. Afectación de la imagen institucional
3. Sanciones penales, disciplinarias y fiscales.
4. Incoherencia en la entrega de bienes y/o servicios.
5. Generación de reprocesos.")</f>
        <v>1. Detrimento patrimonial
2. Afectación de la imagen institucional
3. Sanciones penales, disciplinarias y fiscales.
4. Incoherencia en la entrega de bienes y/o servicios.
5. Generación de reprocesos.</v>
      </c>
      <c r="I101" s="65" t="str">
        <f ca="1">IFERROR(__xludf.DUMMYFUNCTION("""COMPUTED_VALUE"""),"GBS_01")</f>
        <v>GBS_01</v>
      </c>
      <c r="J101" s="65" t="str">
        <f ca="1">IFERROR(__xludf.DUMMYFUNCTION("""COMPUTED_VALUE"""),"Alta")</f>
        <v>Alta</v>
      </c>
      <c r="K101" s="65" t="str">
        <f ca="1">IFERROR(__xludf.DUMMYFUNCTION("""COMPUTED_VALUE"""),"Mayor")</f>
        <v>Mayor</v>
      </c>
      <c r="L101" s="65" t="str">
        <f ca="1">IFERROR(__xludf.DUMMYFUNCTION("""COMPUTED_VALUE"""),"Extrema")</f>
        <v>Extrema</v>
      </c>
      <c r="M101" s="63" t="str">
        <f ca="1">IFERROR(__xludf.DUMMYFUNCTION("""COMPUTED_VALUE"""),"- Los profesionales de la VRU verifican, en cada proceso contractual, el cumplimiento de los requisitos establecidos en la etapa precontractual, con el fin de garantizar que estos se cumplan adecuadamente
- El área de contratación de la VRU, publica de ma"&amp;"nera oportuna los estudios previos y pliegos de condiciones en la pagina web de la Universidad de cada una de las convocotorias privada y pública, garantizando los tiempos legales para la recepción, análisis y respuesta a las observaciones frente a los re"&amp;"quisitos técnicos, jurídicos y financieros por parte de los oferentes.
- Los profesionales de la VRU solicitan a los proveedores de los contratos que lo requieran, la adquisición de pólizas conforme a la naturaleza del contrato  ")</f>
        <v xml:space="preserve">- Los profesionales de la VRU verifican, en cada proceso contractual, el cumplimiento de los requisitos establecidos en la etapa precontractual, con el fin de garantizar que estos se cumplan adecuadamente
- El área de contratación de la VRU, publica de manera oportuna los estudios previos y pliegos de condiciones en la pagina web de la Universidad de cada una de las convocotorias privada y pública, garantizando los tiempos legales para la recepción, análisis y respuesta a las observaciones frente a los requisitos técnicos, jurídicos y financieros por parte de los oferentes.
- Los profesionales de la VRU solicitan a los proveedores de los contratos que lo requieran, la adquisición de pólizas conforme a la naturaleza del contrato  </v>
      </c>
      <c r="N101" s="65" t="str">
        <f ca="1">IFERROR(__xludf.DUMMYFUNCTION("""COMPUTED_VALUE"""),"Baja")</f>
        <v>Baja</v>
      </c>
      <c r="O101" s="65" t="str">
        <f ca="1">IFERROR(__xludf.DUMMYFUNCTION("""COMPUTED_VALUE"""),"Mayor")</f>
        <v>Mayor</v>
      </c>
      <c r="P101" s="65" t="str">
        <f ca="1">IFERROR(__xludf.DUMMYFUNCTION("""COMPUTED_VALUE"""),"Alta")</f>
        <v>Alta</v>
      </c>
      <c r="Q101" s="91" t="str">
        <f ca="1">IFERROR(__xludf.DUMMYFUNCTION("""COMPUTED_VALUE"""),"Reducir")</f>
        <v>Reducir</v>
      </c>
      <c r="R101" s="20" t="str">
        <f ca="1">IFERROR(__xludf.DUMMYFUNCTION("""COMPUTED_VALUE"""),"Capacitar a los profesionales del área de contratación, sobre las actualizaciones normativas y los procedimientos internos del SGC aplicables a las diferentes modalidades de contratación de la Universidad, con el fin de garantizar aplicación permanente de"&amp;" la norma")</f>
        <v>Capacitar a los profesionales del área de contratación, sobre las actualizaciones normativas y los procedimientos internos del SGC aplicables a las diferentes modalidades de contratación de la Universidad, con el fin de garantizar aplicación permanente de la norma</v>
      </c>
      <c r="S101" s="40">
        <f ca="1">IFERROR(__xludf.DUMMYFUNCTION("""COMPUTED_VALUE"""),46325)</f>
        <v>46325</v>
      </c>
      <c r="T101" s="14" t="str">
        <f ca="1">IFERROR(__xludf.DUMMYFUNCTION("""COMPUTED_VALUE"""),"Abogado designado de la VRU")</f>
        <v>Abogado designado de la VRU</v>
      </c>
      <c r="U101" s="55" t="str">
        <f ca="1">IFERROR(__xludf.DUMMYFUNCTION("""COMPUTED_VALUE"""),"- Soportes de asistencia
- Soportes de evaluación")</f>
        <v>- Soportes de asistencia
- Soportes de evaluación</v>
      </c>
      <c r="V101" s="92" t="str">
        <f ca="1">IFERROR(__xludf.DUMMYFUNCTION("""COMPUTED_VALUE"""),"Realizar reporte ante los organismos de control internos")</f>
        <v>Realizar reporte ante los organismos de control internos</v>
      </c>
      <c r="W101" s="97" t="str">
        <f ca="1">IFERROR(__xludf.DUMMYFUNCTION("""COMPUTED_VALUE"""),"Documentos y/o correos ")</f>
        <v xml:space="preserve">Documentos y/o correos </v>
      </c>
      <c r="X101" s="97" t="str">
        <f ca="1">IFERROR(__xludf.DUMMYFUNCTION("""COMPUTED_VALUE"""),"vicerrector de recursos")</f>
        <v>vicerrector de recursos</v>
      </c>
      <c r="Y101" s="97" t="str">
        <f ca="1">IFERROR(__xludf.DUMMYFUNCTION("""COMPUTED_VALUE"""),"72 horas")</f>
        <v>72 horas</v>
      </c>
      <c r="Z101" s="15" t="str">
        <f ca="1">IFERROR(__xludf.DUMMYFUNCTION("""COMPUTED_VALUE"""),"30 de abril")</f>
        <v>30 de abril</v>
      </c>
      <c r="AA101" s="17" t="str">
        <f ca="1">IFERROR(__xludf.DUMMYFUNCTION("""COMPUTED_VALUE"""),"30 de abril")</f>
        <v>30 de abril</v>
      </c>
      <c r="AB101" s="17" t="str">
        <f ca="1">IFERROR(__xludf.DUMMYFUNCTION("""COMPUTED_VALUE"""),"No")</f>
        <v>No</v>
      </c>
      <c r="AC101" s="15" t="str">
        <f ca="1">IFERROR(__xludf.DUMMYFUNCTION("""COMPUTED_VALUE"""),"Durante el monitoreo NO se materializó el riesgo. 
Avance sobre los controles:
Control 1: Verificación de requisitos en la etapa precontractual.
Los profesionales de la VRU verifican en cada proceso contractual, el cumplimiento de los requisitos estable"&amp;"cidos en la etapa precontractual con el fin de garantizar su adecuada ejecución, por medio de la  aplicación sistemática y verificación de la lista de chequeo documental para todas las modalidades (contratación directa, pública y privada) y pliego de cond"&amp;"iciones para la contratacion privada y pubica durante la etapa precontractual . Esta medida garantiza la completitud y el cumplimiento estricto de los requisitos tecnicos, juridicos y financieros asi como la demas documentación exigida, asegurando la traz"&amp;"abilidad del proceso mediante el cargue oportuno de las evidencias en los repositorios digitales correspondientes.
Control 2: Publicación y garantía de tiempos legales.
El área de contratación de la VRU publica de manera oportuna los estudios previos y p"&amp;"liegos de condiciones en la página web de la Universidad para cada convocatoria (pública y privada), garantizando los tiempos legales para la recepción, análisis y respuesta a las observaciones de los oferentes, por medio de la publicación oportuna en el "&amp;"portal web institucional de los estudios previos y pliegos de condiciones asociados a las convocatorias realizadas. Con esta acción se evidencia el cumplimiento estricto de los cronogramas y términos de ley para la recepción, análisis de fondo y emisión d"&amp;"e respuestas a las observaciones de orden técnico, jurídico y financiero formuladas por los interesados.
Control 3: Gestión de garantías y pólizas.
Los profesionales de la VRU solicitan a los contratistas la adquisición de pólizas conforme a la naturalez"&amp;"a y exigencias del contrato. Dicha solicitud, revisión y aprobación efectiva de las pólizas y garantías, en estricta proporción a las necesidades del proceso, la naturaleza del objeto y la cuantía del contrato. Este control se ha materializado y verificad"&amp;"o transversalmente en las diferentes modalidades de contratación adelantadas (directa, convocatorias privadas y públicas), mitigando el riesgo de desprotección institucional frente a eventuales incumplimientos.    ")</f>
        <v xml:space="preserve">Durante el monitoreo NO se materializó el riesgo. 
Avance sobre los controles:
Control 1: Verificación de requisitos en la etapa precontractual.
Los profesionales de la VRU verifican en cada proceso contractual, el cumplimiento de los requisitos establecidos en la etapa precontractual con el fin de garantizar su adecuada ejecución, por medio de la  aplicación sistemática y verificación de la lista de chequeo documental para todas las modalidades (contratación directa, pública y privada) y pliego de condiciones para la contratacion privada y pubica durante la etapa precontractual . Esta medida garantiza la completitud y el cumplimiento estricto de los requisitos tecnicos, juridicos y financieros asi como la demas documentación exigida, asegurando la trazabilidad del proceso mediante el cargue oportuno de las evidencias en los repositorios digitales correspondientes.
Control 2: Publicación y garantía de tiempos legales.
El área de contratación de la VRU publica de manera oportuna los estudios previos y pliegos de condiciones en la página web de la Universidad para cada convocatoria (pública y privada), garantizando los tiempos legales para la recepción, análisis y respuesta a las observaciones de los oferentes, por medio de la publicación oportuna en el portal web institucional de los estudios previos y pliegos de condiciones asociados a las convocatorias realizadas. Con esta acción se evidencia el cumplimiento estricto de los cronogramas y términos de ley para la recepción, análisis de fondo y emisión de respuestas a las observaciones de orden técnico, jurídico y financiero formuladas por los interesados.
Control 3: Gestión de garantías y pólizas.
Los profesionales de la VRU solicitan a los contratistas la adquisición de pólizas conforme a la naturaleza y exigencias del contrato. Dicha solicitud, revisión y aprobación efectiva de las pólizas y garantías, en estricta proporción a las necesidades del proceso, la naturaleza del objeto y la cuantía del contrato. Este control se ha materializado y verificado transversalmente en las diferentes modalidades de contratación adelantadas (directa, convocatorias privadas y públicas), mitigando el riesgo de desprotección institucional frente a eventuales incumplimientos.    </v>
      </c>
      <c r="AD101" s="17" t="str">
        <f ca="1">IFERROR(__xludf.DUMMYFUNCTION("""COMPUTED_VALUE"""),"Wilson Fernando Salgado Cifuentes")</f>
        <v>Wilson Fernando Salgado Cifuentes</v>
      </c>
      <c r="AE101" s="18" t="str">
        <f ca="1">IFERROR(__xludf.DUMMYFUNCTION("""COMPUTED_VALUE"""),"Evidencia")</f>
        <v>Evidencia</v>
      </c>
      <c r="AF101" s="15" t="str">
        <f ca="1">IFERROR(__xludf.DUMMYFUNCTION("""COMPUTED_VALUE"""),"Si")</f>
        <v>Si</v>
      </c>
      <c r="AG101" s="15" t="str">
        <f ca="1">IFERROR(__xludf.DUMMYFUNCTION("""COMPUTED_VALUE"""),"Ejecutada")</f>
        <v>Ejecutada</v>
      </c>
      <c r="AH101" s="15" t="str">
        <f ca="1">IFERROR(__xludf.DUMMYFUNCTION("""COMPUTED_VALUE"""),"C1: Se evidencian soportes relacionados con listas de chequeo y verificación documental en la etapa precontractual, los cuales guardan relación con el control establecido.
C2: Se evidencian soportes relacionados con la publicación de estudios previos y p"&amp;"liegos de condiciones en la página web institucional, permitiendo verificar el cumplimiento de los tiempos legales establecidos.
C3: Se evidencian pólizas contractuales asociadas a los procesos revisados, las cuales guardan relación con el control establ"&amp;"ecido sobre la adquisición de garantías conforme a la naturaleza del contrato.
Acción de tratamiento: La acción relacionada con capacitación a los profesionales del área de contratación tiene plazo de ejecución hasta el 30 de octubre de 2026, por lo cual"&amp;" no se requiere avance para el presente monitoreo.
Materialización del riesgo: El riesgo no se materializó durante el periodo evaluado.
Conclusión: Los controles reportados cuentan con soportes acordes a lo establecido en la matriz y permiten verificar "&amp;"la aplicación de mecanismos de control en los procesos contractuales adelantados.")</f>
        <v>C1: Se evidencian soportes relacionados con listas de chequeo y verificación documental en la etapa precontractual, los cuales guardan relación con el control establecido.
C2: Se evidencian soportes relacionados con la publicación de estudios previos y pliegos de condiciones en la página web institucional, permitiendo verificar el cumplimiento de los tiempos legales establecidos.
C3: Se evidencian pólizas contractuales asociadas a los procesos revisados, las cuales guardan relación con el control establecido sobre la adquisición de garantías conforme a la naturaleza del contrato.
Acción de tratamiento: La acción relacionada con capacitación a los profesionales del área de contratación tiene plazo de ejecución hasta el 30 de octubre de 2026, por lo cual no se requiere avance para el presente monitoreo.
Materialización del riesgo: El riesgo no se materializó durante el periodo evaluado.
Conclusión: Los controles reportados cuentan con soportes acordes a lo establecido en la matriz y permiten verificar la aplicación de mecanismos de control en los procesos contractuales adelantados.</v>
      </c>
      <c r="AI101" s="15" t="str">
        <f ca="1">IFERROR(__xludf.DUMMYFUNCTION("""COMPUTED_VALUE"""),"30 de abril")</f>
        <v>30 de abril</v>
      </c>
      <c r="AJ101" s="17" t="str">
        <f ca="1">IFERROR(__xludf.DUMMYFUNCTION("""COMPUTED_VALUE"""),"Si")</f>
        <v>Si</v>
      </c>
      <c r="AK101" s="17" t="str">
        <f ca="1">IFERROR(__xludf.DUMMYFUNCTION("""COMPUTED_VALUE"""),"Si")</f>
        <v>Si</v>
      </c>
      <c r="AL101" s="17" t="str">
        <f ca="1">IFERROR(__xludf.DUMMYFUNCTION("""COMPUTED_VALUE"""),"Si")</f>
        <v>Si</v>
      </c>
      <c r="AM101" s="17" t="str">
        <f ca="1">IFERROR(__xludf.DUMMYFUNCTION("""COMPUTED_VALUE"""),"Si")</f>
        <v>Si</v>
      </c>
      <c r="AN101" s="17" t="str">
        <f ca="1">IFERROR(__xludf.DUMMYFUNCTION("""COMPUTED_VALUE"""),"Si")</f>
        <v>Si</v>
      </c>
      <c r="AO101" s="17" t="str">
        <f ca="1">IFERROR(__xludf.DUMMYFUNCTION("""COMPUTED_VALUE"""),"Si")</f>
        <v>Si</v>
      </c>
      <c r="AP101" s="17" t="str">
        <f ca="1">IFERROR(__xludf.DUMMYFUNCTION("""COMPUTED_VALUE"""),"Si")</f>
        <v>Si</v>
      </c>
      <c r="AQ101" s="17" t="str">
        <f ca="1">IFERROR(__xludf.DUMMYFUNCTION("""COMPUTED_VALUE"""),"No")</f>
        <v>No</v>
      </c>
      <c r="AR101" s="17" t="str">
        <f ca="1">IFERROR(__xludf.DUMMYFUNCTION("""COMPUTED_VALUE"""),"No")</f>
        <v>No</v>
      </c>
      <c r="AS101" s="15" t="str">
        <f ca="1">IFERROR(__xludf.DUMMYFUNCTION("""COMPUTED_VALUE"""),"No aplica")</f>
        <v>No aplica</v>
      </c>
      <c r="AT101" s="15" t="str">
        <f ca="1">IFERROR(__xludf.DUMMYFUNCTION("""COMPUTED_VALUE"""),"Ninguna")</f>
        <v>Ninguna</v>
      </c>
      <c r="AU101" s="10"/>
    </row>
    <row r="102" spans="1:47" x14ac:dyDescent="0.25">
      <c r="A102" s="25"/>
      <c r="B102" s="86"/>
      <c r="C102" s="86"/>
      <c r="D102" s="89"/>
      <c r="E102" s="64"/>
      <c r="F102" s="64"/>
      <c r="G102" s="64"/>
      <c r="H102" s="64"/>
      <c r="I102" s="64"/>
      <c r="J102" s="64"/>
      <c r="K102" s="64"/>
      <c r="L102" s="64"/>
      <c r="M102" s="64"/>
      <c r="N102" s="64"/>
      <c r="O102" s="64"/>
      <c r="P102" s="64"/>
      <c r="Q102" s="83"/>
      <c r="R102" s="20" t="str">
        <f ca="1">IFERROR(__xludf.DUMMYFUNCTION("""COMPUTED_VALUE"""),"")</f>
        <v/>
      </c>
      <c r="S102" s="42" t="str">
        <f ca="1">IFERROR(__xludf.DUMMYFUNCTION("""COMPUTED_VALUE"""),"")</f>
        <v/>
      </c>
      <c r="T102" s="34"/>
      <c r="U102" s="20"/>
      <c r="V102" s="89"/>
      <c r="W102" s="89"/>
      <c r="X102" s="89"/>
      <c r="Y102" s="89"/>
      <c r="Z102" s="15" t="str">
        <f ca="1">IFERROR(__xludf.DUMMYFUNCTION("""COMPUTED_VALUE"""),"30 de agosto")</f>
        <v>30 de agosto</v>
      </c>
      <c r="AA102" s="17"/>
      <c r="AB102" s="17"/>
      <c r="AC102" s="15"/>
      <c r="AD102" s="17"/>
      <c r="AE102" s="18" t="str">
        <f ca="1">IFERROR(__xludf.DUMMYFUNCTION("""COMPUTED_VALUE"""),"Evidencia")</f>
        <v>Evidencia</v>
      </c>
      <c r="AF102" s="15"/>
      <c r="AG102" s="15"/>
      <c r="AH102" s="15"/>
      <c r="AI102" s="24" t="str">
        <f ca="1">IFERROR(__xludf.DUMMYFUNCTION("""COMPUTED_VALUE"""),"31 de agosto")</f>
        <v>31 de agosto</v>
      </c>
      <c r="AJ102" s="17"/>
      <c r="AK102" s="17"/>
      <c r="AL102" s="17"/>
      <c r="AM102" s="17"/>
      <c r="AN102" s="17"/>
      <c r="AO102" s="17"/>
      <c r="AP102" s="17"/>
      <c r="AQ102" s="17"/>
      <c r="AR102" s="17"/>
      <c r="AS102" s="15"/>
      <c r="AT102" s="15"/>
      <c r="AU102" s="10"/>
    </row>
    <row r="103" spans="1:47" x14ac:dyDescent="0.25">
      <c r="A103" s="25"/>
      <c r="B103" s="86"/>
      <c r="C103" s="86"/>
      <c r="D103" s="76"/>
      <c r="E103" s="61"/>
      <c r="F103" s="61"/>
      <c r="G103" s="61"/>
      <c r="H103" s="61"/>
      <c r="I103" s="61"/>
      <c r="J103" s="61"/>
      <c r="K103" s="61"/>
      <c r="L103" s="61"/>
      <c r="M103" s="61"/>
      <c r="N103" s="61"/>
      <c r="O103" s="61"/>
      <c r="P103" s="61"/>
      <c r="Q103" s="84"/>
      <c r="R103" s="26" t="str">
        <f ca="1">IFERROR(__xludf.DUMMYFUNCTION("""COMPUTED_VALUE"""),"")</f>
        <v/>
      </c>
      <c r="S103" s="43" t="str">
        <f ca="1">IFERROR(__xludf.DUMMYFUNCTION("""COMPUTED_VALUE"""),"")</f>
        <v/>
      </c>
      <c r="T103" s="38"/>
      <c r="U103" s="26"/>
      <c r="V103" s="76"/>
      <c r="W103" s="76"/>
      <c r="X103" s="76"/>
      <c r="Y103" s="76"/>
      <c r="Z103" s="15" t="str">
        <f ca="1">IFERROR(__xludf.DUMMYFUNCTION("""COMPUTED_VALUE"""),"30 de diciembre")</f>
        <v>30 de diciembre</v>
      </c>
      <c r="AA103" s="17"/>
      <c r="AB103" s="17"/>
      <c r="AC103" s="15"/>
      <c r="AD103" s="17"/>
      <c r="AE103" s="18" t="str">
        <f ca="1">IFERROR(__xludf.DUMMYFUNCTION("""COMPUTED_VALUE"""),"Evidencia")</f>
        <v>Evidencia</v>
      </c>
      <c r="AF103" s="15"/>
      <c r="AG103" s="15"/>
      <c r="AH103" s="15"/>
      <c r="AI103" s="24" t="str">
        <f ca="1">IFERROR(__xludf.DUMMYFUNCTION("""COMPUTED_VALUE"""),"31 de diciembre")</f>
        <v>31 de diciembre</v>
      </c>
      <c r="AJ103" s="17"/>
      <c r="AK103" s="17"/>
      <c r="AL103" s="17"/>
      <c r="AM103" s="17"/>
      <c r="AN103" s="17"/>
      <c r="AO103" s="17"/>
      <c r="AP103" s="17"/>
      <c r="AQ103" s="17"/>
      <c r="AR103" s="17"/>
      <c r="AS103" s="15"/>
      <c r="AT103" s="15"/>
      <c r="AU103" s="10"/>
    </row>
    <row r="104" spans="1:47" ht="216" x14ac:dyDescent="0.25">
      <c r="A104" s="25"/>
      <c r="B104" s="86"/>
      <c r="C104" s="86"/>
      <c r="D104" s="88" t="str">
        <f ca="1">IFERROR(__xludf.DUMMYFUNCTION("""COMPUTED_VALUE"""),"Posibilidad de afectación económica por incumplimiento de las obligaciones contractuales, debido a desconocimiento de las responsabilidades por parte de los supervisores de contratos")</f>
        <v>Posibilidad de afectación económica por incumplimiento de las obligaciones contractuales, debido a desconocimiento de las responsabilidades por parte de los supervisores de contratos</v>
      </c>
      <c r="E104" s="63" t="str">
        <f ca="1">IFERROR(__xludf.DUMMYFUNCTION("""COMPUTED_VALUE"""),"Vicerrectoría de Recursos Universitarios")</f>
        <v>Vicerrectoría de Recursos Universitarios</v>
      </c>
      <c r="F104" s="63" t="str">
        <f ca="1">IFERROR(__xludf.DUMMYFUNCTION("""COMPUTED_VALUE"""),"Gestión")</f>
        <v>Gestión</v>
      </c>
      <c r="G104" s="63" t="str">
        <f ca="1">IFERROR(__xludf.DUMMYFUNCTION("""COMPUTED_VALUE"""),"- Desconocimiento de obligaciones por parte de los supervisores de los contratos
- Retrasos o ausencia de seguimiento oportuno a los contratos por parte de los supervisores")</f>
        <v>- Desconocimiento de obligaciones por parte de los supervisores de los contratos
- Retrasos o ausencia de seguimiento oportuno a los contratos por parte de los supervisores</v>
      </c>
      <c r="H104" s="63" t="str">
        <f ca="1">IFERROR(__xludf.DUMMYFUNCTION("""COMPUTED_VALUE"""),"1. Pérdidas económicas para la entidad
2. Afectación en la calidad y oportunidad del bien o servicio
3. Imposibilidad de aplicar oportunamente sanciones contractuales")</f>
        <v>1. Pérdidas económicas para la entidad
2. Afectación en la calidad y oportunidad del bien o servicio
3. Imposibilidad de aplicar oportunamente sanciones contractuales</v>
      </c>
      <c r="I104" s="65" t="str">
        <f ca="1">IFERROR(__xludf.DUMMYFUNCTION("""COMPUTED_VALUE"""),"GBS_02")</f>
        <v>GBS_02</v>
      </c>
      <c r="J104" s="65" t="str">
        <f ca="1">IFERROR(__xludf.DUMMYFUNCTION("""COMPUTED_VALUE"""),"Alta")</f>
        <v>Alta</v>
      </c>
      <c r="K104" s="65" t="str">
        <f ca="1">IFERROR(__xludf.DUMMYFUNCTION("""COMPUTED_VALUE"""),"Moderado")</f>
        <v>Moderado</v>
      </c>
      <c r="L104" s="65" t="str">
        <f ca="1">IFERROR(__xludf.DUMMYFUNCTION("""COMPUTED_VALUE"""),"Alta")</f>
        <v>Alta</v>
      </c>
      <c r="M104" s="63" t="str">
        <f ca="1">IFERROR(__xludf.DUMMYFUNCTION("""COMPUTED_VALUE"""),"- El abogado designado de la VRU capacita semestralmente a los supervisores de contratos sobres sus obligaciones y las consecuencias del incumplimiento de estas
- Los profesionales del área de contratación de la VRU, requieren mediante correo electrónico "&amp;"a los supervisores de los contratos, para que estos realicen la entrega de los informes de supervisión
- Los abogados del área de Contratación de la VRU reportan a la oficina de Control Interno de Gestión el listado de los supervisores que presenten retra"&amp;"sos en la entrega de los informes de supervisión mensuales, cuando se presente la situación
")</f>
        <v xml:space="preserve">- El abogado designado de la VRU capacita semestralmente a los supervisores de contratos sobres sus obligaciones y las consecuencias del incumplimiento de estas
- Los profesionales del área de contratación de la VRU, requieren mediante correo electrónico a los supervisores de los contratos, para que estos realicen la entrega de los informes de supervisión
- Los abogados del área de Contratación de la VRU reportan a la oficina de Control Interno de Gestión el listado de los supervisores que presenten retrasos en la entrega de los informes de supervisión mensuales, cuando se presente la situación
</v>
      </c>
      <c r="N104" s="65" t="str">
        <f ca="1">IFERROR(__xludf.DUMMYFUNCTION("""COMPUTED_VALUE"""),"Baja")</f>
        <v>Baja</v>
      </c>
      <c r="O104" s="65" t="str">
        <f ca="1">IFERROR(__xludf.DUMMYFUNCTION("""COMPUTED_VALUE"""),"Moderado")</f>
        <v>Moderado</v>
      </c>
      <c r="P104" s="65" t="str">
        <f ca="1">IFERROR(__xludf.DUMMYFUNCTION("""COMPUTED_VALUE"""),"Media")</f>
        <v>Media</v>
      </c>
      <c r="Q104" s="91" t="str">
        <f ca="1">IFERROR(__xludf.DUMMYFUNCTION("""COMPUTED_VALUE"""),"Reducir")</f>
        <v>Reducir</v>
      </c>
      <c r="R104" s="20" t="str">
        <f ca="1">IFERROR(__xludf.DUMMYFUNCTION("""COMPUTED_VALUE"""),"Sensibilizar a los supervisores de los contratos sobre sus responsabilidades, con el fin de evitar incumplimientos")</f>
        <v>Sensibilizar a los supervisores de los contratos sobre sus responsabilidades, con el fin de evitar incumplimientos</v>
      </c>
      <c r="S104" s="40" t="str">
        <f ca="1">IFERROR(__xludf.DUMMYFUNCTION("""COMPUTED_VALUE"""),"Semestral")</f>
        <v>Semestral</v>
      </c>
      <c r="T104" s="32" t="str">
        <f ca="1">IFERROR(__xludf.DUMMYFUNCTION("""COMPUTED_VALUE"""),"Profesional de la VRU delegado")</f>
        <v>Profesional de la VRU delegado</v>
      </c>
      <c r="U104" s="41" t="str">
        <f ca="1">IFERROR(__xludf.DUMMYFUNCTION("""COMPUTED_VALUE"""),"Correos electrónicos, piezas publicitarias, etc.")</f>
        <v>Correos electrónicos, piezas publicitarias, etc.</v>
      </c>
      <c r="V104" s="92" t="str">
        <f ca="1">IFERROR(__xludf.DUMMYFUNCTION("""COMPUTED_VALUE"""),"Reportar a la oficina de Control Interno de Gestión el listado de los supervisores que presenten retrasos en la entrega de los informes de supervisión mensuales, con el fin de que se tomen medidas al respecto")</f>
        <v>Reportar a la oficina de Control Interno de Gestión el listado de los supervisores que presenten retrasos en la entrega de los informes de supervisión mensuales, con el fin de que se tomen medidas al respecto</v>
      </c>
      <c r="W104" s="97" t="str">
        <f ca="1">IFERROR(__xludf.DUMMYFUNCTION("""COMPUTED_VALUE"""),"Correo electrónico")</f>
        <v>Correo electrónico</v>
      </c>
      <c r="X104" s="97" t="str">
        <f ca="1">IFERROR(__xludf.DUMMYFUNCTION("""COMPUTED_VALUE"""),"Vicerrector de Recursos")</f>
        <v>Vicerrector de Recursos</v>
      </c>
      <c r="Y104" s="97" t="str">
        <f ca="1">IFERROR(__xludf.DUMMYFUNCTION("""COMPUTED_VALUE"""),"15 días")</f>
        <v>15 días</v>
      </c>
      <c r="Z104" s="15" t="str">
        <f ca="1">IFERROR(__xludf.DUMMYFUNCTION("""COMPUTED_VALUE"""),"30 de abril")</f>
        <v>30 de abril</v>
      </c>
      <c r="AA104" s="17" t="str">
        <f ca="1">IFERROR(__xludf.DUMMYFUNCTION("""COMPUTED_VALUE"""),"30 de abril")</f>
        <v>30 de abril</v>
      </c>
      <c r="AB104" s="17" t="str">
        <f ca="1">IFERROR(__xludf.DUMMYFUNCTION("""COMPUTED_VALUE"""),"No")</f>
        <v>No</v>
      </c>
      <c r="AC104" s="15" t="str">
        <f ca="1">IFERROR(__xludf.DUMMYFUNCTION("""COMPUTED_VALUE"""),"Durante el monitoreo NO se materializó el riesgo. 
Avance sobre los controles:
Control 1:Capacitación a supervisores de contratos.
Teniendo en cuenta que la capacitación programada por el abogado designado de la Vicerrectoría de Recursos Universitarios "&amp;"(VRU) tiene una periodicidad semestral, a la fecha no se ha llevado a cabo la jornada correspondiente. No obstante, en aplicación del control residual orientado a la sensibilización, se han adelantado acciones preventivas mediante el envío de piezas comun"&amp;"icativas (boceto publicitario) a los supervisores de contratos, recordando la obligación de realizar la radicación mensual de los informes de supervisión, así como la importancia del cumplimiento oportuno de sus responsabilidades.
Control 2: Requerimient"&amp;"o de informes de supervisión.
Los profesionales del área de contratación de la VRU han efectuado el envío de correos electrónicos a los supervisores de contratos durante los meses de marzo y abril, solicitando la entrega de los informes de supervisión cor"&amp;"respondientes, con el fin de garantizar el seguimiento adecuado a la ejecución contractual.
Control 3: Reporte a Control Interno de Gestión.
Se ha dado cumplimiento al reporte ante la Oficina de Control Interno de Gestión, mediante el envío de comunicaci"&amp;"ón en la cual se relaciona el listado de supervisores que, desde el mes de enero, no han realizado la entrega de informes de supervisión. Lo anterior, con el propósito de que se adelanten las acciones de seguimiento y control a que haya lugar.")</f>
        <v>Durante el monitoreo NO se materializó el riesgo. 
Avance sobre los controles:
Control 1:Capacitación a supervisores de contratos.
Teniendo en cuenta que la capacitación programada por el abogado designado de la Vicerrectoría de Recursos Universitarios (VRU) tiene una periodicidad semestral, a la fecha no se ha llevado a cabo la jornada correspondiente. No obstante, en aplicación del control residual orientado a la sensibilización, se han adelantado acciones preventivas mediante el envío de piezas comunicativas (boceto publicitario) a los supervisores de contratos, recordando la obligación de realizar la radicación mensual de los informes de supervisión, así como la importancia del cumplimiento oportuno de sus responsabilidades.
Control 2: Requerimiento de informes de supervisión.
Los profesionales del área de contratación de la VRU han efectuado el envío de correos electrónicos a los supervisores de contratos durante los meses de marzo y abril, solicitando la entrega de los informes de supervisión correspondientes, con el fin de garantizar el seguimiento adecuado a la ejecución contractual.
Control 3: Reporte a Control Interno de Gestión.
Se ha dado cumplimiento al reporte ante la Oficina de Control Interno de Gestión, mediante el envío de comunicación en la cual se relaciona el listado de supervisores que, desde el mes de enero, no han realizado la entrega de informes de supervisión. Lo anterior, con el propósito de que se adelanten las acciones de seguimiento y control a que haya lugar.</v>
      </c>
      <c r="AD104" s="17" t="str">
        <f ca="1">IFERROR(__xludf.DUMMYFUNCTION("""COMPUTED_VALUE"""),"Vicerrector de Recursos Universitarios")</f>
        <v>Vicerrector de Recursos Universitarios</v>
      </c>
      <c r="AE104" s="18" t="str">
        <f ca="1">IFERROR(__xludf.DUMMYFUNCTION("""COMPUTED_VALUE"""),"Evidencia")</f>
        <v>Evidencia</v>
      </c>
      <c r="AF104" s="15" t="str">
        <f ca="1">IFERROR(__xludf.DUMMYFUNCTION("""COMPUTED_VALUE"""),"Si")</f>
        <v>Si</v>
      </c>
      <c r="AG104" s="15" t="str">
        <f ca="1">IFERROR(__xludf.DUMMYFUNCTION("""COMPUTED_VALUE"""),"Ejecutada")</f>
        <v>Ejecutada</v>
      </c>
      <c r="AH104" s="15" t="str">
        <f ca="1">IFERROR(__xludf.DUMMYFUNCTION("""COMPUTED_VALUE"""),"Durante el monitoreo NO se materializó el riesgo.
C1: El control relacionado con la capacitación semestral a supervisores de contratos y la acción de tratamiento asociada a la sensibilización aún se encuentran dentro de los tiempos establecidos para su e"&amp;"jecución, por lo cual no se requiere evidencia de cumplimiento para este corte. No obstante, se evidencian acciones preventivas de sensibilización mediante correo de divulgación y pieza publicitaria.
C2: Se evidencian correos electrónicos de requerimient"&amp;"o a supervisores para la entrega de informes de supervisión, los cuales guardan relación con el control establecido.
C3: Se evidencia correo remitido a la Oficina de Control Interno de Gestión con el listado de supervisores que presentan retrasos en la e"&amp;"ntrega de informes de supervisión, junto con sus respectivos anexos, dando cumplimiento al control definido en la matriz.
Conclusión: Se evidencian soportes asociados a los controles reportados y coherencia con las actividades descritas en el monitoreo.")</f>
        <v>Durante el monitoreo NO se materializó el riesgo.
C1: El control relacionado con la capacitación semestral a supervisores de contratos y la acción de tratamiento asociada a la sensibilización aún se encuentran dentro de los tiempos establecidos para su ejecución, por lo cual no se requiere evidencia de cumplimiento para este corte. No obstante, se evidencian acciones preventivas de sensibilización mediante correo de divulgación y pieza publicitaria.
C2: Se evidencian correos electrónicos de requerimiento a supervisores para la entrega de informes de supervisión, los cuales guardan relación con el control establecido.
C3: Se evidencia correo remitido a la Oficina de Control Interno de Gestión con el listado de supervisores que presentan retrasos en la entrega de informes de supervisión, junto con sus respectivos anexos, dando cumplimiento al control definido en la matriz.
Conclusión: Se evidencian soportes asociados a los controles reportados y coherencia con las actividades descritas en el monitoreo.</v>
      </c>
      <c r="AI104" s="15" t="str">
        <f ca="1">IFERROR(__xludf.DUMMYFUNCTION("""COMPUTED_VALUE"""),"30 de abril")</f>
        <v>30 de abril</v>
      </c>
      <c r="AJ104" s="17" t="str">
        <f ca="1">IFERROR(__xludf.DUMMYFUNCTION("""COMPUTED_VALUE"""),"Si")</f>
        <v>Si</v>
      </c>
      <c r="AK104" s="17" t="str">
        <f ca="1">IFERROR(__xludf.DUMMYFUNCTION("""COMPUTED_VALUE"""),"Si")</f>
        <v>Si</v>
      </c>
      <c r="AL104" s="17" t="str">
        <f ca="1">IFERROR(__xludf.DUMMYFUNCTION("""COMPUTED_VALUE"""),"Si")</f>
        <v>Si</v>
      </c>
      <c r="AM104" s="17" t="str">
        <f ca="1">IFERROR(__xludf.DUMMYFUNCTION("""COMPUTED_VALUE"""),"Si")</f>
        <v>Si</v>
      </c>
      <c r="AN104" s="17" t="str">
        <f ca="1">IFERROR(__xludf.DUMMYFUNCTION("""COMPUTED_VALUE"""),"Si")</f>
        <v>Si</v>
      </c>
      <c r="AO104" s="17" t="str">
        <f ca="1">IFERROR(__xludf.DUMMYFUNCTION("""COMPUTED_VALUE"""),"Si")</f>
        <v>Si</v>
      </c>
      <c r="AP104" s="17" t="str">
        <f ca="1">IFERROR(__xludf.DUMMYFUNCTION("""COMPUTED_VALUE"""),"Si")</f>
        <v>Si</v>
      </c>
      <c r="AQ104" s="17" t="str">
        <f ca="1">IFERROR(__xludf.DUMMYFUNCTION("""COMPUTED_VALUE"""),"No")</f>
        <v>No</v>
      </c>
      <c r="AR104" s="17" t="str">
        <f ca="1">IFERROR(__xludf.DUMMYFUNCTION("""COMPUTED_VALUE"""),"No")</f>
        <v>No</v>
      </c>
      <c r="AS104" s="15" t="str">
        <f ca="1">IFERROR(__xludf.DUMMYFUNCTION("""COMPUTED_VALUE"""),"No aplica")</f>
        <v>No aplica</v>
      </c>
      <c r="AT104" s="15" t="str">
        <f ca="1">IFERROR(__xludf.DUMMYFUNCTION("""COMPUTED_VALUE"""),"Ninguna")</f>
        <v>Ninguna</v>
      </c>
      <c r="AU104" s="10"/>
    </row>
    <row r="105" spans="1:47" x14ac:dyDescent="0.25">
      <c r="A105" s="25"/>
      <c r="B105" s="86"/>
      <c r="C105" s="86"/>
      <c r="D105" s="89"/>
      <c r="E105" s="64"/>
      <c r="F105" s="64"/>
      <c r="G105" s="64"/>
      <c r="H105" s="64"/>
      <c r="I105" s="64"/>
      <c r="J105" s="64"/>
      <c r="K105" s="64"/>
      <c r="L105" s="64"/>
      <c r="M105" s="64"/>
      <c r="N105" s="64"/>
      <c r="O105" s="64"/>
      <c r="P105" s="64"/>
      <c r="Q105" s="83"/>
      <c r="R105" s="20" t="str">
        <f ca="1">IFERROR(__xludf.DUMMYFUNCTION("""COMPUTED_VALUE"""),"")</f>
        <v/>
      </c>
      <c r="S105" s="42" t="str">
        <f ca="1">IFERROR(__xludf.DUMMYFUNCTION("""COMPUTED_VALUE"""),"")</f>
        <v/>
      </c>
      <c r="T105" s="34"/>
      <c r="U105" s="20"/>
      <c r="V105" s="89"/>
      <c r="W105" s="89"/>
      <c r="X105" s="89"/>
      <c r="Y105" s="89"/>
      <c r="Z105" s="15" t="str">
        <f ca="1">IFERROR(__xludf.DUMMYFUNCTION("""COMPUTED_VALUE"""),"30 de agosto")</f>
        <v>30 de agosto</v>
      </c>
      <c r="AA105" s="17"/>
      <c r="AB105" s="17"/>
      <c r="AC105" s="15"/>
      <c r="AD105" s="17"/>
      <c r="AE105" s="18" t="str">
        <f ca="1">IFERROR(__xludf.DUMMYFUNCTION("""COMPUTED_VALUE"""),"Evidencia")</f>
        <v>Evidencia</v>
      </c>
      <c r="AF105" s="15"/>
      <c r="AG105" s="15"/>
      <c r="AH105" s="15"/>
      <c r="AI105" s="24" t="str">
        <f ca="1">IFERROR(__xludf.DUMMYFUNCTION("""COMPUTED_VALUE"""),"31 de agosto")</f>
        <v>31 de agosto</v>
      </c>
      <c r="AJ105" s="17"/>
      <c r="AK105" s="17"/>
      <c r="AL105" s="17"/>
      <c r="AM105" s="17"/>
      <c r="AN105" s="17"/>
      <c r="AO105" s="17"/>
      <c r="AP105" s="17"/>
      <c r="AQ105" s="17"/>
      <c r="AR105" s="17"/>
      <c r="AS105" s="15"/>
      <c r="AT105" s="15"/>
      <c r="AU105" s="10"/>
    </row>
    <row r="106" spans="1:47" x14ac:dyDescent="0.25">
      <c r="A106" s="25"/>
      <c r="B106" s="86"/>
      <c r="C106" s="86"/>
      <c r="D106" s="76"/>
      <c r="E106" s="61"/>
      <c r="F106" s="61"/>
      <c r="G106" s="61"/>
      <c r="H106" s="61"/>
      <c r="I106" s="61"/>
      <c r="J106" s="61"/>
      <c r="K106" s="61"/>
      <c r="L106" s="61"/>
      <c r="M106" s="61"/>
      <c r="N106" s="61"/>
      <c r="O106" s="61"/>
      <c r="P106" s="61"/>
      <c r="Q106" s="84"/>
      <c r="R106" s="26" t="str">
        <f ca="1">IFERROR(__xludf.DUMMYFUNCTION("""COMPUTED_VALUE"""),"")</f>
        <v/>
      </c>
      <c r="S106" s="43" t="str">
        <f ca="1">IFERROR(__xludf.DUMMYFUNCTION("""COMPUTED_VALUE"""),"")</f>
        <v/>
      </c>
      <c r="T106" s="38"/>
      <c r="U106" s="26"/>
      <c r="V106" s="76"/>
      <c r="W106" s="76"/>
      <c r="X106" s="76"/>
      <c r="Y106" s="76"/>
      <c r="Z106" s="15" t="str">
        <f ca="1">IFERROR(__xludf.DUMMYFUNCTION("""COMPUTED_VALUE"""),"30 de diciembre")</f>
        <v>30 de diciembre</v>
      </c>
      <c r="AA106" s="17"/>
      <c r="AB106" s="17"/>
      <c r="AC106" s="15"/>
      <c r="AD106" s="17"/>
      <c r="AE106" s="18" t="str">
        <f ca="1">IFERROR(__xludf.DUMMYFUNCTION("""COMPUTED_VALUE"""),"Evidencia")</f>
        <v>Evidencia</v>
      </c>
      <c r="AF106" s="15"/>
      <c r="AG106" s="15"/>
      <c r="AH106" s="15"/>
      <c r="AI106" s="24" t="str">
        <f ca="1">IFERROR(__xludf.DUMMYFUNCTION("""COMPUTED_VALUE"""),"31 de diciembre")</f>
        <v>31 de diciembre</v>
      </c>
      <c r="AJ106" s="17"/>
      <c r="AK106" s="17"/>
      <c r="AL106" s="17"/>
      <c r="AM106" s="17"/>
      <c r="AN106" s="17"/>
      <c r="AO106" s="17"/>
      <c r="AP106" s="17"/>
      <c r="AQ106" s="17"/>
      <c r="AR106" s="17"/>
      <c r="AS106" s="15"/>
      <c r="AT106" s="15"/>
      <c r="AU106" s="10"/>
    </row>
    <row r="107" spans="1:47" ht="360" x14ac:dyDescent="0.25">
      <c r="A107" s="25"/>
      <c r="B107" s="86"/>
      <c r="C107" s="86"/>
      <c r="D107" s="63" t="str">
        <f ca="1">IFERROR(__xludf.DUMMYFUNCTION("""COMPUTED_VALUE"""),"Posibilidad de afectación económica por hurto de bienes de la Universidad, debido a debilidades en la aplicación de Controles")</f>
        <v>Posibilidad de afectación económica por hurto de bienes de la Universidad, debido a debilidades en la aplicación de Controles</v>
      </c>
      <c r="E107" s="63" t="str">
        <f ca="1">IFERROR(__xludf.DUMMYFUNCTION("""COMPUTED_VALUE"""),"Servicios generales")</f>
        <v>Servicios generales</v>
      </c>
      <c r="F107" s="63" t="str">
        <f ca="1">IFERROR(__xludf.DUMMYFUNCTION("""COMPUTED_VALUE"""),"Gestión")</f>
        <v>Gestión</v>
      </c>
      <c r="G107" s="63" t="str">
        <f ca="1">IFERROR(__xludf.DUMMYFUNCTION("""COMPUTED_VALUE"""),"- Falta de infraestructura que encirre los linderos de la Universidad
- Equipos modernos para el control del ingreso y salida por puertas en las sedes de Barcelona y Boquemonte")</f>
        <v>- Falta de infraestructura que encirre los linderos de la Universidad
- Equipos modernos para el control del ingreso y salida por puertas en las sedes de Barcelona y Boquemonte</v>
      </c>
      <c r="H107" s="63" t="str">
        <f ca="1">IFERROR(__xludf.DUMMYFUNCTION("""COMPUTED_VALUE"""),"1. Afectación economica a la institución
2. Sanciones disciplinarias")</f>
        <v>1. Afectación economica a la institución
2. Sanciones disciplinarias</v>
      </c>
      <c r="I107" s="65" t="str">
        <f ca="1">IFERROR(__xludf.DUMMYFUNCTION("""COMPUTED_VALUE"""),"GBS_03")</f>
        <v>GBS_03</v>
      </c>
      <c r="J107" s="65" t="str">
        <f ca="1">IFERROR(__xludf.DUMMYFUNCTION("""COMPUTED_VALUE"""),"Alta")</f>
        <v>Alta</v>
      </c>
      <c r="K107" s="65" t="str">
        <f ca="1">IFERROR(__xludf.DUMMYFUNCTION("""COMPUTED_VALUE"""),"Menor")</f>
        <v>Menor</v>
      </c>
      <c r="L107" s="65" t="str">
        <f ca="1">IFERROR(__xludf.DUMMYFUNCTION("""COMPUTED_VALUE"""),"Alta")</f>
        <v>Alta</v>
      </c>
      <c r="M107" s="63" t="str">
        <f ca="1">IFERROR(__xludf.DUMMYFUNCTION("""COMPUTED_VALUE"""),"- Control del formato de salida de elementos
- Vigilancia externa de la Institución
- Control mediante cámaras de seguridad
- Reuniones trimestrales con la empresa de vigilancia para escuchar novedades que se puedan presentar en cuanto a las responsabilid"&amp;"ades de los diferentes miembros de la institución
- Grupos de WharsApp, en las puertas de acceso de la Universidad ")</f>
        <v xml:space="preserve">- Control del formato de salida de elementos
- Vigilancia externa de la Institución
- Control mediante cámaras de seguridad
- Reuniones trimestrales con la empresa de vigilancia para escuchar novedades que se puedan presentar en cuanto a las responsabilidades de los diferentes miembros de la institución
- Grupos de WharsApp, en las puertas de acceso de la Universidad </v>
      </c>
      <c r="N107" s="65" t="str">
        <f ca="1">IFERROR(__xludf.DUMMYFUNCTION("""COMPUTED_VALUE"""),"Muy baja")</f>
        <v>Muy baja</v>
      </c>
      <c r="O107" s="65" t="str">
        <f ca="1">IFERROR(__xludf.DUMMYFUNCTION("""COMPUTED_VALUE"""),"Menor")</f>
        <v>Menor</v>
      </c>
      <c r="P107" s="65" t="str">
        <f ca="1">IFERROR(__xludf.DUMMYFUNCTION("""COMPUTED_VALUE"""),"Baja")</f>
        <v>Baja</v>
      </c>
      <c r="Q107" s="91" t="str">
        <f ca="1">IFERROR(__xludf.DUMMYFUNCTION("""COMPUTED_VALUE"""),"Reducir")</f>
        <v>Reducir</v>
      </c>
      <c r="R107" s="20" t="str">
        <f ca="1">IFERROR(__xludf.DUMMYFUNCTION("""COMPUTED_VALUE"""),"")</f>
        <v/>
      </c>
      <c r="S107" s="40" t="str">
        <f ca="1">IFERROR(__xludf.DUMMYFUNCTION("""COMPUTED_VALUE"""),"")</f>
        <v/>
      </c>
      <c r="T107" s="32"/>
      <c r="U107" s="41"/>
      <c r="V107" s="92" t="str">
        <f ca="1">IFERROR(__xludf.DUMMYFUNCTION("""COMPUTED_VALUE"""),"-Inspección Física
-General informe inmediatamente siguiendo el protocolo que se encuentra establecido en el contrato con la empresa de vigilancia privada")</f>
        <v>-Inspección Física
-General informe inmediatamente siguiendo el protocolo que se encuentra establecido en el contrato con la empresa de vigilancia privada</v>
      </c>
      <c r="W107" s="97" t="str">
        <f ca="1">IFERROR(__xludf.DUMMYFUNCTION("""COMPUTED_VALUE"""),"- Fotos 
- Informe 
- Reporte ante las autoridades competentes")</f>
        <v>- Fotos 
- Informe 
- Reporte ante las autoridades competentes</v>
      </c>
      <c r="X107" s="97" t="str">
        <f ca="1">IFERROR(__xludf.DUMMYFUNCTION("""COMPUTED_VALUE"""),"Técnico Administrativo")</f>
        <v>Técnico Administrativo</v>
      </c>
      <c r="Y107" s="97" t="str">
        <f ca="1">IFERROR(__xludf.DUMMYFUNCTION("""COMPUTED_VALUE"""),"De forma inmediata y máximo 2 días dependiendo del hecho ocurrido")</f>
        <v>De forma inmediata y máximo 2 días dependiendo del hecho ocurrido</v>
      </c>
      <c r="Z107" s="15" t="str">
        <f ca="1">IFERROR(__xludf.DUMMYFUNCTION("""COMPUTED_VALUE"""),"30 de abril")</f>
        <v>30 de abril</v>
      </c>
      <c r="AA107" s="17" t="str">
        <f ca="1">IFERROR(__xludf.DUMMYFUNCTION("""COMPUTED_VALUE"""),"abril")</f>
        <v>abril</v>
      </c>
      <c r="AB107" s="17" t="str">
        <f ca="1">IFERROR(__xludf.DUMMYFUNCTION("""COMPUTED_VALUE"""),"No")</f>
        <v>No</v>
      </c>
      <c r="AC107" s="15" t="str">
        <f ca="1">IFERROR(__xludf.DUMMYFUNCTION("""COMPUTED_VALUE"""),"Durante el monitoreo NO se materializó el riesgo. 
Avance sobre los controles:
C1-Desde los puntos de control de vigilancia de la Universidad de los Llanos, se tiene implementado el formato FO-GBS-61 AUTORIZACION DE SALIDA DE ELEMENTOS O BIENES DE LA UNI"&amp;"VERSIDAD, con el fin de registrar la salida de elementos como equipos, computadores etc. Se carga evidencia del formato debidamente diligenciado
C2- Para la vigencia 2025 la Universidad de los Llanos cuenta con el servicio de vigilancia externa, mediante "&amp;"el contrato N°0632 de 2026 suscrito el 24/02/2026 hasta el 31/12/2026
C3- La Universidad de los Llanos compró en la vigencia 2022 camaras de vigilancia para fortalecer el control y seguridad de las diferentes sedes, con el contrato N° 0733 de 2022.
C4-Se "&amp;"realiza reunion trimestral con la empresa de vigilancia para escuchar novedades que se pueden presentar en cuanto a las responsabilidades de los diferentes miembros de la institución. Se adjunta evidencia del acta de reunion
C5- Desde la supervision del c"&amp;"ontrato de vigilancia, se ha establecido un grupo de WhatsApp que incluye al personal técnico-administrativo de Servicios Generales y la empresa de vigilancia, con el objetivo de mejorar la comunicación, coordinación, control y seguridad entre ambas parte"&amp;"s. Se adjunta pantallazo del grupo.")</f>
        <v>Durante el monitoreo NO se materializó el riesgo. 
Avance sobre los controles:
C1-Desde los puntos de control de vigilancia de la Universidad de los Llanos, se tiene implementado el formato FO-GBS-61 AUTORIZACION DE SALIDA DE ELEMENTOS O BIENES DE LA UNIVERSIDAD, con el fin de registrar la salida de elementos como equipos, computadores etc. Se carga evidencia del formato debidamente diligenciado
C2- Para la vigencia 2025 la Universidad de los Llanos cuenta con el servicio de vigilancia externa, mediante el contrato N°0632 de 2026 suscrito el 24/02/2026 hasta el 31/12/2026
C3- La Universidad de los Llanos compró en la vigencia 2022 camaras de vigilancia para fortalecer el control y seguridad de las diferentes sedes, con el contrato N° 0733 de 2022.
C4-Se realiza reunion trimestral con la empresa de vigilancia para escuchar novedades que se pueden presentar en cuanto a las responsabilidades de los diferentes miembros de la institución. Se adjunta evidencia del acta de reunion
C5- Desde la supervision del contrato de vigilancia, se ha establecido un grupo de WhatsApp que incluye al personal técnico-administrativo de Servicios Generales y la empresa de vigilancia, con el objetivo de mejorar la comunicación, coordinación, control y seguridad entre ambas partes. Se adjunta pantallazo del grupo.</v>
      </c>
      <c r="AD107" s="17" t="str">
        <f ca="1">IFERROR(__xludf.DUMMYFUNCTION("""COMPUTED_VALUE"""),"Tecnico administrativo de la seccion de Servicios Generales")</f>
        <v>Tecnico administrativo de la seccion de Servicios Generales</v>
      </c>
      <c r="AE107" s="18" t="str">
        <f ca="1">IFERROR(__xludf.DUMMYFUNCTION("""COMPUTED_VALUE"""),"Evidencia")</f>
        <v>Evidencia</v>
      </c>
      <c r="AF107" s="15" t="str">
        <f ca="1">IFERROR(__xludf.DUMMYFUNCTION("""COMPUTED_VALUE"""),"Si")</f>
        <v>Si</v>
      </c>
      <c r="AG107" s="15" t="str">
        <f ca="1">IFERROR(__xludf.DUMMYFUNCTION("""COMPUTED_VALUE"""),"En proceso")</f>
        <v>En proceso</v>
      </c>
      <c r="AH107" s="15" t="str">
        <f ca="1">IFERROR(__xludf.DUMMYFUNCTION("""COMPUTED_VALUE"""),"Durante el monitoreo NO se materializó el riesgo.
Avance sobre los controles:
C1: Se evidencia el uso del formato FO-GBS-61 para la autorización de salida de elementos o bienes de la Universidad, el cual guarda relación con el control establecido.
C2: "&amp;"Se evidencia contrato de vigilancia externa suscrito para la vigencia 2026, el cual soporta la ejecución del control relacionado con la vigilancia institucional.
C3: Aunque en el reporte se menciona el control mediante cámaras de seguridad, la evidencia "&amp;"aportada corresponde a un contrato de adquisición de cámaras de la vigencia 2022. Se recomienda adjuntar soportes que evidencien la operación actual del control, tales como registros de monitoreo, funcionamiento de cámaras, reportes del sistema o evidenci"&amp;"as recientes que permitan validar su aplicación en el periodo monitoreado.
C4: Se adjunta acta de reunión con la empresa de vigilancia; sin embargo, el soporte corresponde a una reunión mensual, mientras que en la matriz el control está definido con peri"&amp;"odicidad trimestral. Se recomienda revisar y ajustar la periodicidad del control en la matriz para que corresponda a la realidad operativa del proceso.
C5: Se evidencia grupo de WhatsApp entre Servicios Generales y la empresa de vigilancia, el cual guard"&amp;"a relación con el control definido.
Observación general: Se identificó que los controles establecidos en la matriz no incluyen responsables definidos, aspecto que debe fortalecerse conforme a los lineamientos de la guía de administración del riesgo, con "&amp;"el fin de mejorar la trazabilidad y seguimiento de la ejecución de los controles.
Conclusión: Se evidencian soportes asociados a la mayoría de los controles reportados; no obstante, se requiere fortalecer la coherencia entre algunos controles y sus evide"&amp;"ncias, especialmente en el control relacionado con cámaras de seguridad, así como revisar la periodicidad definida para las reuniones con la empresa de vigilancia y complementar la definición de responsables de los controles en la matriz.")</f>
        <v>Durante el monitoreo NO se materializó el riesgo.
Avance sobre los controles:
C1: Se evidencia el uso del formato FO-GBS-61 para la autorización de salida de elementos o bienes de la Universidad, el cual guarda relación con el control establecido.
C2: Se evidencia contrato de vigilancia externa suscrito para la vigencia 2026, el cual soporta la ejecución del control relacionado con la vigilancia institucional.
C3: Aunque en el reporte se menciona el control mediante cámaras de seguridad, la evidencia aportada corresponde a un contrato de adquisición de cámaras de la vigencia 2022. Se recomienda adjuntar soportes que evidencien la operación actual del control, tales como registros de monitoreo, funcionamiento de cámaras, reportes del sistema o evidencias recientes que permitan validar su aplicación en el periodo monitoreado.
C4: Se adjunta acta de reunión con la empresa de vigilancia; sin embargo, el soporte corresponde a una reunión mensual, mientras que en la matriz el control está definido con periodicidad trimestral. Se recomienda revisar y ajustar la periodicidad del control en la matriz para que corresponda a la realidad operativa del proceso.
C5: Se evidencia grupo de WhatsApp entre Servicios Generales y la empresa de vigilancia, el cual guarda relación con el control definido.
Observación general: Se identificó que los controles establecidos en la matriz no incluyen responsables definidos, aspecto que debe fortalecerse conforme a los lineamientos de la guía de administración del riesgo, con el fin de mejorar la trazabilidad y seguimiento de la ejecución de los controles.
Conclusión: Se evidencian soportes asociados a la mayoría de los controles reportados; no obstante, se requiere fortalecer la coherencia entre algunos controles y sus evidencias, especialmente en el control relacionado con cámaras de seguridad, así como revisar la periodicidad definida para las reuniones con la empresa de vigilancia y complementar la definición de responsables de los controles en la matriz.</v>
      </c>
      <c r="AI107" s="15" t="str">
        <f ca="1">IFERROR(__xludf.DUMMYFUNCTION("""COMPUTED_VALUE"""),"30 de abril")</f>
        <v>30 de abril</v>
      </c>
      <c r="AJ107" s="17" t="str">
        <f ca="1">IFERROR(__xludf.DUMMYFUNCTION("""COMPUTED_VALUE"""),"Si")</f>
        <v>Si</v>
      </c>
      <c r="AK107" s="17" t="str">
        <f ca="1">IFERROR(__xludf.DUMMYFUNCTION("""COMPUTED_VALUE"""),"Si")</f>
        <v>Si</v>
      </c>
      <c r="AL107" s="17" t="str">
        <f ca="1">IFERROR(__xludf.DUMMYFUNCTION("""COMPUTED_VALUE"""),"Si")</f>
        <v>Si</v>
      </c>
      <c r="AM107" s="17" t="str">
        <f ca="1">IFERROR(__xludf.DUMMYFUNCTION("""COMPUTED_VALUE"""),"Si")</f>
        <v>Si</v>
      </c>
      <c r="AN107" s="17" t="str">
        <f ca="1">IFERROR(__xludf.DUMMYFUNCTION("""COMPUTED_VALUE"""),"Si")</f>
        <v>Si</v>
      </c>
      <c r="AO107" s="17" t="str">
        <f ca="1">IFERROR(__xludf.DUMMYFUNCTION("""COMPUTED_VALUE"""),"Si")</f>
        <v>Si</v>
      </c>
      <c r="AP107" s="17" t="str">
        <f ca="1">IFERROR(__xludf.DUMMYFUNCTION("""COMPUTED_VALUE"""),"Si")</f>
        <v>Si</v>
      </c>
      <c r="AQ107" s="17" t="str">
        <f ca="1">IFERROR(__xludf.DUMMYFUNCTION("""COMPUTED_VALUE"""),"No")</f>
        <v>No</v>
      </c>
      <c r="AR107" s="17" t="str">
        <f ca="1">IFERROR(__xludf.DUMMYFUNCTION("""COMPUTED_VALUE"""),"No")</f>
        <v>No</v>
      </c>
      <c r="AS107" s="15" t="str">
        <f ca="1">IFERROR(__xludf.DUMMYFUNCTION("""COMPUTED_VALUE"""),"No aplica")</f>
        <v>No aplica</v>
      </c>
      <c r="AT107" s="15" t="str">
        <f ca="1">IFERROR(__xludf.DUMMYFUNCTION("""COMPUTED_VALUE"""),"Recomendaciones: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diseñ"&amp;"o del control: Responsable+Acción+Complemento.
3. Reevaluar la opción de manejo del riesgo teniendo en cuenta que para el nivel de riesgo residual valorado como ""Zona de Riesgo Baja"", la opción de manejo es ""Aceptar"" según lo contemplado en la Politic"&amp;"a de Riesgos de la entidad (Acuerdo Superior 012 de 2020).
4. Evaluar la pertinencia de calsificar este riesgo como ""Riesgo Fiscal"", considerando lo establecido en el Anexo 3 ""CATÁLOGO INDICATIVO Y ENUNCIATIVO DE PUNTOS DE RIESGO FISCAL Y CIRCUNSTANCIA"&amp;"S INMEDIATA"", de la ""Guía para la Administración del Riesgo y el diseño de controles en entidades públicas Versión 7"", en el cual se detalla:
Id de referencia: 6
Punto de riesgo fiscal: Custodiar de los bienes muebles de la entidad
Circunstancia inme"&amp;"diata: Pérdida, extravío, hurto, robo o declaratoria de bienes faltantes pertenecientes a la Entidad")</f>
        <v>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Reevaluar la opción de manejo del riesgo teniendo en cuenta que para el nivel de riesgo residual valorado como "Zona de Riesgo Baja", la opción de manejo es "Aceptar" según lo contemplado en la Politica de Riesgos de la entidad (Acuerdo Superior 012 de 2020).
4. Evaluar la pertinencia de calsificar este riesgo como "Riesgo Fiscal", considerando lo establecido en el Anexo 3 "CATÁLOGO INDICATIVO Y ENUNCIATIVO DE PUNTOS DE RIESGO FISCAL Y CIRCUNSTANCIAS INMEDIATA", de la "Guía para la Administración del Riesgo y el diseño de controles en entidades públicas Versión 7", en el cual se detalla:
Id de referencia: 6
Punto de riesgo fiscal: Custodiar de los bienes muebles de la entidad
Circunstancia inmediata: Pérdida, extravío, hurto, robo o declaratoria de bienes faltantes pertenecientes a la Entidad</v>
      </c>
      <c r="AU107" s="10"/>
    </row>
    <row r="108" spans="1:47" x14ac:dyDescent="0.25">
      <c r="A108" s="25"/>
      <c r="B108" s="86"/>
      <c r="C108" s="86"/>
      <c r="D108" s="64"/>
      <c r="E108" s="64"/>
      <c r="F108" s="64"/>
      <c r="G108" s="64"/>
      <c r="H108" s="64"/>
      <c r="I108" s="64"/>
      <c r="J108" s="64"/>
      <c r="K108" s="64"/>
      <c r="L108" s="64"/>
      <c r="M108" s="64"/>
      <c r="N108" s="64"/>
      <c r="O108" s="64"/>
      <c r="P108" s="64"/>
      <c r="Q108" s="83"/>
      <c r="R108" s="20" t="str">
        <f ca="1">IFERROR(__xludf.DUMMYFUNCTION("""COMPUTED_VALUE"""),"")</f>
        <v/>
      </c>
      <c r="S108" s="42" t="str">
        <f ca="1">IFERROR(__xludf.DUMMYFUNCTION("""COMPUTED_VALUE"""),"")</f>
        <v/>
      </c>
      <c r="T108" s="34"/>
      <c r="U108" s="20"/>
      <c r="V108" s="89"/>
      <c r="W108" s="89"/>
      <c r="X108" s="89"/>
      <c r="Y108" s="89"/>
      <c r="Z108" s="15" t="str">
        <f ca="1">IFERROR(__xludf.DUMMYFUNCTION("""COMPUTED_VALUE"""),"30 de agosto")</f>
        <v>30 de agosto</v>
      </c>
      <c r="AA108" s="17"/>
      <c r="AB108" s="17"/>
      <c r="AC108" s="15"/>
      <c r="AD108" s="17"/>
      <c r="AE108" s="18" t="str">
        <f ca="1">IFERROR(__xludf.DUMMYFUNCTION("""COMPUTED_VALUE"""),"Evidencia")</f>
        <v>Evidencia</v>
      </c>
      <c r="AF108" s="15"/>
      <c r="AG108" s="15"/>
      <c r="AH108" s="15"/>
      <c r="AI108" s="24" t="str">
        <f ca="1">IFERROR(__xludf.DUMMYFUNCTION("""COMPUTED_VALUE"""),"31 de agosto")</f>
        <v>31 de agosto</v>
      </c>
      <c r="AJ108" s="17"/>
      <c r="AK108" s="17"/>
      <c r="AL108" s="17"/>
      <c r="AM108" s="17"/>
      <c r="AN108" s="17"/>
      <c r="AO108" s="17"/>
      <c r="AP108" s="17"/>
      <c r="AQ108" s="17"/>
      <c r="AR108" s="17"/>
      <c r="AS108" s="15"/>
      <c r="AT108" s="15"/>
      <c r="AU108" s="10"/>
    </row>
    <row r="109" spans="1:47" x14ac:dyDescent="0.25">
      <c r="A109" s="25"/>
      <c r="B109" s="86"/>
      <c r="C109" s="86"/>
      <c r="D109" s="61"/>
      <c r="E109" s="61"/>
      <c r="F109" s="61"/>
      <c r="G109" s="61"/>
      <c r="H109" s="61"/>
      <c r="I109" s="61"/>
      <c r="J109" s="61"/>
      <c r="K109" s="61"/>
      <c r="L109" s="61"/>
      <c r="M109" s="61"/>
      <c r="N109" s="61"/>
      <c r="O109" s="61"/>
      <c r="P109" s="61"/>
      <c r="Q109" s="84"/>
      <c r="R109" s="26" t="str">
        <f ca="1">IFERROR(__xludf.DUMMYFUNCTION("""COMPUTED_VALUE"""),"")</f>
        <v/>
      </c>
      <c r="S109" s="43" t="str">
        <f ca="1">IFERROR(__xludf.DUMMYFUNCTION("""COMPUTED_VALUE"""),"")</f>
        <v/>
      </c>
      <c r="T109" s="38"/>
      <c r="U109" s="26"/>
      <c r="V109" s="76"/>
      <c r="W109" s="76"/>
      <c r="X109" s="76"/>
      <c r="Y109" s="76"/>
      <c r="Z109" s="15" t="str">
        <f ca="1">IFERROR(__xludf.DUMMYFUNCTION("""COMPUTED_VALUE"""),"30 de diciembre")</f>
        <v>30 de diciembre</v>
      </c>
      <c r="AA109" s="17"/>
      <c r="AB109" s="17"/>
      <c r="AC109" s="15"/>
      <c r="AD109" s="17"/>
      <c r="AE109" s="18" t="str">
        <f ca="1">IFERROR(__xludf.DUMMYFUNCTION("""COMPUTED_VALUE"""),"Evidencia")</f>
        <v>Evidencia</v>
      </c>
      <c r="AF109" s="15"/>
      <c r="AG109" s="15"/>
      <c r="AH109" s="15"/>
      <c r="AI109" s="24" t="str">
        <f ca="1">IFERROR(__xludf.DUMMYFUNCTION("""COMPUTED_VALUE"""),"31 de diciembre")</f>
        <v>31 de diciembre</v>
      </c>
      <c r="AJ109" s="17"/>
      <c r="AK109" s="17"/>
      <c r="AL109" s="17"/>
      <c r="AM109" s="17"/>
      <c r="AN109" s="17"/>
      <c r="AO109" s="17"/>
      <c r="AP109" s="17"/>
      <c r="AQ109" s="17"/>
      <c r="AR109" s="17"/>
      <c r="AS109" s="15"/>
      <c r="AT109" s="15"/>
      <c r="AU109" s="10"/>
    </row>
    <row r="110" spans="1:47" ht="288" x14ac:dyDescent="0.25">
      <c r="A110" s="25"/>
      <c r="B110" s="86"/>
      <c r="C110" s="86"/>
      <c r="D110" s="63" t="str">
        <f ca="1">IFERROR(__xludf.DUMMYFUNCTION("""COMPUTED_VALUE"""),"Posiblidad de afectación económica por apropiación o uso indebido de los bienes institucionales, debido a debilidades en la aplicación de controles")</f>
        <v>Posiblidad de afectación económica por apropiación o uso indebido de los bienes institucionales, debido a debilidades en la aplicación de controles</v>
      </c>
      <c r="E110" s="63" t="str">
        <f ca="1">IFERROR(__xludf.DUMMYFUNCTION("""COMPUTED_VALUE"""),"Almacén")</f>
        <v>Almacén</v>
      </c>
      <c r="F110" s="63" t="str">
        <f ca="1">IFERROR(__xludf.DUMMYFUNCTION("""COMPUTED_VALUE"""),"Corrupción")</f>
        <v>Corrupción</v>
      </c>
      <c r="G110" s="63" t="str">
        <f ca="1">IFERROR(__xludf.DUMMYFUNCTION("""COMPUTED_VALUE"""),"- Alto número de bienes institucionales en posesión de un mismo funcionario
- Falta de valores éticos en la comunidad Universitaria- Alto número de bienes a verificar con escaso número de personal")</f>
        <v>- Alto número de bienes institucionales en posesión de un mismo funcionario
- Falta de valores éticos en la comunidad Universitaria- Alto número de bienes a verificar con escaso número de personal</v>
      </c>
      <c r="H110" s="63" t="str">
        <f ca="1">IFERROR(__xludf.DUMMYFUNCTION("""COMPUTED_VALUE"""),"1. Detrimento patrimonial 
2. Investigaciones penales y disciplinarias
3. Adquisición excesiva de bienes en la Institución")</f>
        <v>1. Detrimento patrimonial 
2. Investigaciones penales y disciplinarias
3. Adquisición excesiva de bienes en la Institución</v>
      </c>
      <c r="I110" s="65" t="str">
        <f ca="1">IFERROR(__xludf.DUMMYFUNCTION("""COMPUTED_VALUE"""),"GBS_04")</f>
        <v>GBS_04</v>
      </c>
      <c r="J110" s="65" t="str">
        <f ca="1">IFERROR(__xludf.DUMMYFUNCTION("""COMPUTED_VALUE"""),"Baja")</f>
        <v>Baja</v>
      </c>
      <c r="K110" s="65" t="str">
        <f ca="1">IFERROR(__xludf.DUMMYFUNCTION("""COMPUTED_VALUE"""),"Mayor")</f>
        <v>Mayor</v>
      </c>
      <c r="L110" s="65" t="str">
        <f ca="1">IFERROR(__xludf.DUMMYFUNCTION("""COMPUTED_VALUE"""),"Alta")</f>
        <v>Alta</v>
      </c>
      <c r="M110" s="63" t="str">
        <f ca="1">IFERROR(__xludf.DUMMYFUNCTION("""COMPUTED_VALUE"""),"- El personal de almacén, realiza sensibilización a los servidores públicos, sobre el buen uso y custodia de los bienes públicos
- El personal de almacén, realiza la verificación de los inventarios, de acuerdo a los estuablecido en el procedimiento PD-GBS"&amp;"-10
- La Oficina de Almacén, elabora el cronograma anual de inventarios, en donde se incluye el 100% de los responsables de inventarios, con el fin de detectar posibles faltantes
- El personal de la oficina de Almacén, realiza seguimiento a los compromiso"&amp;"s derivados de la verificación de los inventarios
- Los responsables de invetarios, cuenta con la posibilidad de realizar una reposición o compensación de los faltantes, dejando registro mediante acta")</f>
        <v>- El personal de almacén, realiza sensibilización a los servidores públicos, sobre el buen uso y custodia de los bienes públicos
- El personal de almacén, realiza la verificación de los inventarios, de acuerdo a los estuablecido en el procedimiento PD-GBS-10
- La Oficina de Almacén, elabora el cronograma anual de inventarios, en donde se incluye el 100% de los responsables de inventarios, con el fin de detectar posibles faltantes
- El personal de la oficina de Almacén, realiza seguimiento a los compromisos derivados de la verificación de los inventarios
- Los responsables de invetarios, cuenta con la posibilidad de realizar una reposición o compensación de los faltantes, dejando registro mediante acta</v>
      </c>
      <c r="N110" s="65" t="str">
        <f ca="1">IFERROR(__xludf.DUMMYFUNCTION("""COMPUTED_VALUE"""),"Muy baja")</f>
        <v>Muy baja</v>
      </c>
      <c r="O110" s="65" t="str">
        <f ca="1">IFERROR(__xludf.DUMMYFUNCTION("""COMPUTED_VALUE"""),"Mayor")</f>
        <v>Mayor</v>
      </c>
      <c r="P110" s="65" t="str">
        <f ca="1">IFERROR(__xludf.DUMMYFUNCTION("""COMPUTED_VALUE"""),"Alta")</f>
        <v>Alta</v>
      </c>
      <c r="Q110" s="91" t="str">
        <f ca="1">IFERROR(__xludf.DUMMYFUNCTION("""COMPUTED_VALUE"""),"Reducir")</f>
        <v>Reducir</v>
      </c>
      <c r="R110" s="20" t="str">
        <f ca="1">IFERROR(__xludf.DUMMYFUNCTION("""COMPUTED_VALUE"""),"Promover mediante boletines los valores éticos de los funcionarios de la Universidad")</f>
        <v>Promover mediante boletines los valores éticos de los funcionarios de la Universidad</v>
      </c>
      <c r="S110" s="40" t="str">
        <f ca="1">IFERROR(__xludf.DUMMYFUNCTION("""COMPUTED_VALUE"""),"Cuatrimestral ")</f>
        <v xml:space="preserve">Cuatrimestral </v>
      </c>
      <c r="T110" s="32" t="str">
        <f ca="1">IFERROR(__xludf.DUMMYFUNCTION("""COMPUTED_VALUE"""),"Jefe de Almacen")</f>
        <v>Jefe de Almacen</v>
      </c>
      <c r="U110" s="41" t="str">
        <f ca="1">IFERROR(__xludf.DUMMYFUNCTION("""COMPUTED_VALUE"""),"Bolentines enviados")</f>
        <v>Bolentines enviados</v>
      </c>
      <c r="V110" s="92" t="str">
        <f ca="1">IFERROR(__xludf.DUMMYFUNCTION("""COMPUTED_VALUE"""),"-Notificar al responsable del elemento, las situaciones encontradas
- Reportar a control interno ")</f>
        <v xml:space="preserve">-Notificar al responsable del elemento, las situaciones encontradas
- Reportar a control interno </v>
      </c>
      <c r="W110" s="97" t="str">
        <f ca="1">IFERROR(__xludf.DUMMYFUNCTION("""COMPUTED_VALUE"""),"Correo electrónico")</f>
        <v>Correo electrónico</v>
      </c>
      <c r="X110" s="97" t="str">
        <f ca="1">IFERROR(__xludf.DUMMYFUNCTION("""COMPUTED_VALUE"""),"Jefe de Almacén")</f>
        <v>Jefe de Almacén</v>
      </c>
      <c r="Y110" s="97" t="str">
        <f ca="1">IFERROR(__xludf.DUMMYFUNCTION("""COMPUTED_VALUE"""),"Máximo un semestre")</f>
        <v>Máximo un semestre</v>
      </c>
      <c r="Z110" s="15" t="str">
        <f ca="1">IFERROR(__xludf.DUMMYFUNCTION("""COMPUTED_VALUE"""),"30 de abril")</f>
        <v>30 de abril</v>
      </c>
      <c r="AA110" s="56">
        <f ca="1">IFERROR(__xludf.DUMMYFUNCTION("""COMPUTED_VALUE"""),46132)</f>
        <v>46132</v>
      </c>
      <c r="AB110" s="17" t="str">
        <f ca="1">IFERROR(__xludf.DUMMYFUNCTION("""COMPUTED_VALUE"""),"No")</f>
        <v>No</v>
      </c>
      <c r="AC110" s="15" t="str">
        <f ca="1">IFERROR(__xludf.DUMMYFUNCTION("""COMPUTED_VALUE"""),"Durante el período de monitoreo NO se materializó el riesgo.
Acciones asociadas a la aplicación de controles:
1.        Mediante el boletín interno del 20 de abril de 2026, titulado “Buen uso de los bienes públicos”, se recordó a servidores, contratista"&amp;"s y colaboradores su deber de administrar, proteger y salvaguardar los bienes institucionales, fundamentales para el cumplimiento de las funciones misionales. 
Cada responsable de inventario debe:
•        Coordinar oportunamente la toma física de biene"&amp;"s según el cronograma. 
•        Facilitar el acceso a los activos asignados. 
•        Garantizar su uso adecuado. 
El incumplimiento de estas obligaciones puede generar consecuencias disciplinarias o fiscales, conforme a la normatividad vigente. Esta e"&amp;"strategia busca fortalecer la cultura de responsabilidad y el manejo adecuado de los recursos públicos.
2.        Se avanzó en la actualización y optimización del Cronograma de Inventarios como herramienta estratégica. Este instrumento permite organizar "&amp;"la información, hacer seguimiento a inconsistencias y consolidar actas y memorandos sobre faltantes y sobrantes. Además, se realiza monitoreo semanal para fortalecer la trazabilidad y la toma oportuna de decisiones. 
Es pertinente resaltar el compromiso "&amp;"y la disposición manifestada por la comunidad universitaria en el cumplimiento de esta directriz, mediante la entrega formal de los elementos acompañados de sus respectivos memorandos y conceptos técnicos. Dichos documentos constituyen soporte indispensab"&amp;"le para la presentación de los casos ante el Comité de Inventarios y Bajas, instancia que será la encargada de definir la disposición final de los bienes conforme a la normatividad vigente y a los principios de transparencia y responsabilidad en la gestió"&amp;"n del patrimonio público.
")</f>
        <v xml:space="preserve">Durante el período de monitoreo NO se materializó el riesgo.
Acciones asociadas a la aplicación de controles:
1.        Mediante el boletín interno del 20 de abril de 2026, titulado “Buen uso de los bienes públicos”, se recordó a servidores, contratistas y colaboradores su deber de administrar, proteger y salvaguardar los bienes institucionales, fundamentales para el cumplimiento de las funciones misionales. 
Cada responsable de inventario debe:
•        Coordinar oportunamente la toma física de bienes según el cronograma. 
•        Facilitar el acceso a los activos asignados. 
•        Garantizar su uso adecuado. 
El incumplimiento de estas obligaciones puede generar consecuencias disciplinarias o fiscales, conforme a la normatividad vigente. Esta estrategia busca fortalecer la cultura de responsabilidad y el manejo adecuado de los recursos públicos.
2.        Se avanzó en la actualización y optimización del Cronograma de Inventarios como herramienta estratégica. Este instrumento permite organizar la información, hacer seguimiento a inconsistencias y consolidar actas y memorandos sobre faltantes y sobrantes. Además, se realiza monitoreo semanal para fortalecer la trazabilidad y la toma oportuna de decisiones. 
Es pertinente resaltar el compromiso y la disposición manifestada por la comunidad universitaria en el cumplimiento de esta directriz, mediante la entrega formal de los elementos acompañados de sus respectivos memorandos y conceptos técnicos. Dichos documentos constituyen soporte indispensable para la presentación de los casos ante el Comité de Inventarios y Bajas, instancia que será la encargada de definir la disposición final de los bienes conforme a la normatividad vigente y a los principios de transparencia y responsabilidad en la gestión del patrimonio público.
</v>
      </c>
      <c r="AD110" s="17" t="str">
        <f ca="1">IFERROR(__xludf.DUMMYFUNCTION("""COMPUTED_VALUE"""),"Jefe de Almacen ")</f>
        <v xml:space="preserve">Jefe de Almacen </v>
      </c>
      <c r="AE110" s="18" t="str">
        <f ca="1">IFERROR(__xludf.DUMMYFUNCTION("""COMPUTED_VALUE"""),"Evidencia")</f>
        <v>Evidencia</v>
      </c>
      <c r="AF110" s="15" t="str">
        <f ca="1">IFERROR(__xludf.DUMMYFUNCTION("""COMPUTED_VALUE"""),"No")</f>
        <v>No</v>
      </c>
      <c r="AG110" s="15" t="str">
        <f ca="1">IFERROR(__xludf.DUMMYFUNCTION("""COMPUTED_VALUE"""),"En proceso")</f>
        <v>En proceso</v>
      </c>
      <c r="AH110" s="15" t="str">
        <f ca="1">IFERROR(__xludf.DUMMYFUNCTION("""COMPUTED_VALUE"""),"Durante el período de monitoreo NO se materializó el riesgo.
C1: Se evidenció correo con boletín interno sobre el buen uso de los bienes públicos, el cual guarda relación con la sensibilización establecida en el control y con la acción de mejora orientad"&amp;"a a promover valores éticos en los funcionarios de la Universidad.
C2-C5: No se evidenciaron soportes suficientes que permitan verificar la ejecución de los controles relacionados con verificación de inventarios, seguimiento a compromisos, cronograma anu"&amp;"al de inventarios y reposición o compensación de faltantes. Adicionalmente, el enlace aportado del cronograma de inventarios no permitió acceso para su validación.
Observación general: Las evidencias no se encuentran organizadas por cada control y acción"&amp;" de mejora, lo que dificulta la trazabilidad y validación del monitoreo. Se recomienda estructurar carpetas independientes por control y fortalecer la carga de soportes que permitan verificar claramente la ejecución de cada actividad reportada.
Conclusió"&amp;"n: Se evidencian soportes parciales asociados al monitoreo; sin embargo, se requiere fortalecer la organización documental y complementar las evidencias de los controles no verificados.")</f>
        <v>Durante el período de monitoreo NO se materializó el riesgo.
C1: Se evidenció correo con boletín interno sobre el buen uso de los bienes públicos, el cual guarda relación con la sensibilización establecida en el control y con la acción de mejora orientada a promover valores éticos en los funcionarios de la Universidad.
C2-C5: No se evidenciaron soportes suficientes que permitan verificar la ejecución de los controles relacionados con verificación de inventarios, seguimiento a compromisos, cronograma anual de inventarios y reposición o compensación de faltantes. Adicionalmente, el enlace aportado del cronograma de inventarios no permitió acceso para su validación.
Observación general: Las evidencias no se encuentran organizadas por cada control y acción de mejora, lo que dificulta la trazabilidad y validación del monitoreo. Se recomienda estructurar carpetas independientes por control y fortalecer la carga de soportes que permitan verificar claramente la ejecución de cada actividad reportada.
Conclusión: Se evidencian soportes parciales asociados al monitoreo; sin embargo, se requiere fortalecer la organización documental y complementar las evidencias de los controles no verificados.</v>
      </c>
      <c r="AI110" s="15" t="str">
        <f ca="1">IFERROR(__xludf.DUMMYFUNCTION("""COMPUTED_VALUE"""),"30 de abril")</f>
        <v>30 de abril</v>
      </c>
      <c r="AJ110" s="17" t="str">
        <f ca="1">IFERROR(__xludf.DUMMYFUNCTION("""COMPUTED_VALUE"""),"Si")</f>
        <v>Si</v>
      </c>
      <c r="AK110" s="17" t="str">
        <f ca="1">IFERROR(__xludf.DUMMYFUNCTION("""COMPUTED_VALUE"""),"Si")</f>
        <v>Si</v>
      </c>
      <c r="AL110" s="17" t="str">
        <f ca="1">IFERROR(__xludf.DUMMYFUNCTION("""COMPUTED_VALUE"""),"Si")</f>
        <v>Si</v>
      </c>
      <c r="AM110" s="17" t="str">
        <f ca="1">IFERROR(__xludf.DUMMYFUNCTION("""COMPUTED_VALUE"""),"Si")</f>
        <v>Si</v>
      </c>
      <c r="AN110" s="17" t="str">
        <f ca="1">IFERROR(__xludf.DUMMYFUNCTION("""COMPUTED_VALUE"""),"No")</f>
        <v>No</v>
      </c>
      <c r="AO110" s="17" t="str">
        <f ca="1">IFERROR(__xludf.DUMMYFUNCTION("""COMPUTED_VALUE"""),"Si")</f>
        <v>Si</v>
      </c>
      <c r="AP110" s="17" t="str">
        <f ca="1">IFERROR(__xludf.DUMMYFUNCTION("""COMPUTED_VALUE"""),"Si")</f>
        <v>Si</v>
      </c>
      <c r="AQ110" s="17" t="str">
        <f ca="1">IFERROR(__xludf.DUMMYFUNCTION("""COMPUTED_VALUE"""),"No")</f>
        <v>No</v>
      </c>
      <c r="AR110" s="17" t="str">
        <f ca="1">IFERROR(__xludf.DUMMYFUNCTION("""COMPUTED_VALUE"""),"No")</f>
        <v>No</v>
      </c>
      <c r="AS110" s="15" t="str">
        <f ca="1">IFERROR(__xludf.DUMMYFUNCTION("""COMPUTED_VALUE"""),"No aplica")</f>
        <v>No aplica</v>
      </c>
      <c r="AT110" s="15" t="str">
        <f ca="1">IFERROR(__xludf.DUMMYFUNCTION("""COMPUTED_VALUE"""),"Recomendación:
1. Mejorar la calidad y completitud de la evidencia. Se requiere que la evidencia sea competente, es decir con calidad en relación a su relevancia y confiabilidad y suficiente en términos de cantidad y completitud, que permita demostrar de "&amp;"manera íntegra el hecho objeto de evaluación.")</f>
        <v>Recomendación:
1. Mejorar la calidad y completitud de la evidencia. Se requiere que la evidencia sea competente, es decir con calidad en relación a su relevancia y confiabilidad y suficiente en términos de cantidad y completitud, que permita demostrar de manera íntegra el hecho objeto de evaluación.</v>
      </c>
      <c r="AU110" s="10"/>
    </row>
    <row r="111" spans="1:47" ht="24" x14ac:dyDescent="0.25">
      <c r="A111" s="25"/>
      <c r="B111" s="86"/>
      <c r="C111" s="86"/>
      <c r="D111" s="64"/>
      <c r="E111" s="64"/>
      <c r="F111" s="64"/>
      <c r="G111" s="64"/>
      <c r="H111" s="64"/>
      <c r="I111" s="64"/>
      <c r="J111" s="64"/>
      <c r="K111" s="64"/>
      <c r="L111" s="64"/>
      <c r="M111" s="64"/>
      <c r="N111" s="64"/>
      <c r="O111" s="64"/>
      <c r="P111" s="64"/>
      <c r="Q111" s="83"/>
      <c r="R111" s="20" t="str">
        <f ca="1">IFERROR(__xludf.DUMMYFUNCTION("""COMPUTED_VALUE"""),"Implementar matriz de seguimiento de faltantes y sobrantes")</f>
        <v>Implementar matriz de seguimiento de faltantes y sobrantes</v>
      </c>
      <c r="S111" s="42" t="str">
        <f ca="1">IFERROR(__xludf.DUMMYFUNCTION("""COMPUTED_VALUE"""),"Continuo")</f>
        <v>Continuo</v>
      </c>
      <c r="T111" s="34" t="str">
        <f ca="1">IFERROR(__xludf.DUMMYFUNCTION("""COMPUTED_VALUE"""),"Jefe de Almacen")</f>
        <v>Jefe de Almacen</v>
      </c>
      <c r="U111" s="20" t="str">
        <f ca="1">IFERROR(__xludf.DUMMYFUNCTION("""COMPUTED_VALUE"""),"Documento - Matriz ")</f>
        <v xml:space="preserve">Documento - Matriz </v>
      </c>
      <c r="V111" s="89"/>
      <c r="W111" s="89"/>
      <c r="X111" s="89"/>
      <c r="Y111" s="89"/>
      <c r="Z111" s="15" t="str">
        <f ca="1">IFERROR(__xludf.DUMMYFUNCTION("""COMPUTED_VALUE"""),"30 de agosto")</f>
        <v>30 de agosto</v>
      </c>
      <c r="AA111" s="17"/>
      <c r="AB111" s="17"/>
      <c r="AC111" s="15"/>
      <c r="AD111" s="17"/>
      <c r="AE111" s="18" t="str">
        <f ca="1">IFERROR(__xludf.DUMMYFUNCTION("""COMPUTED_VALUE"""),"Evidencia")</f>
        <v>Evidencia</v>
      </c>
      <c r="AF111" s="15"/>
      <c r="AG111" s="15"/>
      <c r="AH111" s="15"/>
      <c r="AI111" s="24" t="str">
        <f ca="1">IFERROR(__xludf.DUMMYFUNCTION("""COMPUTED_VALUE"""),"31 de agosto")</f>
        <v>31 de agosto</v>
      </c>
      <c r="AJ111" s="17"/>
      <c r="AK111" s="17"/>
      <c r="AL111" s="17"/>
      <c r="AM111" s="17"/>
      <c r="AN111" s="17"/>
      <c r="AO111" s="17"/>
      <c r="AP111" s="17"/>
      <c r="AQ111" s="17"/>
      <c r="AR111" s="17"/>
      <c r="AS111" s="15"/>
      <c r="AT111" s="15"/>
      <c r="AU111" s="10"/>
    </row>
    <row r="112" spans="1:47" x14ac:dyDescent="0.25">
      <c r="A112" s="25"/>
      <c r="B112" s="87"/>
      <c r="C112" s="87"/>
      <c r="D112" s="61"/>
      <c r="E112" s="61"/>
      <c r="F112" s="61"/>
      <c r="G112" s="61"/>
      <c r="H112" s="61"/>
      <c r="I112" s="61"/>
      <c r="J112" s="61"/>
      <c r="K112" s="61"/>
      <c r="L112" s="61"/>
      <c r="M112" s="61"/>
      <c r="N112" s="61"/>
      <c r="O112" s="61"/>
      <c r="P112" s="61"/>
      <c r="Q112" s="84"/>
      <c r="R112" s="26" t="str">
        <f ca="1">IFERROR(__xludf.DUMMYFUNCTION("""COMPUTED_VALUE"""),"")</f>
        <v/>
      </c>
      <c r="S112" s="43" t="str">
        <f ca="1">IFERROR(__xludf.DUMMYFUNCTION("""COMPUTED_VALUE"""),"")</f>
        <v/>
      </c>
      <c r="T112" s="38"/>
      <c r="U112" s="26"/>
      <c r="V112" s="76"/>
      <c r="W112" s="76"/>
      <c r="X112" s="76"/>
      <c r="Y112" s="76"/>
      <c r="Z112" s="15" t="str">
        <f ca="1">IFERROR(__xludf.DUMMYFUNCTION("""COMPUTED_VALUE"""),"30 de diciembre")</f>
        <v>30 de diciembre</v>
      </c>
      <c r="AA112" s="17"/>
      <c r="AB112" s="17"/>
      <c r="AC112" s="15"/>
      <c r="AD112" s="17"/>
      <c r="AE112" s="18" t="str">
        <f ca="1">IFERROR(__xludf.DUMMYFUNCTION("""COMPUTED_VALUE"""),"Evidencia")</f>
        <v>Evidencia</v>
      </c>
      <c r="AF112" s="15"/>
      <c r="AG112" s="15"/>
      <c r="AH112" s="15"/>
      <c r="AI112" s="24" t="str">
        <f ca="1">IFERROR(__xludf.DUMMYFUNCTION("""COMPUTED_VALUE"""),"31 de diciembre")</f>
        <v>31 de diciembre</v>
      </c>
      <c r="AJ112" s="17"/>
      <c r="AK112" s="17"/>
      <c r="AL112" s="17"/>
      <c r="AM112" s="17"/>
      <c r="AN112" s="17"/>
      <c r="AO112" s="17"/>
      <c r="AP112" s="17"/>
      <c r="AQ112" s="17"/>
      <c r="AR112" s="17"/>
      <c r="AS112" s="15"/>
      <c r="AT112" s="15"/>
      <c r="AU112" s="10"/>
    </row>
    <row r="113" spans="1:47" ht="324" x14ac:dyDescent="0.25">
      <c r="A113" s="25"/>
      <c r="B113" s="90" t="s">
        <v>69</v>
      </c>
      <c r="C113" s="85" t="str">
        <f ca="1">IFERROR(__xludf.DUMMYFUNCTION("IMPORTRANGE(""https://docs.google.com/spreadsheets/d/1L9v8R1Nf-h7LWupGpWJV9M0H2JBp24vHcZ19FOblraY/edit?gid=2098233099#gid=2098233099"",""Matriz_riesgos!C11:AT34"")"),"Ofrecer a la comunidad académica servicios y recursos pertinentes encaminados a fortalecer los procesos de transmisión y apropiación del conocimiento. ")</f>
        <v xml:space="preserve">Ofrecer a la comunidad académica servicios y recursos pertinentes encaminados a fortalecer los procesos de transmisión y apropiación del conocimiento. </v>
      </c>
      <c r="D113" s="88" t="str">
        <f ca="1">IFERROR(__xludf.DUMMYFUNCTION("""COMPUTED_VALUE"""),"Afectación económica por pérdida de recursos bibliográficos debido a ausencia de controles sobre el préstamo y devolución de material bibliográfico")</f>
        <v>Afectación económica por pérdida de recursos bibliográficos debido a ausencia de controles sobre el préstamo y devolución de material bibliográfico</v>
      </c>
      <c r="E113" s="63" t="str">
        <f ca="1">IFERROR(__xludf.DUMMYFUNCTION("""COMPUTED_VALUE"""),"Biblioteca")</f>
        <v>Biblioteca</v>
      </c>
      <c r="F113" s="63" t="str">
        <f ca="1">IFERROR(__xludf.DUMMYFUNCTION("""COMPUTED_VALUE"""),"Gestión")</f>
        <v>Gestión</v>
      </c>
      <c r="G113" s="63" t="str">
        <f ca="1">IFERROR(__xludf.DUMMYFUNCTION("""COMPUTED_VALUE"""),"- Ausencia de controles sobre el préstamo y devolución del material bibliográfico a través del sistema de información")</f>
        <v>- Ausencia de controles sobre el préstamo y devolución del material bibliográfico a través del sistema de información</v>
      </c>
      <c r="H113" s="63" t="str">
        <f ca="1">IFERROR(__xludf.DUMMYFUNCTION("""COMPUTED_VALUE"""),"1. Detrimento patrimonial(en caso de compra)
2. Afectación en la prestación del servicio a los usuarios por el material bibliográfico perdido
3. Investigaciones disciplinarias")</f>
        <v>1. Detrimento patrimonial(en caso de compra)
2. Afectación en la prestación del servicio a los usuarios por el material bibliográfico perdido
3. Investigaciones disciplinarias</v>
      </c>
      <c r="I113" s="65" t="str">
        <f ca="1">IFERROR(__xludf.DUMMYFUNCTION("""COMPUTED_VALUE"""),"GAA_01")</f>
        <v>GAA_01</v>
      </c>
      <c r="J113" s="65" t="str">
        <f ca="1">IFERROR(__xludf.DUMMYFUNCTION("""COMPUTED_VALUE"""),"Media")</f>
        <v>Media</v>
      </c>
      <c r="K113" s="65" t="str">
        <f ca="1">IFERROR(__xludf.DUMMYFUNCTION("""COMPUTED_VALUE"""),"Moderado")</f>
        <v>Moderado</v>
      </c>
      <c r="L113" s="65" t="str">
        <f ca="1">IFERROR(__xludf.DUMMYFUNCTION("""COMPUTED_VALUE"""),"Alta")</f>
        <v>Alta</v>
      </c>
      <c r="M113" s="63" t="str">
        <f ca="1">IFERROR(__xludf.DUMMYFUNCTION("""COMPUTED_VALUE"""),"-  Registro de todos los préstamos y devoluciones en el Sistema de Información
- Envío de correos automáticamente al usuario cuando el préstamo se ha vencido a traves del sistema de información
- Realizar el inventarios de los recursos bibliográficos - Re"&amp;"alización de llamadas a los usuarios que tengan más de 15 días hábiles de mora, y registra en el formato FO-GAA-07 - Reporte anual ante la oficina de Vicerrecursos, sobre el estado físico de las instalaciones de las bibliotecas")</f>
        <v>-  Registro de todos los préstamos y devoluciones en el Sistema de Información
- Envío de correos automáticamente al usuario cuando el préstamo se ha vencido a traves del sistema de información
- Realizar el inventarios de los recursos bibliográficos - Realización de llamadas a los usuarios que tengan más de 15 días hábiles de mora, y registra en el formato FO-GAA-07 - Reporte anual ante la oficina de Vicerrecursos, sobre el estado físico de las instalaciones de las bibliotecas</v>
      </c>
      <c r="N113" s="65" t="str">
        <f ca="1">IFERROR(__xludf.DUMMYFUNCTION("""COMPUTED_VALUE"""),"Muy baja")</f>
        <v>Muy baja</v>
      </c>
      <c r="O113" s="65" t="str">
        <f ca="1">IFERROR(__xludf.DUMMYFUNCTION("""COMPUTED_VALUE"""),"Moderado")</f>
        <v>Moderado</v>
      </c>
      <c r="P113" s="65" t="str">
        <f ca="1">IFERROR(__xludf.DUMMYFUNCTION("""COMPUTED_VALUE"""),"Media")</f>
        <v>Media</v>
      </c>
      <c r="Q113" s="91" t="str">
        <f ca="1">IFERROR(__xludf.DUMMYFUNCTION("""COMPUTED_VALUE"""),"Aceptar")</f>
        <v>Aceptar</v>
      </c>
      <c r="R113" s="20" t="str">
        <f ca="1">IFERROR(__xludf.DUMMYFUNCTION("""COMPUTED_VALUE"""),"Enviar correos electronicos a los usuarios con solicitud formal de devolucion del recurso bibliografico.")</f>
        <v>Enviar correos electronicos a los usuarios con solicitud formal de devolucion del recurso bibliografico.</v>
      </c>
      <c r="S113" s="40" t="str">
        <f ca="1">IFERROR(__xludf.DUMMYFUNCTION("""COMPUTED_VALUE"""),"Semestral")</f>
        <v>Semestral</v>
      </c>
      <c r="T113" s="14" t="str">
        <f ca="1">IFERROR(__xludf.DUMMYFUNCTION("""COMPUTED_VALUE"""),"Jefe de biblioteca")</f>
        <v>Jefe de biblioteca</v>
      </c>
      <c r="U113" s="55" t="str">
        <f ca="1">IFERROR(__xludf.DUMMYFUNCTION("""COMPUTED_VALUE"""),"Correos electronicos")</f>
        <v>Correos electronicos</v>
      </c>
      <c r="V113" s="92" t="str">
        <f ca="1">IFERROR(__xludf.DUMMYFUNCTION("""COMPUTED_VALUE"""),"Bloqueo de matricula por concepto ""perdida de material bibliografico"" en la plataforma SIAU.")</f>
        <v>Bloqueo de matricula por concepto "perdida de material bibliografico" en la plataforma SIAU.</v>
      </c>
      <c r="W113" s="97" t="str">
        <f ca="1">IFERROR(__xludf.DUMMYFUNCTION("""COMPUTED_VALUE"""),"Captura de pantalla de la acción realizada para el bloqueo en SIAU.")</f>
        <v>Captura de pantalla de la acción realizada para el bloqueo en SIAU.</v>
      </c>
      <c r="X113" s="97" t="str">
        <f ca="1">IFERROR(__xludf.DUMMYFUNCTION("""COMPUTED_VALUE"""),"Jefe de Biblioteca		")</f>
        <v xml:space="preserve">Jefe de Biblioteca		</v>
      </c>
      <c r="Y113" s="97" t="str">
        <f ca="1">IFERROR(__xludf.DUMMYFUNCTION("""COMPUTED_VALUE"""),"semestral")</f>
        <v>semestral</v>
      </c>
      <c r="Z113" s="15" t="str">
        <f ca="1">IFERROR(__xludf.DUMMYFUNCTION("""COMPUTED_VALUE"""),"30 de abril")</f>
        <v>30 de abril</v>
      </c>
      <c r="AA113" s="17" t="str">
        <f ca="1">IFERROR(__xludf.DUMMYFUNCTION("""COMPUTED_VALUE"""),"22/02/2026 - 30/04/2026")</f>
        <v>22/02/2026 - 30/04/2026</v>
      </c>
      <c r="AB113" s="17" t="str">
        <f ca="1">IFERROR(__xludf.DUMMYFUNCTION("""COMPUTED_VALUE"""),"Si")</f>
        <v>Si</v>
      </c>
      <c r="AC113" s="15" t="str">
        <f ca="1">IFERROR(__xludf.DUMMYFUNCTION("""COMPUTED_VALUE"""),"Durante este primer monitoreo SI se materializó el riesgo. 
Acciones de contingencia para atender la materialización: 
Se realiza reporte de multa y entrega de los recursos bibliográficos en el sistema SIAU, lo cual no permitirá al estudiante realizar t"&amp;"rámites administrativos y renovación de matrícula. Reporte articulado con el reglamento de biblioteca 0890 de 2022.
Usuario por el cual se materializa el riesgo
Nicolás Shergey Méndez Unda Cód. Estudiante 130005124, código de libros No devueltos 009737 y "&amp;"069895
María Paula León López, Cód. Estudiante 164005509, código libro no devuelto, 007956 
Acciones asociadas al tratamiento:
Debido a que las actividades asociadas a los controles no surgen en primera instancia un efecto positivo se decide realizar las "&amp;"acciones asociadas al tratamiento.
* Se realiza envió de correo electrónico personalizado a al estudiante Nicolás Shergey Méndez Cód. Estudiante 130005124
Actividades asociadas a los controles:
Dentro del 1 corte de monitoreo de riesgos se identifica qu"&amp;"e se encuentran recursos bibliográficos en mora por devolución; sin embargo, realizando los controles establecidos, se logra la identificación de los usuarios y se ejercen los siguientes Actividades
* Se realizaron llamadas a usuarios que tenían ítems ve"&amp;"ncidos y se registraron en el formato FO-GAA-07
* Se realizó préstamo y devolución en el módulo de circulación en el sistema KOHA
Finalmente 2 usuarios no cuentan con la devolución del libro fuera de los 15 días propensos a materializar el riesgo.
Nicolá"&amp;"s Shergey Méndez Unda Cód. Estudiante 130005124, código de libros No devueltos 009737 y 069895. El número que se encuentra registrado en SIAU no es el del estudiante. No se ha establecido comunicación.
María Paula León López, Cód. Estudiante 164005509, có"&amp;"digo libro no devuelto, 007956. Se estableció comunicación con la estudiante, se comprometió a devolver el libro, pero al finalizar el corte del monitoreo no lo ha entregado.
* Se Inicia el inventario bibliográfico (recopilación libro a libro de los códig"&amp;"os)
")</f>
        <v xml:space="preserve">Durante este primer monitoreo SI se materializó el riesgo. 
Acciones de contingencia para atender la materialización: 
Se realiza reporte de multa y entrega de los recursos bibliográficos en el sistema SIAU, lo cual no permitirá al estudiante realizar trámites administrativos y renovación de matrícula. Reporte articulado con el reglamento de biblioteca 0890 de 2022.
Usuario por el cual se materializa el riesgo
Nicolás Shergey Méndez Unda Cód. Estudiante 130005124, código de libros No devueltos 009737 y 069895
María Paula León López, Cód. Estudiante 164005509, código libro no devuelto, 007956 
Acciones asociadas al tratamiento:
Debido a que las actividades asociadas a los controles no surgen en primera instancia un efecto positivo se decide realizar las acciones asociadas al tratamiento.
* Se realiza envió de correo electrónico personalizado a al estudiante Nicolás Shergey Méndez Cód. Estudiante 130005124
Actividades asociadas a los controles:
Dentro del 1 corte de monitoreo de riesgos se identifica que se encuentran recursos bibliográficos en mora por devolución; sin embargo, realizando los controles establecidos, se logra la identificación de los usuarios y se ejercen los siguientes Actividades
* Se realizaron llamadas a usuarios que tenían ítems vencidos y se registraron en el formato FO-GAA-07
* Se realizó préstamo y devolución en el módulo de circulación en el sistema KOHA
Finalmente 2 usuarios no cuentan con la devolución del libro fuera de los 15 días propensos a materializar el riesgo.
Nicolás Shergey Méndez Unda Cód. Estudiante 130005124, código de libros No devueltos 009737 y 069895. El número que se encuentra registrado en SIAU no es el del estudiante. No se ha establecido comunicación.
María Paula León López, Cód. Estudiante 164005509, código libro no devuelto, 007956. Se estableció comunicación con la estudiante, se comprometió a devolver el libro, pero al finalizar el corte del monitoreo no lo ha entregado.
* Se Inicia el inventario bibliográfico (recopilación libro a libro de los códigos)
</v>
      </c>
      <c r="AD113" s="17" t="str">
        <f ca="1">IFERROR(__xludf.DUMMYFUNCTION("""COMPUTED_VALUE"""),"Biblioteca")</f>
        <v>Biblioteca</v>
      </c>
      <c r="AE113" s="18" t="str">
        <f ca="1">IFERROR(__xludf.DUMMYFUNCTION("""COMPUTED_VALUE"""),"Evidencia")</f>
        <v>Evidencia</v>
      </c>
      <c r="AF113" s="15" t="str">
        <f ca="1">IFERROR(__xludf.DUMMYFUNCTION("""COMPUTED_VALUE"""),"Si")</f>
        <v>Si</v>
      </c>
      <c r="AG113" s="15" t="str">
        <f ca="1">IFERROR(__xludf.DUMMYFUNCTION("""COMPUTED_VALUE"""),"En proceso")</f>
        <v>En proceso</v>
      </c>
      <c r="AH113" s="15" t="str">
        <f ca="1">IFERROR(__xludf.DUMMYFUNCTION("""COMPUTED_VALUE"""),"Durante este primer monitoreo SI se materializó el riesgo.
C1-C5: Se evidencian soportes relacionados con préstamos y devoluciones en el sistema KOHA, correos automáticos por vencimiento, inventario bibliográfico, formato FO-GAA-07 de llamadas y correos "&amp;"solicitando devolución de material bibliográfico a los usuarios identificados. Las evidencias guardan relación con los controles establecidos; sin embargo, la información se encuentra desorganizada, dificultando la trazabilidad y validación del monitoreo."&amp;" Se recomienda estructurar carpetas independientes por control, acción de mejora y acción de contingencia.
Acción de tratamiento: Se evidencian correos electrónicos enviados solicitando formalmente la devolución de los recursos bibliográficos a los usuar"&amp;"ios con material pendiente.
Acción de contingencia: Aunque se reporta el bloqueo en SIAU para impedir trámites administrativos y renovación de matrícula a los usuarios con mora, no se evidencian soportes que permitan verificar la aplicación efectiva de e"&amp;"sta medida.
Observación general: Se recomienda fortalecer la definición de los controles establecidos en la matriz, incorporando responsables específicos para su ejecución, conforme a los lineamientos de la guía de administración del riesgo.
Conclusión:"&amp;" Se evidencian actividades de control, tratamiento y seguimiento frente a la materialización del riesgo; no obstante, se requiere fortalecer la organización documental, la definición de responsables y aportar evidencias claras de las acciones de contingen"&amp;"cia aplicadas.")</f>
        <v>Durante este primer monitoreo SI se materializó el riesgo.
C1-C5: Se evidencian soportes relacionados con préstamos y devoluciones en el sistema KOHA, correos automáticos por vencimiento, inventario bibliográfico, formato FO-GAA-07 de llamadas y correos solicitando devolución de material bibliográfico a los usuarios identificados. Las evidencias guardan relación con los controles establecidos; sin embargo, la información se encuentra desorganizada, dificultando la trazabilidad y validación del monitoreo. Se recomienda estructurar carpetas independientes por control, acción de mejora y acción de contingencia.
Acción de tratamiento: Se evidencian correos electrónicos enviados solicitando formalmente la devolución de los recursos bibliográficos a los usuarios con material pendiente.
Acción de contingencia: Aunque se reporta el bloqueo en SIAU para impedir trámites administrativos y renovación de matrícula a los usuarios con mora, no se evidencian soportes que permitan verificar la aplicación efectiva de esta medida.
Observación general: Se recomienda fortalecer la definición de los controles establecidos en la matriz, incorporando responsables específicos para su ejecución, conforme a los lineamientos de la guía de administración del riesgo.
Conclusión: Se evidencian actividades de control, tratamiento y seguimiento frente a la materialización del riesgo; no obstante, se requiere fortalecer la organización documental, la definición de responsables y aportar evidencias claras de las acciones de contingencia aplicadas.</v>
      </c>
      <c r="AI113" s="15" t="str">
        <f ca="1">IFERROR(__xludf.DUMMYFUNCTION("""COMPUTED_VALUE"""),"30 de abril")</f>
        <v>30 de abril</v>
      </c>
      <c r="AJ113" s="17" t="str">
        <f ca="1">IFERROR(__xludf.DUMMYFUNCTION("""COMPUTED_VALUE"""),"Si")</f>
        <v>Si</v>
      </c>
      <c r="AK113" s="17" t="str">
        <f ca="1">IFERROR(__xludf.DUMMYFUNCTION("""COMPUTED_VALUE"""),"Si")</f>
        <v>Si</v>
      </c>
      <c r="AL113" s="17" t="str">
        <f ca="1">IFERROR(__xludf.DUMMYFUNCTION("""COMPUTED_VALUE"""),"Si")</f>
        <v>Si</v>
      </c>
      <c r="AM113" s="17" t="str">
        <f ca="1">IFERROR(__xludf.DUMMYFUNCTION("""COMPUTED_VALUE"""),"Si")</f>
        <v>Si</v>
      </c>
      <c r="AN113" s="17" t="str">
        <f ca="1">IFERROR(__xludf.DUMMYFUNCTION("""COMPUTED_VALUE"""),"Si")</f>
        <v>Si</v>
      </c>
      <c r="AO113" s="17" t="str">
        <f ca="1">IFERROR(__xludf.DUMMYFUNCTION("""COMPUTED_VALUE"""),"Si")</f>
        <v>Si</v>
      </c>
      <c r="AP113" s="17" t="str">
        <f ca="1">IFERROR(__xludf.DUMMYFUNCTION("""COMPUTED_VALUE"""),"No")</f>
        <v>No</v>
      </c>
      <c r="AQ113" s="17" t="str">
        <f ca="1">IFERROR(__xludf.DUMMYFUNCTION("""COMPUTED_VALUE"""),"No")</f>
        <v>No</v>
      </c>
      <c r="AR113" s="17" t="str">
        <f ca="1">IFERROR(__xludf.DUMMYFUNCTION("""COMPUTED_VALUE"""),"No")</f>
        <v>No</v>
      </c>
      <c r="AS113" s="15" t="str">
        <f ca="1">IFERROR(__xludf.DUMMYFUNCTION("""COMPUTED_VALUE"""),"No aplica")</f>
        <v>No aplica</v>
      </c>
      <c r="AT113" s="15" t="str">
        <f ca="1">IFERROR(__xludf.DUMMYFUNCTION("""COMPUTED_VALUE"""),"Si bien es cierto que, la valoración del riesgo residual dió como resultado zona de riesgo ""Media"", se determinó como opción manejo ""Aceptar"", en contravía de los criterios establecidos en la Politica de Gestión Integral de los Riesgos, adoptada por l"&amp;"a Universidad a través del Acuerdo Superior 012 de 2020, artículos 3. Nivel de tolerancia al riesgo y 5 Tratamiento del riesgo.
Recomendaciones:
1. Ajustar la acción de manejo del riesgo (Celda Q:11)
2. Fortalecer la descripción del riesgo, considerando "&amp;"la metodología de la Guía para la Administración del Riesgo y el diseño de controles en entidades públicas Versión 7, que propone los elementos para la descripción del riesgo, como son: Impacto+Causa Inmediata+Causa Raíz.
3. Fortalecer la descripción de l"&amp;"os controles, considerando la metodología de la Guía para la Administración del Riesgo y el diseño de controles en entidades públicas Versión 7, que propone los elementos para el diseño del control: Responsable+Acción+Complemento.
")</f>
        <v xml:space="preserve">Si bien es cierto que, la valoración del riesgo residual dió como resultado zona de riesgo "Media", se determinó como opción manejo "Aceptar", en contravía de los criterios establecidos en la Politica de Gestión Integral de los Riesgos, adoptada por la Universidad a través del Acuerdo Superior 012 de 2020, artículos 3. Nivel de tolerancia al riesgo y 5 Tratamiento del riesgo.
Recomendaciones:
1. Ajustar la acción de manejo del riesgo (Celda Q:11)
2. Fortalecer la descripción del riesgo, considerando la metodología de la Guía para la Administración del Riesgo y el diseño de controles en entidades públicas Versión 7, que propone los elementos para la descripción del riesgo, como son: Impacto+Causa Inmediata+Causa Raíz.
3. Fortalecer la descripción de los controles, considerando la metodología de la Guía para la Administración del Riesgo y el diseño de controles en entidades públicas Versión 7, que propone los elementos para el diseño del control: Responsable+Acción+Complemento.
</v>
      </c>
      <c r="AU113" s="10"/>
    </row>
    <row r="114" spans="1:47" x14ac:dyDescent="0.25">
      <c r="A114" s="25"/>
      <c r="B114" s="86"/>
      <c r="C114" s="86"/>
      <c r="D114" s="89"/>
      <c r="E114" s="64"/>
      <c r="F114" s="64"/>
      <c r="G114" s="64"/>
      <c r="H114" s="64"/>
      <c r="I114" s="64"/>
      <c r="J114" s="64"/>
      <c r="K114" s="64"/>
      <c r="L114" s="64"/>
      <c r="M114" s="64"/>
      <c r="N114" s="64"/>
      <c r="O114" s="64"/>
      <c r="P114" s="64"/>
      <c r="Q114" s="83"/>
      <c r="R114" s="20" t="str">
        <f ca="1">IFERROR(__xludf.DUMMYFUNCTION("""COMPUTED_VALUE"""),"")</f>
        <v/>
      </c>
      <c r="S114" s="42" t="str">
        <f ca="1">IFERROR(__xludf.DUMMYFUNCTION("""COMPUTED_VALUE"""),"")</f>
        <v/>
      </c>
      <c r="T114" s="34"/>
      <c r="U114" s="20"/>
      <c r="V114" s="89"/>
      <c r="W114" s="89"/>
      <c r="X114" s="89"/>
      <c r="Y114" s="89"/>
      <c r="Z114" s="15" t="str">
        <f ca="1">IFERROR(__xludf.DUMMYFUNCTION("""COMPUTED_VALUE"""),"30 de agosto")</f>
        <v>30 de agosto</v>
      </c>
      <c r="AA114" s="17"/>
      <c r="AB114" s="17"/>
      <c r="AC114" s="15"/>
      <c r="AD114" s="17"/>
      <c r="AE114" s="18" t="str">
        <f ca="1">IFERROR(__xludf.DUMMYFUNCTION("""COMPUTED_VALUE"""),"Evidencia")</f>
        <v>Evidencia</v>
      </c>
      <c r="AF114" s="15"/>
      <c r="AG114" s="15"/>
      <c r="AH114" s="15"/>
      <c r="AI114" s="24" t="str">
        <f ca="1">IFERROR(__xludf.DUMMYFUNCTION("""COMPUTED_VALUE"""),"31 de agosto")</f>
        <v>31 de agosto</v>
      </c>
      <c r="AJ114" s="17"/>
      <c r="AK114" s="17"/>
      <c r="AL114" s="17"/>
      <c r="AM114" s="17"/>
      <c r="AN114" s="17"/>
      <c r="AO114" s="17"/>
      <c r="AP114" s="17"/>
      <c r="AQ114" s="17"/>
      <c r="AR114" s="17"/>
      <c r="AS114" s="15"/>
      <c r="AT114" s="15"/>
      <c r="AU114" s="10"/>
    </row>
    <row r="115" spans="1:47" x14ac:dyDescent="0.25">
      <c r="A115" s="25"/>
      <c r="B115" s="86"/>
      <c r="C115" s="86"/>
      <c r="D115" s="76"/>
      <c r="E115" s="61"/>
      <c r="F115" s="61"/>
      <c r="G115" s="61"/>
      <c r="H115" s="61"/>
      <c r="I115" s="61"/>
      <c r="J115" s="61"/>
      <c r="K115" s="61"/>
      <c r="L115" s="61"/>
      <c r="M115" s="61"/>
      <c r="N115" s="61"/>
      <c r="O115" s="61"/>
      <c r="P115" s="61"/>
      <c r="Q115" s="84"/>
      <c r="R115" s="26" t="str">
        <f ca="1">IFERROR(__xludf.DUMMYFUNCTION("""COMPUTED_VALUE"""),"")</f>
        <v/>
      </c>
      <c r="S115" s="43" t="str">
        <f ca="1">IFERROR(__xludf.DUMMYFUNCTION("""COMPUTED_VALUE"""),"")</f>
        <v/>
      </c>
      <c r="T115" s="38"/>
      <c r="U115" s="26"/>
      <c r="V115" s="76"/>
      <c r="W115" s="76"/>
      <c r="X115" s="76"/>
      <c r="Y115" s="76"/>
      <c r="Z115" s="15" t="str">
        <f ca="1">IFERROR(__xludf.DUMMYFUNCTION("""COMPUTED_VALUE"""),"30 de diciembre")</f>
        <v>30 de diciembre</v>
      </c>
      <c r="AA115" s="17"/>
      <c r="AB115" s="17"/>
      <c r="AC115" s="15"/>
      <c r="AD115" s="17"/>
      <c r="AE115" s="18" t="str">
        <f ca="1">IFERROR(__xludf.DUMMYFUNCTION("""COMPUTED_VALUE"""),"Evidencia")</f>
        <v>Evidencia</v>
      </c>
      <c r="AF115" s="15"/>
      <c r="AG115" s="15"/>
      <c r="AH115" s="15"/>
      <c r="AI115" s="24" t="str">
        <f ca="1">IFERROR(__xludf.DUMMYFUNCTION("""COMPUTED_VALUE"""),"31 de diciembre")</f>
        <v>31 de diciembre</v>
      </c>
      <c r="AJ115" s="17"/>
      <c r="AK115" s="17"/>
      <c r="AL115" s="17"/>
      <c r="AM115" s="17"/>
      <c r="AN115" s="17"/>
      <c r="AO115" s="17"/>
      <c r="AP115" s="17"/>
      <c r="AQ115" s="17"/>
      <c r="AR115" s="17"/>
      <c r="AS115" s="15"/>
      <c r="AT115" s="15"/>
      <c r="AU115" s="10"/>
    </row>
    <row r="116" spans="1:47" ht="336" x14ac:dyDescent="0.25">
      <c r="A116" s="25"/>
      <c r="B116" s="86"/>
      <c r="C116" s="86"/>
      <c r="D116" s="88" t="str">
        <f ca="1">IFERROR(__xludf.DUMMYFUNCTION("""COMPUTED_VALUE"""),"Afectacion reputacional por la realización de prácticas de laboratorios con equipos fuera de aseguramiento metrológico debido a la falta de actualizacion del libro de aseguramiento metrologico.")</f>
        <v>Afectacion reputacional por la realización de prácticas de laboratorios con equipos fuera de aseguramiento metrológico debido a la falta de actualizacion del libro de aseguramiento metrologico.</v>
      </c>
      <c r="E116" s="63" t="str">
        <f ca="1">IFERROR(__xludf.DUMMYFUNCTION("""COMPUTED_VALUE"""),"Coordinación de Laboratorios")</f>
        <v>Coordinación de Laboratorios</v>
      </c>
      <c r="F116" s="63" t="str">
        <f ca="1">IFERROR(__xludf.DUMMYFUNCTION("""COMPUTED_VALUE"""),"Gestión")</f>
        <v>Gestión</v>
      </c>
      <c r="G116" s="63" t="str">
        <f ca="1">IFERROR(__xludf.DUMMYFUNCTION("""COMPUTED_VALUE"""),"- Falta de actualizacion del libro de aseguramiento metrologico.")</f>
        <v>- Falta de actualizacion del libro de aseguramiento metrologico.</v>
      </c>
      <c r="H116" s="63" t="str">
        <f ca="1">IFERROR(__xludf.DUMMYFUNCTION("""COMPUTED_VALUE"""),"1. No conformidades en auditoria interna por parte de control interno de gestión. 
2. No conformidades en auditoria externas por parte del ente Certificador ICONTEC. 
3. Hallazgos de los entes de control externos.
4. Afectación de la imagen institucional."&amp;" 
5. Incumplimiento en los objetivos propuestos en las guias de las prácticas de laboratorios. 
6. Incumplimiento en los objetivo del proceso de gestión de apoyo a la academia.")</f>
        <v>1. No conformidades en auditoria interna por parte de control interno de gestión. 
2. No conformidades en auditoria externas por parte del ente Certificador ICONTEC. 
3. Hallazgos de los entes de control externos.
4. Afectación de la imagen institucional. 
5. Incumplimiento en los objetivos propuestos en las guias de las prácticas de laboratorios. 
6. Incumplimiento en los objetivo del proceso de gestión de apoyo a la academia.</v>
      </c>
      <c r="I116" s="65" t="str">
        <f ca="1">IFERROR(__xludf.DUMMYFUNCTION("""COMPUTED_VALUE"""),"GAA_02")</f>
        <v>GAA_02</v>
      </c>
      <c r="J116" s="65" t="str">
        <f ca="1">IFERROR(__xludf.DUMMYFUNCTION("""COMPUTED_VALUE"""),"Alta")</f>
        <v>Alta</v>
      </c>
      <c r="K116" s="65" t="str">
        <f ca="1">IFERROR(__xludf.DUMMYFUNCTION("""COMPUTED_VALUE"""),"Moderado")</f>
        <v>Moderado</v>
      </c>
      <c r="L116" s="65" t="str">
        <f ca="1">IFERROR(__xludf.DUMMYFUNCTION("""COMPUTED_VALUE"""),"Alta")</f>
        <v>Alta</v>
      </c>
      <c r="M116" s="63" t="str">
        <f ca="1">IFERROR(__xludf.DUMMYFUNCTION("""COMPUTED_VALUE"""),"- FO-GAA-275 - Formato hoja de vida equipos de laboratorio
- FO-GAA-276 Formato de inventario equipos de laboratorio
- FO-GAA-277 Formato cronograma para mantenimiento, calibración y verificación de equipos de laboratorio
- FO-GAA-278 Plan de mantenimient"&amp;"o y aseguramiento metrológico; PD-GAA-78 Procedimiento de aseguramiento metrologico")</f>
        <v>- FO-GAA-275 - Formato hoja de vida equipos de laboratorio
- FO-GAA-276 Formato de inventario equipos de laboratorio
- FO-GAA-277 Formato cronograma para mantenimiento, calibración y verificación de equipos de laboratorio
- FO-GAA-278 Plan de mantenimiento y aseguramiento metrológico; PD-GAA-78 Procedimiento de aseguramiento metrologico</v>
      </c>
      <c r="N116" s="65" t="str">
        <f ca="1">IFERROR(__xludf.DUMMYFUNCTION("""COMPUTED_VALUE"""),"Muy baja")</f>
        <v>Muy baja</v>
      </c>
      <c r="O116" s="65" t="str">
        <f ca="1">IFERROR(__xludf.DUMMYFUNCTION("""COMPUTED_VALUE"""),"Moderado")</f>
        <v>Moderado</v>
      </c>
      <c r="P116" s="65" t="str">
        <f ca="1">IFERROR(__xludf.DUMMYFUNCTION("""COMPUTED_VALUE"""),"Media")</f>
        <v>Media</v>
      </c>
      <c r="Q116" s="91" t="str">
        <f ca="1">IFERROR(__xludf.DUMMYFUNCTION("""COMPUTED_VALUE"""),"Reducir")</f>
        <v>Reducir</v>
      </c>
      <c r="R116" s="20" t="str">
        <f ca="1">IFERROR(__xludf.DUMMYFUNCTION("""COMPUTED_VALUE"""),"Sensibilizar al personal de apoyo de los laboratorios sobre el uso de los documentos de aseguramiento metrológico.")</f>
        <v>Sensibilizar al personal de apoyo de los laboratorios sobre el uso de los documentos de aseguramiento metrológico.</v>
      </c>
      <c r="S116" s="40" t="str">
        <f ca="1">IFERROR(__xludf.DUMMYFUNCTION("""COMPUTED_VALUE"""),"Cada vez que haya rotación de personal")</f>
        <v>Cada vez que haya rotación de personal</v>
      </c>
      <c r="T116" s="32" t="str">
        <f ca="1">IFERROR(__xludf.DUMMYFUNCTION("""COMPUTED_VALUE"""),"Profesional de apoyo de la coordinación de laboratorios")</f>
        <v>Profesional de apoyo de la coordinación de laboratorios</v>
      </c>
      <c r="U116" s="41" t="str">
        <f ca="1">IFERROR(__xludf.DUMMYFUNCTION("""COMPUTED_VALUE"""),"Listados de asistencia")</f>
        <v>Listados de asistencia</v>
      </c>
      <c r="V116" s="92" t="str">
        <f ca="1">IFERROR(__xludf.DUMMYFUNCTION("""COMPUTED_VALUE"""),"Facilitar los equipos requeridos con aseguramiento metrologico previo,")</f>
        <v>Facilitar los equipos requeridos con aseguramiento metrologico previo,</v>
      </c>
      <c r="W116" s="97" t="str">
        <f ca="1">IFERROR(__xludf.DUMMYFUNCTION("""COMPUTED_VALUE"""),"Registro de prestamo de equipos.")</f>
        <v>Registro de prestamo de equipos.</v>
      </c>
      <c r="X116" s="97" t="str">
        <f ca="1">IFERROR(__xludf.DUMMYFUNCTION("""COMPUTED_VALUE"""),"Coordinador o personal de apoyo de los laboratorios.")</f>
        <v>Coordinador o personal de apoyo de los laboratorios.</v>
      </c>
      <c r="Y116" s="97" t="str">
        <f ca="1">IFERROR(__xludf.DUMMYFUNCTION("""COMPUTED_VALUE"""),"Inmediato.")</f>
        <v>Inmediato.</v>
      </c>
      <c r="Z116" s="15" t="str">
        <f ca="1">IFERROR(__xludf.DUMMYFUNCTION("""COMPUTED_VALUE"""),"30 de abril")</f>
        <v>30 de abril</v>
      </c>
      <c r="AA116" s="56">
        <f ca="1">IFERROR(__xludf.DUMMYFUNCTION("""COMPUTED_VALUE"""),46136)</f>
        <v>46136</v>
      </c>
      <c r="AB116" s="17" t="str">
        <f ca="1">IFERROR(__xludf.DUMMYFUNCTION("""COMPUTED_VALUE"""),"No")</f>
        <v>No</v>
      </c>
      <c r="AC116" s="15" t="str">
        <f ca="1">IFERROR(__xludf.DUMMYFUNCTION("""COMPUTED_VALUE"""),"Durante este primer monitoreo NO se materializó el riesgo.
Acciones asociadas al tratamiento:
Todos los laboratorios enunciados en el acuerdo académico 002 de 2022  ""Por el cual se adscriben los laboratorios a las diferentes facultades de la Universid"&amp;"ad de los Llanos"", tienen como responsabilidad mantener actualizados los formatos: 
- FO-GAA-275 - Formato hoja de vida equipos de laboratorio
- FO-GAA-276 Formato de inventario equipos de laboratorio
- FO-GAA-277 Formato cronograma para mantenimiento, "&amp;"calibración y verificación de equipos de laboratorio
- FO-GAA-278 Plan de mantenimiento y aseguramiento metrológico
- PD-GAA-78 Procedimiento de aseguramiento metrologico
El formato FO-GAA-13 INVENTARIO DE REACTIVOS DE LABORATORIOS debe se diligenciado y"&amp;" mantenerse actualizado por parte de los Laboratorios que estan clasificados con RIESGO QUÍMICO.
Avance sobre los controles: 
La Coordinación del Sistema del Sistema de Laboratorios monitorea que la información de los equipos consignada en los siguiente"&amp;"s formatos se encuentre actualizada por parte de cada uno de los laboratorios:
- FO-GAA-275 - Formato hoja de vida equipos de laboratorio
- FO-GAA-276 Formato de inventario equipos de laboratorio
- FO-GAA-277 Formato cronograma para mantenimiento, calibr"&amp;"ación y verificación de equipos de laboratorio
- FO-GAA-278 Plan de mantenimiento y aseguramiento metrológico
- PD-GAA-78 Procedimiento de aseguramiento metrologico
De igual manera se monitorea el FO-GAA-13 INVENTARIO DE REACTIVOS DE LABORATORIOS en cada"&amp;" laboratorio que tenga RIESGO QUÍMICO.")</f>
        <v>Durante este primer monitoreo NO se materializó el riesgo.
Acciones asociadas al tratamiento:
Todos los laboratorios enunciados en el acuerdo académico 002 de 2022  "Por el cual se adscriben los laboratorios a las diferentes facultades de la Universidad de los Llanos", tienen como responsabilidad mantener actualizados los formatos: 
- FO-GAA-275 - Formato hoja de vida equipos de laboratorio
- FO-GAA-276 Formato de inventario equipos de laboratorio
- FO-GAA-277 Formato cronograma para mantenimiento, calibración y verificación de equipos de laboratorio
- FO-GAA-278 Plan de mantenimiento y aseguramiento metrológico
- PD-GAA-78 Procedimiento de aseguramiento metrologico
El formato FO-GAA-13 INVENTARIO DE REACTIVOS DE LABORATORIOS debe se diligenciado y mantenerse actualizado por parte de los Laboratorios que estan clasificados con RIESGO QUÍMICO.
Avance sobre los controles: 
La Coordinación del Sistema del Sistema de Laboratorios monitorea que la información de los equipos consignada en los siguientes formatos se encuentre actualizada por parte de cada uno de los laboratorios:
- FO-GAA-275 - Formato hoja de vida equipos de laboratorio
- FO-GAA-276 Formato de inventario equipos de laboratorio
- FO-GAA-277 Formato cronograma para mantenimiento, calibración y verificación de equipos de laboratorio
- FO-GAA-278 Plan de mantenimiento y aseguramiento metrológico
- PD-GAA-78 Procedimiento de aseguramiento metrologico
De igual manera se monitorea el FO-GAA-13 INVENTARIO DE REACTIVOS DE LABORATORIOS en cada laboratorio que tenga RIESGO QUÍMICO.</v>
      </c>
      <c r="AD116" s="17" t="str">
        <f ca="1">IFERROR(__xludf.DUMMYFUNCTION("""COMPUTED_VALUE"""),"Laboratorios")</f>
        <v>Laboratorios</v>
      </c>
      <c r="AE116" s="18" t="str">
        <f ca="1">IFERROR(__xludf.DUMMYFUNCTION("""COMPUTED_VALUE"""),"Evidencia")</f>
        <v>Evidencia</v>
      </c>
      <c r="AF116" s="15" t="str">
        <f ca="1">IFERROR(__xludf.DUMMYFUNCTION("""COMPUTED_VALUE"""),"No")</f>
        <v>No</v>
      </c>
      <c r="AG116" s="15" t="str">
        <f ca="1">IFERROR(__xludf.DUMMYFUNCTION("""COMPUTED_VALUE"""),"En proceso")</f>
        <v>En proceso</v>
      </c>
      <c r="AH116" s="15" t="str">
        <f ca="1">IFERROR(__xludf.DUMMYFUNCTION("""COMPUTED_VALUE"""),"Durante este primer monitoreo NO se materializó el riesgo.
C1-C5: Se evidencian formatos asociados al aseguramiento metrológico, tales como FO-GAA-275, FO-GAA-276, FO-GAA-277, FO-GAA-278 y el procedimiento PD-GAA-78; sin embargo, no se evidencia de maner"&amp;"a clara el diligenciamiento y actualización completa de todos los formatos reportados, observándose únicamente algunos soportes parciales.
Acción de tratamiento: No se evidencian soportes ni descripción de actividades relacionadas con la sensibilización "&amp;"al personal de apoyo de laboratorios sobre el uso de los documentos de aseguramiento metrológico, conforme a la acción de mejora establecida.
Observación general: Se recomienda organizar las evidencias por cada control y acción de tratamiento para facili"&amp;"tar la trazabilidad y validación del monitoreo. Adicionalmente, los controles definidos en la matriz corresponden principalmente a formatos y procedimientos, pero no identifican responsables específicos de ejecución, aspecto que debe fortalecerse conforme"&amp;" a los lineamientos de la guía de administración del riesgo.
Conclusión: Aunque se evidencian algunos soportes relacionados con el aseguramiento metrológico, no es posible verificar integralmente la ejecución de todos los controles establecidos ni de la "&amp;"acción de tratamiento definida.")</f>
        <v>Durante este primer monitoreo NO se materializó el riesgo.
C1-C5: Se evidencian formatos asociados al aseguramiento metrológico, tales como FO-GAA-275, FO-GAA-276, FO-GAA-277, FO-GAA-278 y el procedimiento PD-GAA-78; sin embargo, no se evidencia de manera clara el diligenciamiento y actualización completa de todos los formatos reportados, observándose únicamente algunos soportes parciales.
Acción de tratamiento: No se evidencian soportes ni descripción de actividades relacionadas con la sensibilización al personal de apoyo de laboratorios sobre el uso de los documentos de aseguramiento metrológico, conforme a la acción de mejora establecida.
Observación general: Se recomienda organizar las evidencias por cada control y acción de tratamiento para facilitar la trazabilidad y validación del monitoreo. Adicionalmente, los controles definidos en la matriz corresponden principalmente a formatos y procedimientos, pero no identifican responsables específicos de ejecución, aspecto que debe fortalecerse conforme a los lineamientos de la guía de administración del riesgo.
Conclusión: Aunque se evidencian algunos soportes relacionados con el aseguramiento metrológico, no es posible verificar integralmente la ejecución de todos los controles establecidos ni de la acción de tratamiento definida.</v>
      </c>
      <c r="AI116" s="15" t="str">
        <f ca="1">IFERROR(__xludf.DUMMYFUNCTION("""COMPUTED_VALUE"""),"30 de abril")</f>
        <v>30 de abril</v>
      </c>
      <c r="AJ116" s="17" t="str">
        <f ca="1">IFERROR(__xludf.DUMMYFUNCTION("""COMPUTED_VALUE"""),"Si")</f>
        <v>Si</v>
      </c>
      <c r="AK116" s="17" t="str">
        <f ca="1">IFERROR(__xludf.DUMMYFUNCTION("""COMPUTED_VALUE"""),"Si")</f>
        <v>Si</v>
      </c>
      <c r="AL116" s="17" t="str">
        <f ca="1">IFERROR(__xludf.DUMMYFUNCTION("""COMPUTED_VALUE"""),"Si")</f>
        <v>Si</v>
      </c>
      <c r="AM116" s="17" t="str">
        <f ca="1">IFERROR(__xludf.DUMMYFUNCTION("""COMPUTED_VALUE"""),"Si")</f>
        <v>Si</v>
      </c>
      <c r="AN116" s="17" t="str">
        <f ca="1">IFERROR(__xludf.DUMMYFUNCTION("""COMPUTED_VALUE"""),"Si")</f>
        <v>Si</v>
      </c>
      <c r="AO116" s="17" t="str">
        <f ca="1">IFERROR(__xludf.DUMMYFUNCTION("""COMPUTED_VALUE"""),"No")</f>
        <v>No</v>
      </c>
      <c r="AP116" s="17" t="str">
        <f ca="1">IFERROR(__xludf.DUMMYFUNCTION("""COMPUTED_VALUE"""),"No")</f>
        <v>No</v>
      </c>
      <c r="AQ116" s="17" t="str">
        <f ca="1">IFERROR(__xludf.DUMMYFUNCTION("""COMPUTED_VALUE"""),"No")</f>
        <v>No</v>
      </c>
      <c r="AR116" s="17" t="str">
        <f ca="1">IFERROR(__xludf.DUMMYFUNCTION("""COMPUTED_VALUE"""),"No")</f>
        <v>No</v>
      </c>
      <c r="AS116" s="15" t="str">
        <f ca="1">IFERROR(__xludf.DUMMYFUNCTION("""COMPUTED_VALUE"""),"No aplica")</f>
        <v>No aplica</v>
      </c>
      <c r="AT116" s="15" t="str">
        <f ca="1">IFERROR(__xludf.DUMMYFUNCTION("""COMPUTED_VALUE"""),"Recomendaciones: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diseñ"&amp;"o del control: Responsable+Acción+Complemento.
3.Mejorar la calidad y completitud de la evidencia, toda vez que no se aportó evidencia de las hojas de vida de los equipos,sólo se aportó un formato sin diligenciar . Se requiere que la evidencia sea compete"&amp;"nte, es decir con calidad en relación a su relevancia y confiabilidad y suficiente en términos de cantidad y completitud, que permita demostrar de manera íntegra el hecho objeto de evaluación.")</f>
        <v>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3.Mejorar la calidad y completitud de la evidencia, toda vez que no se aportó evidencia de las hojas de vida de los equipos,sólo se aportó un formato sin diligenciar . Se requiere que la evidencia sea competente, es decir con calidad en relación a su relevancia y confiabilidad y suficiente en términos de cantidad y completitud, que permita demostrar de manera íntegra el hecho objeto de evaluación.</v>
      </c>
      <c r="AU116" s="10"/>
    </row>
    <row r="117" spans="1:47" x14ac:dyDescent="0.25">
      <c r="A117" s="25"/>
      <c r="B117" s="86"/>
      <c r="C117" s="86"/>
      <c r="D117" s="89"/>
      <c r="E117" s="64"/>
      <c r="F117" s="64"/>
      <c r="G117" s="64"/>
      <c r="H117" s="64"/>
      <c r="I117" s="64"/>
      <c r="J117" s="64"/>
      <c r="K117" s="64"/>
      <c r="L117" s="64"/>
      <c r="M117" s="64"/>
      <c r="N117" s="64"/>
      <c r="O117" s="64"/>
      <c r="P117" s="64"/>
      <c r="Q117" s="83"/>
      <c r="R117" s="20" t="str">
        <f ca="1">IFERROR(__xludf.DUMMYFUNCTION("""COMPUTED_VALUE"""),"")</f>
        <v/>
      </c>
      <c r="S117" s="42" t="str">
        <f ca="1">IFERROR(__xludf.DUMMYFUNCTION("""COMPUTED_VALUE"""),"")</f>
        <v/>
      </c>
      <c r="T117" s="34"/>
      <c r="U117" s="20"/>
      <c r="V117" s="89"/>
      <c r="W117" s="89"/>
      <c r="X117" s="89"/>
      <c r="Y117" s="89"/>
      <c r="Z117" s="15" t="str">
        <f ca="1">IFERROR(__xludf.DUMMYFUNCTION("""COMPUTED_VALUE"""),"30 de agosto")</f>
        <v>30 de agosto</v>
      </c>
      <c r="AA117" s="17"/>
      <c r="AB117" s="17"/>
      <c r="AC117" s="15"/>
      <c r="AD117" s="17"/>
      <c r="AE117" s="18" t="str">
        <f ca="1">IFERROR(__xludf.DUMMYFUNCTION("""COMPUTED_VALUE"""),"Evidencia")</f>
        <v>Evidencia</v>
      </c>
      <c r="AF117" s="15"/>
      <c r="AG117" s="15"/>
      <c r="AH117" s="15"/>
      <c r="AI117" s="24" t="str">
        <f ca="1">IFERROR(__xludf.DUMMYFUNCTION("""COMPUTED_VALUE"""),"31 de agosto")</f>
        <v>31 de agosto</v>
      </c>
      <c r="AJ117" s="17"/>
      <c r="AK117" s="17"/>
      <c r="AL117" s="17"/>
      <c r="AM117" s="17"/>
      <c r="AN117" s="17"/>
      <c r="AO117" s="17"/>
      <c r="AP117" s="17"/>
      <c r="AQ117" s="17"/>
      <c r="AR117" s="17"/>
      <c r="AS117" s="15"/>
      <c r="AT117" s="15"/>
      <c r="AU117" s="10"/>
    </row>
    <row r="118" spans="1:47" x14ac:dyDescent="0.25">
      <c r="A118" s="25"/>
      <c r="B118" s="86"/>
      <c r="C118" s="86"/>
      <c r="D118" s="76"/>
      <c r="E118" s="61"/>
      <c r="F118" s="61"/>
      <c r="G118" s="61"/>
      <c r="H118" s="61"/>
      <c r="I118" s="61"/>
      <c r="J118" s="61"/>
      <c r="K118" s="61"/>
      <c r="L118" s="61"/>
      <c r="M118" s="61"/>
      <c r="N118" s="61"/>
      <c r="O118" s="61"/>
      <c r="P118" s="61"/>
      <c r="Q118" s="84"/>
      <c r="R118" s="26" t="str">
        <f ca="1">IFERROR(__xludf.DUMMYFUNCTION("""COMPUTED_VALUE"""),"")</f>
        <v/>
      </c>
      <c r="S118" s="43" t="str">
        <f ca="1">IFERROR(__xludf.DUMMYFUNCTION("""COMPUTED_VALUE"""),"")</f>
        <v/>
      </c>
      <c r="T118" s="38"/>
      <c r="U118" s="26"/>
      <c r="V118" s="76"/>
      <c r="W118" s="76"/>
      <c r="X118" s="76"/>
      <c r="Y118" s="76"/>
      <c r="Z118" s="15" t="str">
        <f ca="1">IFERROR(__xludf.DUMMYFUNCTION("""COMPUTED_VALUE"""),"30 de diciembre")</f>
        <v>30 de diciembre</v>
      </c>
      <c r="AA118" s="17"/>
      <c r="AB118" s="17"/>
      <c r="AC118" s="15"/>
      <c r="AD118" s="17"/>
      <c r="AE118" s="18" t="str">
        <f ca="1">IFERROR(__xludf.DUMMYFUNCTION("""COMPUTED_VALUE"""),"Evidencia")</f>
        <v>Evidencia</v>
      </c>
      <c r="AF118" s="15"/>
      <c r="AG118" s="15"/>
      <c r="AH118" s="15"/>
      <c r="AI118" s="24" t="str">
        <f ca="1">IFERROR(__xludf.DUMMYFUNCTION("""COMPUTED_VALUE"""),"31 de diciembre")</f>
        <v>31 de diciembre</v>
      </c>
      <c r="AJ118" s="17"/>
      <c r="AK118" s="17"/>
      <c r="AL118" s="17"/>
      <c r="AM118" s="17"/>
      <c r="AN118" s="17"/>
      <c r="AO118" s="17"/>
      <c r="AP118" s="17"/>
      <c r="AQ118" s="17"/>
      <c r="AR118" s="17"/>
      <c r="AS118" s="15"/>
      <c r="AT118" s="15"/>
      <c r="AU118" s="10"/>
    </row>
    <row r="119" spans="1:47" ht="228" x14ac:dyDescent="0.25">
      <c r="A119" s="25"/>
      <c r="B119" s="86"/>
      <c r="C119" s="86"/>
      <c r="D119" s="63" t="str">
        <f ca="1">IFERROR(__xludf.DUMMYFUNCTION("""COMPUTED_VALUE"""),"Afectacion económica y reputacional por el incumplimiento de las metas y actividades programadas dentro de las fichas BPUNI, debido al inadecuado control y seguimiento por parte de la coordinación del sistema de laboratorios")</f>
        <v>Afectacion económica y reputacional por el incumplimiento de las metas y actividades programadas dentro de las fichas BPUNI, debido al inadecuado control y seguimiento por parte de la coordinación del sistema de laboratorios</v>
      </c>
      <c r="E119" s="63" t="str">
        <f ca="1">IFERROR(__xludf.DUMMYFUNCTION("""COMPUTED_VALUE"""),"Coordinación de Laboratorios")</f>
        <v>Coordinación de Laboratorios</v>
      </c>
      <c r="F119" s="63" t="str">
        <f ca="1">IFERROR(__xludf.DUMMYFUNCTION("""COMPUTED_VALUE"""),"Gestión")</f>
        <v>Gestión</v>
      </c>
      <c r="G119" s="63" t="str">
        <f ca="1">IFERROR(__xludf.DUMMYFUNCTION("""COMPUTED_VALUE"""),"- Inadecuado control y seguimiento de la coordinación del sistema de laboratorios a las actividades descritas en las fichas BPUNI para el cumplimiento de las  metas planeadas.")</f>
        <v>- Inadecuado control y seguimiento de la coordinación del sistema de laboratorios a las actividades descritas en las fichas BPUNI para el cumplimiento de las  metas planeadas.</v>
      </c>
      <c r="H119" s="63" t="str">
        <f ca="1">IFERROR(__xludf.DUMMYFUNCTION("""COMPUTED_VALUE"""),"1. No conformidades en auditoria interna por parte de control interno de gestión.
2. Hallazgos de los entes de control externos.
3. Incumplimiento de las metas propuestas fichas BPUNI.
4. Incumplimiento en la ejecución de los cursos practicos por la falta"&amp;" de disponibilidad de recursos para los procesos misionales de investigacion y docencia para las proximas vigencias.")</f>
        <v>1. No conformidades en auditoria interna por parte de control interno de gestión.
2. Hallazgos de los entes de control externos.
3. Incumplimiento de las metas propuestas fichas BPUNI.
4. Incumplimiento en la ejecución de los cursos practicos por la falta de disponibilidad de recursos para los procesos misionales de investigacion y docencia para las proximas vigencias.</v>
      </c>
      <c r="I119" s="65" t="str">
        <f ca="1">IFERROR(__xludf.DUMMYFUNCTION("""COMPUTED_VALUE"""),"GAA_03")</f>
        <v>GAA_03</v>
      </c>
      <c r="J119" s="65" t="str">
        <f ca="1">IFERROR(__xludf.DUMMYFUNCTION("""COMPUTED_VALUE"""),"Baja")</f>
        <v>Baja</v>
      </c>
      <c r="K119" s="65" t="str">
        <f ca="1">IFERROR(__xludf.DUMMYFUNCTION("""COMPUTED_VALUE"""),"Moderado")</f>
        <v>Moderado</v>
      </c>
      <c r="L119" s="65" t="str">
        <f ca="1">IFERROR(__xludf.DUMMYFUNCTION("""COMPUTED_VALUE"""),"Media")</f>
        <v>Media</v>
      </c>
      <c r="M119" s="63" t="str">
        <f ca="1">IFERROR(__xludf.DUMMYFUNCTION("""COMPUTED_VALUE"""),"- El coordinador del sistema de laboratorios realiza el seguimiento y control trimestral de los proyectos ficha BPUNI por medio de FO-DIE-08 Formato de seguimiento a proyectos de inversión.
- Revisión por parte del coordinador del sistema laboratorios de "&amp;"los informes mensuales de actividades de los contratistas profesionales de apoyo del sistema de laboratorios.
")</f>
        <v xml:space="preserve">- El coordinador del sistema de laboratorios realiza el seguimiento y control trimestral de los proyectos ficha BPUNI por medio de FO-DIE-08 Formato de seguimiento a proyectos de inversión.
- Revisión por parte del coordinador del sistema laboratorios de los informes mensuales de actividades de los contratistas profesionales de apoyo del sistema de laboratorios.
</v>
      </c>
      <c r="N119" s="65" t="str">
        <f ca="1">IFERROR(__xludf.DUMMYFUNCTION("""COMPUTED_VALUE"""),"Muy baja")</f>
        <v>Muy baja</v>
      </c>
      <c r="O119" s="65" t="str">
        <f ca="1">IFERROR(__xludf.DUMMYFUNCTION("""COMPUTED_VALUE"""),"Moderado")</f>
        <v>Moderado</v>
      </c>
      <c r="P119" s="65" t="str">
        <f ca="1">IFERROR(__xludf.DUMMYFUNCTION("""COMPUTED_VALUE"""),"Media")</f>
        <v>Media</v>
      </c>
      <c r="Q119" s="91" t="str">
        <f ca="1">IFERROR(__xludf.DUMMYFUNCTION("""COMPUTED_VALUE"""),"Reducir")</f>
        <v>Reducir</v>
      </c>
      <c r="R119" s="20" t="str">
        <f ca="1">IFERROR(__xludf.DUMMYFUNCTION("""COMPUTED_VALUE"""),"Realizar seguimiento a la ejecución de las actividades relacionadas con las fichas BPUNI en el cronograma de trabajo de la coordinación del sistema de laboratorios.")</f>
        <v>Realizar seguimiento a la ejecución de las actividades relacionadas con las fichas BPUNI en el cronograma de trabajo de la coordinación del sistema de laboratorios.</v>
      </c>
      <c r="S119" s="40" t="str">
        <f ca="1">IFERROR(__xludf.DUMMYFUNCTION("""COMPUTED_VALUE"""),"Cuatrimestral")</f>
        <v>Cuatrimestral</v>
      </c>
      <c r="T119" s="32" t="str">
        <f ca="1">IFERROR(__xludf.DUMMYFUNCTION("""COMPUTED_VALUE"""),"Coordinador del sistema de laboratorios")</f>
        <v>Coordinador del sistema de laboratorios</v>
      </c>
      <c r="U119" s="41" t="str">
        <f ca="1">IFERROR(__xludf.DUMMYFUNCTION("""COMPUTED_VALUE"""),"Cronograma de trabajo con los seguimientos realizados")</f>
        <v>Cronograma de trabajo con los seguimientos realizados</v>
      </c>
      <c r="V119" s="92" t="str">
        <f ca="1">IFERROR(__xludf.DUMMYFUNCTION("""COMPUTED_VALUE"""),"Elaborar y enviar al responsable del proyecto el reporte de seguimiento (FO-DIE-08) con las actividades ejecutadas, y la justificacion de las actividades no ejecutadas en el campo de observaciones.")</f>
        <v>Elaborar y enviar al responsable del proyecto el reporte de seguimiento (FO-DIE-08) con las actividades ejecutadas, y la justificacion de las actividades no ejecutadas en el campo de observaciones.</v>
      </c>
      <c r="W119" s="97" t="str">
        <f ca="1">IFERROR(__xludf.DUMMYFUNCTION("""COMPUTED_VALUE"""),"FO-DIE-08 Formato de seguimiento a proyectos diligenciado")</f>
        <v>FO-DIE-08 Formato de seguimiento a proyectos diligenciado</v>
      </c>
      <c r="X119" s="97" t="str">
        <f ca="1">IFERROR(__xludf.DUMMYFUNCTION("""COMPUTED_VALUE"""),"Coordinacion del Sistema de Laboratorios")</f>
        <v>Coordinacion del Sistema de Laboratorios</v>
      </c>
      <c r="Y119" s="97" t="str">
        <f ca="1">IFERROR(__xludf.DUMMYFUNCTION("""COMPUTED_VALUE"""),"Inmediato")</f>
        <v>Inmediato</v>
      </c>
      <c r="Z119" s="15" t="str">
        <f ca="1">IFERROR(__xludf.DUMMYFUNCTION("""COMPUTED_VALUE"""),"30 de abril")</f>
        <v>30 de abril</v>
      </c>
      <c r="AA119" s="56">
        <f ca="1">IFERROR(__xludf.DUMMYFUNCTION("""COMPUTED_VALUE"""),46136)</f>
        <v>46136</v>
      </c>
      <c r="AB119" s="17" t="str">
        <f ca="1">IFERROR(__xludf.DUMMYFUNCTION("""COMPUTED_VALUE"""),"No")</f>
        <v>No</v>
      </c>
      <c r="AC119" s="15" t="str">
        <f ca="1">IFERROR(__xludf.DUMMYFUNCTION("""COMPUTED_VALUE"""),"Durante este primer monitoreo NO se materializó el riesgo.
Acciones asociadas al tratamiento: 
El coordinador del sistema de laboratorios realiza el seguimiento y control mensual de los proyectos ficha BPUNI por medio de FO-DIE-08 Formato de seguimiento"&amp;" a proyectos de inversión. Los proyectos para realizar control y seguimiento en 2026 son: VIARE 03 0409 2025 - ADQUISICIÓN DE EQUIPOS PARA EL FORTALECIMIENTO DE LOS LABORATORIOS DE LA UNIVERSIDAD DE LOS LLANOS, VIAC 07 0809 2025 FORTALECER EL CRECIMIENTO "&amp;"DEL SISTEMA DE LABORATORIOS COMO APOYO AL CUMPLIMIENTO DE LAS FUNCIONES MISIONALES DE LA UNIVERSIDAD DE LLANOS.
El Coordinador del sistema laboratorios realiza el seguimiento y revisión de los informes mensuales de actividades de los contratistas profesi"&amp;"onales de apoyo del sistema de laboratorios.
Avance sobre los controles:
Para el año 2026 se han ejecutados los seguimientos correspondientes a los meses de Enero, Febrero y Marzo de los proyectos VIARE 03 0409 2025 - ADQUISICIÓN DE EQUIPOS PARA EL FORT"&amp;"ALECIMIENTO DE LOS LABORATORIOS DE LA UNIVERSIDAD DE LOS LLANOS, VIAC 07 0809 2025 FORTALECER EL CRECIMIENTO DEL SISTEMA DE LABORATORIOS COMO APOYO AL CUMPLIMIENTO DE LAS FUNCIONES MISIONALES DE LA UNIVERSIDAD DE LLANOS.. Los seguimientos se registran por"&amp;" medio del FO-DIE-08 Formato de seguimiento a proyectos de inversión, en los cuales se evidencian los correspondientes porcentajes de cumplimiento mes a mes a fin de llegar al 100% de la meta.")</f>
        <v>Durante este primer monitoreo NO se materializó el riesgo.
Acciones asociadas al tratamiento: 
El coordinador del sistema de laboratorios realiza el seguimiento y control mensual de los proyectos ficha BPUNI por medio de FO-DIE-08 Formato de seguimiento a proyectos de inversión. Los proyectos para realizar control y seguimiento en 2026 son: VIARE 03 0409 2025 - ADQUISICIÓN DE EQUIPOS PARA EL FORTALECIMIENTO DE LOS LABORATORIOS DE LA UNIVERSIDAD DE LOS LLANOS, VIAC 07 0809 2025 FORTALECER EL CRECIMIENTO DEL SISTEMA DE LABORATORIOS COMO APOYO AL CUMPLIMIENTO DE LAS FUNCIONES MISIONALES DE LA UNIVERSIDAD DE LLANOS.
El Coordinador del sistema laboratorios realiza el seguimiento y revisión de los informes mensuales de actividades de los contratistas profesionales de apoyo del sistema de laboratorios.
Avance sobre los controles:
Para el año 2026 se han ejecutados los seguimientos correspondientes a los meses de Enero, Febrero y Marzo de los proyectos VIARE 03 0409 2025 - ADQUISICIÓN DE EQUIPOS PARA EL FORTALECIMIENTO DE LOS LABORATORIOS DE LA UNIVERSIDAD DE LOS LLANOS, VIAC 07 0809 2025 FORTALECER EL CRECIMIENTO DEL SISTEMA DE LABORATORIOS COMO APOYO AL CUMPLIMIENTO DE LAS FUNCIONES MISIONALES DE LA UNIVERSIDAD DE LLANOS.. Los seguimientos se registran por medio del FO-DIE-08 Formato de seguimiento a proyectos de inversión, en los cuales se evidencian los correspondientes porcentajes de cumplimiento mes a mes a fin de llegar al 100% de la meta.</v>
      </c>
      <c r="AD119" s="17" t="str">
        <f ca="1">IFERROR(__xludf.DUMMYFUNCTION("""COMPUTED_VALUE"""),"Laboratorios")</f>
        <v>Laboratorios</v>
      </c>
      <c r="AE119" s="18" t="str">
        <f ca="1">IFERROR(__xludf.DUMMYFUNCTION("""COMPUTED_VALUE"""),"Evidencia")</f>
        <v>Evidencia</v>
      </c>
      <c r="AF119" s="15" t="str">
        <f ca="1">IFERROR(__xludf.DUMMYFUNCTION("""COMPUTED_VALUE"""),"Si")</f>
        <v>Si</v>
      </c>
      <c r="AG119" s="15" t="str">
        <f ca="1">IFERROR(__xludf.DUMMYFUNCTION("""COMPUTED_VALUE"""),"En proceso")</f>
        <v>En proceso</v>
      </c>
      <c r="AH119" s="15" t="str">
        <f ca="1">IFERROR(__xludf.DUMMYFUNCTION("""COMPUTED_VALUE"""),"Durante este primer monitoreo NO se materializó el riesgo.
C1: Se evidencian soportes de seguimiento a los proyectos BPUNI mediante el formato FO-DIE-08, correspondientes a los meses de enero, febrero y marzo de 2026, los cuales guardan relación con el c"&amp;"ontrol establecido.
C2: Se evidencian soportes relacionados con la revisión de informes mensuales de actividades de los contratistas profesionales de apoyo del sistema de laboratorios, conforme al control definido en la matriz.
Acción de tratamiento: Au"&amp;"nque en el reporte se indica que se realiza seguimiento a la ejecución de actividades relacionadas con las fichas BPUNI en el cronograma de trabajo de la coordinación del sistema de laboratorios, no se evidenció el cronograma de trabajo con los seguimient"&amp;"os realizados, conforme al soporte definido para la acción de mejora.
Observación general: Se recomienda organizar las evidencias en carpetas independientes por cada control y acción de tratamiento, con el fin de facilitar la trazabilidad y validación de"&amp;"l monitoreo.
Conclusión: Los controles cuentan con soportes verificables y guardan relación con lo establecido en la matriz; no obstante, se requiere fortalecer la evidencia de la acción de tratamiento y mejorar la organización documental de los soportes"&amp;" aportados.")</f>
        <v>Durante este primer monitoreo NO se materializó el riesgo.
C1: Se evidencian soportes de seguimiento a los proyectos BPUNI mediante el formato FO-DIE-08, correspondientes a los meses de enero, febrero y marzo de 2026, los cuales guardan relación con el control establecido.
C2: Se evidencian soportes relacionados con la revisión de informes mensuales de actividades de los contratistas profesionales de apoyo del sistema de laboratorios, conforme al control definido en la matriz.
Acción de tratamiento: Aunque en el reporte se indica que se realiza seguimiento a la ejecución de actividades relacionadas con las fichas BPUNI en el cronograma de trabajo de la coordinación del sistema de laboratorios, no se evidenció el cronograma de trabajo con los seguimientos realizados, conforme al soporte definido para la acción de mejora.
Observación general: Se recomienda organizar las evidencias en carpetas independientes por cada control y acción de tratamiento, con el fin de facilitar la trazabilidad y validación del monitoreo.
Conclusión: Los controles cuentan con soportes verificables y guardan relación con lo establecido en la matriz; no obstante, se requiere fortalecer la evidencia de la acción de tratamiento y mejorar la organización documental de los soportes aportados.</v>
      </c>
      <c r="AI119" s="15" t="str">
        <f ca="1">IFERROR(__xludf.DUMMYFUNCTION("""COMPUTED_VALUE"""),"30 de abril")</f>
        <v>30 de abril</v>
      </c>
      <c r="AJ119" s="17" t="str">
        <f ca="1">IFERROR(__xludf.DUMMYFUNCTION("""COMPUTED_VALUE"""),"Si")</f>
        <v>Si</v>
      </c>
      <c r="AK119" s="17" t="str">
        <f ca="1">IFERROR(__xludf.DUMMYFUNCTION("""COMPUTED_VALUE"""),"Si")</f>
        <v>Si</v>
      </c>
      <c r="AL119" s="17" t="str">
        <f ca="1">IFERROR(__xludf.DUMMYFUNCTION("""COMPUTED_VALUE"""),"Si")</f>
        <v>Si</v>
      </c>
      <c r="AM119" s="17" t="str">
        <f ca="1">IFERROR(__xludf.DUMMYFUNCTION("""COMPUTED_VALUE"""),"Si")</f>
        <v>Si</v>
      </c>
      <c r="AN119" s="17" t="str">
        <f ca="1">IFERROR(__xludf.DUMMYFUNCTION("""COMPUTED_VALUE"""),"Si")</f>
        <v>Si</v>
      </c>
      <c r="AO119" s="17" t="str">
        <f ca="1">IFERROR(__xludf.DUMMYFUNCTION("""COMPUTED_VALUE"""),"Si")</f>
        <v>Si</v>
      </c>
      <c r="AP119" s="17" t="str">
        <f ca="1">IFERROR(__xludf.DUMMYFUNCTION("""COMPUTED_VALUE"""),"Si")</f>
        <v>Si</v>
      </c>
      <c r="AQ119" s="17" t="str">
        <f ca="1">IFERROR(__xludf.DUMMYFUNCTION("""COMPUTED_VALUE"""),"No")</f>
        <v>No</v>
      </c>
      <c r="AR119" s="17" t="str">
        <f ca="1">IFERROR(__xludf.DUMMYFUNCTION("""COMPUTED_VALUE"""),"No")</f>
        <v>No</v>
      </c>
      <c r="AS119" s="15" t="str">
        <f ca="1">IFERROR(__xludf.DUMMYFUNCTION("""COMPUTED_VALUE"""),"No aplica")</f>
        <v>No aplica</v>
      </c>
      <c r="AT119" s="15" t="str">
        <f ca="1">IFERROR(__xludf.DUMMYFUNCTION("""COMPUTED_VALUE"""),"Recomendación: 
1. Fortalecer la descripción del riesgo, iniciando con el término ""Posibilidad"", conforme a la orientación de la guía metodológica.
2. Mejorar la calidad y suficiencia de la ejecución de la acción de tratamiento, toda vez que se aportó u"&amp;"n formato de cronograma sin diligenciar. Se requiere que la evidencia sea competente, es decir con calidad en relación a su relevancia y confiabilidad y suficiente en términos de cantidad y completitud, que permita demostrar de manera íntegra el hecho obj"&amp;"eto de evaluación.")</f>
        <v>Recomendación: 
1. Fortalecer la descripción del riesgo, iniciando con el término "Posibilidad", conforme a la orientación de la guía metodológica.
2. Mejorar la calidad y suficiencia de la ejecución de la acción de tratamiento, toda vez que se aportó un formato de cronograma sin diligenciar. Se requiere que la evidencia sea competente, es decir con calidad en relación a su relevancia y confiabilidad y suficiente en términos de cantidad y completitud, que permita demostrar de manera íntegra el hecho objeto de evaluación.</v>
      </c>
      <c r="AU119" s="10"/>
    </row>
    <row r="120" spans="1:47" x14ac:dyDescent="0.25">
      <c r="A120" s="25"/>
      <c r="B120" s="86"/>
      <c r="C120" s="86"/>
      <c r="D120" s="64"/>
      <c r="E120" s="64"/>
      <c r="F120" s="64"/>
      <c r="G120" s="64"/>
      <c r="H120" s="64"/>
      <c r="I120" s="64"/>
      <c r="J120" s="64"/>
      <c r="K120" s="64"/>
      <c r="L120" s="64"/>
      <c r="M120" s="64"/>
      <c r="N120" s="64"/>
      <c r="O120" s="64"/>
      <c r="P120" s="64"/>
      <c r="Q120" s="83"/>
      <c r="R120" s="20" t="str">
        <f ca="1">IFERROR(__xludf.DUMMYFUNCTION("""COMPUTED_VALUE"""),"")</f>
        <v/>
      </c>
      <c r="S120" s="42" t="str">
        <f ca="1">IFERROR(__xludf.DUMMYFUNCTION("""COMPUTED_VALUE"""),"")</f>
        <v/>
      </c>
      <c r="T120" s="34"/>
      <c r="U120" s="20"/>
      <c r="V120" s="89"/>
      <c r="W120" s="89"/>
      <c r="X120" s="89"/>
      <c r="Y120" s="89"/>
      <c r="Z120" s="15" t="str">
        <f ca="1">IFERROR(__xludf.DUMMYFUNCTION("""COMPUTED_VALUE"""),"30 de agosto")</f>
        <v>30 de agosto</v>
      </c>
      <c r="AA120" s="17"/>
      <c r="AB120" s="17"/>
      <c r="AC120" s="15"/>
      <c r="AD120" s="17"/>
      <c r="AE120" s="18" t="str">
        <f ca="1">IFERROR(__xludf.DUMMYFUNCTION("""COMPUTED_VALUE"""),"Evidencia")</f>
        <v>Evidencia</v>
      </c>
      <c r="AF120" s="15"/>
      <c r="AG120" s="15"/>
      <c r="AH120" s="15"/>
      <c r="AI120" s="24" t="str">
        <f ca="1">IFERROR(__xludf.DUMMYFUNCTION("""COMPUTED_VALUE"""),"31 de agosto")</f>
        <v>31 de agosto</v>
      </c>
      <c r="AJ120" s="17"/>
      <c r="AK120" s="17"/>
      <c r="AL120" s="17"/>
      <c r="AM120" s="17"/>
      <c r="AN120" s="17"/>
      <c r="AO120" s="17"/>
      <c r="AP120" s="17"/>
      <c r="AQ120" s="17"/>
      <c r="AR120" s="17"/>
      <c r="AS120" s="15"/>
      <c r="AT120" s="15"/>
      <c r="AU120" s="10"/>
    </row>
    <row r="121" spans="1:47" x14ac:dyDescent="0.25">
      <c r="A121" s="25"/>
      <c r="B121" s="86"/>
      <c r="C121" s="86"/>
      <c r="D121" s="61"/>
      <c r="E121" s="61"/>
      <c r="F121" s="61"/>
      <c r="G121" s="61"/>
      <c r="H121" s="61"/>
      <c r="I121" s="61"/>
      <c r="J121" s="61"/>
      <c r="K121" s="61"/>
      <c r="L121" s="61"/>
      <c r="M121" s="61"/>
      <c r="N121" s="61"/>
      <c r="O121" s="61"/>
      <c r="P121" s="61"/>
      <c r="Q121" s="84"/>
      <c r="R121" s="26" t="str">
        <f ca="1">IFERROR(__xludf.DUMMYFUNCTION("""COMPUTED_VALUE"""),"")</f>
        <v/>
      </c>
      <c r="S121" s="43" t="str">
        <f ca="1">IFERROR(__xludf.DUMMYFUNCTION("""COMPUTED_VALUE"""),"")</f>
        <v/>
      </c>
      <c r="T121" s="38"/>
      <c r="U121" s="26"/>
      <c r="V121" s="76"/>
      <c r="W121" s="76"/>
      <c r="X121" s="76"/>
      <c r="Y121" s="76"/>
      <c r="Z121" s="15" t="str">
        <f ca="1">IFERROR(__xludf.DUMMYFUNCTION("""COMPUTED_VALUE"""),"30 de diciembre")</f>
        <v>30 de diciembre</v>
      </c>
      <c r="AA121" s="17"/>
      <c r="AB121" s="17"/>
      <c r="AC121" s="15"/>
      <c r="AD121" s="17"/>
      <c r="AE121" s="18" t="str">
        <f ca="1">IFERROR(__xludf.DUMMYFUNCTION("""COMPUTED_VALUE"""),"Evidencia")</f>
        <v>Evidencia</v>
      </c>
      <c r="AF121" s="15"/>
      <c r="AG121" s="15"/>
      <c r="AH121" s="15"/>
      <c r="AI121" s="24" t="str">
        <f ca="1">IFERROR(__xludf.DUMMYFUNCTION("""COMPUTED_VALUE"""),"31 de diciembre")</f>
        <v>31 de diciembre</v>
      </c>
      <c r="AJ121" s="17"/>
      <c r="AK121" s="17"/>
      <c r="AL121" s="17"/>
      <c r="AM121" s="17"/>
      <c r="AN121" s="17"/>
      <c r="AO121" s="17"/>
      <c r="AP121" s="17"/>
      <c r="AQ121" s="17"/>
      <c r="AR121" s="17"/>
      <c r="AS121" s="15"/>
      <c r="AT121" s="15"/>
      <c r="AU121" s="10"/>
    </row>
    <row r="122" spans="1:47" ht="156" x14ac:dyDescent="0.25">
      <c r="A122" s="25"/>
      <c r="B122" s="86"/>
      <c r="C122" s="86"/>
      <c r="D122" s="63" t="str">
        <f ca="1">IFERROR(__xludf.DUMMYFUNCTION("""COMPUTED_VALUE"""),"Posibilidad de afectación reputacional, legal y económica por incumplimiento de los procedimientos clínicos y administrativos del Centro Clínico Veterinario, debido a debilidades en la socialización, supervisión y aplicación de los protocolos establecidos"&amp;".")</f>
        <v>Posibilidad de afectación reputacional, legal y económica por incumplimiento de los procedimientos clínicos y administrativos del Centro Clínico Veterinario, debido a debilidades en la socialización, supervisión y aplicación de los protocolos establecidos.</v>
      </c>
      <c r="E122" s="63" t="str">
        <f ca="1">IFERROR(__xludf.DUMMYFUNCTION("""COMPUTED_VALUE"""),"Centro Clinico Veterinario")</f>
        <v>Centro Clinico Veterinario</v>
      </c>
      <c r="F122" s="63" t="str">
        <f ca="1">IFERROR(__xludf.DUMMYFUNCTION("""COMPUTED_VALUE"""),"Gestión")</f>
        <v>Gestión</v>
      </c>
      <c r="G122" s="63" t="str">
        <f ca="1">IFERROR(__xludf.DUMMYFUNCTION("""COMPUTED_VALUE"""),"- Debilidades en la supervisión y cumplimiento de protocolos clínicos y administrativos por parte del personal.")</f>
        <v>- Debilidades en la supervisión y cumplimiento de protocolos clínicos y administrativos por parte del personal.</v>
      </c>
      <c r="H122" s="63" t="str">
        <f ca="1">IFERROR(__xludf.DUMMYFUNCTION("""COMPUTED_VALUE"""),"1.Quejas, denuncias o demandas por mala práctica. 
2.Sanciones por parte de organismos de control o vigilancia. 
3.Pérdida de confianza de los usuarios. 
4.Afectación reputacional y económica para la Institución.")</f>
        <v>1.Quejas, denuncias o demandas por mala práctica. 
2.Sanciones por parte de organismos de control o vigilancia. 
3.Pérdida de confianza de los usuarios. 
4.Afectación reputacional y económica para la Institución.</v>
      </c>
      <c r="I122" s="65" t="str">
        <f ca="1">IFERROR(__xludf.DUMMYFUNCTION("""COMPUTED_VALUE"""),"GAA_04")</f>
        <v>GAA_04</v>
      </c>
      <c r="J122" s="65" t="str">
        <f ca="1">IFERROR(__xludf.DUMMYFUNCTION("""COMPUTED_VALUE"""),"Media")</f>
        <v>Media</v>
      </c>
      <c r="K122" s="65" t="str">
        <f ca="1">IFERROR(__xludf.DUMMYFUNCTION("""COMPUTED_VALUE"""),"Mayor")</f>
        <v>Mayor</v>
      </c>
      <c r="L122" s="65" t="str">
        <f ca="1">IFERROR(__xludf.DUMMYFUNCTION("""COMPUTED_VALUE"""),"Extrema")</f>
        <v>Extrema</v>
      </c>
      <c r="M122" s="63" t="str">
        <f ca="1">IFERROR(__xludf.DUMMYFUNCTION("""COMPUTED_VALUE"""),"- El Director del Centro Clínico Veterinario socializa semestralmente los procedimientos clínicos, administrativos y protocolos institucionales al personal y practicantes, dejando registro de asistencia y evidencia de la actividad.
-El personal responsabl"&amp;"e del Centro Clínico Veterinario verifica periódicamente el diligenciamiento completo de historias clínicas y documentos anexos, generando observaciones en caso de inconsistencias en el Formato Consecutivo Ingreso De Pacientes.
- El Director del Centro Cl"&amp;"ínico Veterinario verifica que el personal vinculado cumpla con los perfiles y requisitos definidos para el desarrollo de actividades clínicas y operativas. ")</f>
        <v xml:space="preserve">- El Director del Centro Clínico Veterinario socializa semestralmente los procedimientos clínicos, administrativos y protocolos institucionales al personal y practicantes, dejando registro de asistencia y evidencia de la actividad.
-El personal responsable del Centro Clínico Veterinario verifica periódicamente el diligenciamiento completo de historias clínicas y documentos anexos, generando observaciones en caso de inconsistencias en el Formato Consecutivo Ingreso De Pacientes.
- El Director del Centro Clínico Veterinario verifica que el personal vinculado cumpla con los perfiles y requisitos definidos para el desarrollo de actividades clínicas y operativas. </v>
      </c>
      <c r="N122" s="65" t="str">
        <f ca="1">IFERROR(__xludf.DUMMYFUNCTION("""COMPUTED_VALUE"""),"Muy baja")</f>
        <v>Muy baja</v>
      </c>
      <c r="O122" s="65" t="str">
        <f ca="1">IFERROR(__xludf.DUMMYFUNCTION("""COMPUTED_VALUE"""),"Mayor")</f>
        <v>Mayor</v>
      </c>
      <c r="P122" s="65" t="str">
        <f ca="1">IFERROR(__xludf.DUMMYFUNCTION("""COMPUTED_VALUE"""),"Alta")</f>
        <v>Alta</v>
      </c>
      <c r="Q122" s="91" t="str">
        <f ca="1">IFERROR(__xludf.DUMMYFUNCTION("""COMPUTED_VALUE"""),"Reducir")</f>
        <v>Reducir</v>
      </c>
      <c r="R122" s="20" t="str">
        <f ca="1">IFERROR(__xludf.DUMMYFUNCTION("""COMPUTED_VALUE"""),"Fortalecer las jornadas de socialización y seguimiento al cumplimiento de procedimientos clínicos y administrativos del Centro Clínico Veterinario.")</f>
        <v>Fortalecer las jornadas de socialización y seguimiento al cumplimiento de procedimientos clínicos y administrativos del Centro Clínico Veterinario.</v>
      </c>
      <c r="S122" s="40" t="str">
        <f ca="1">IFERROR(__xludf.DUMMYFUNCTION("""COMPUTED_VALUE"""),"Semestralmente")</f>
        <v>Semestralmente</v>
      </c>
      <c r="T122" s="32" t="str">
        <f ca="1">IFERROR(__xludf.DUMMYFUNCTION("""COMPUTED_VALUE"""),"Director Centro Clínico Veterinario")</f>
        <v>Director Centro Clínico Veterinario</v>
      </c>
      <c r="U122" s="41" t="str">
        <f ca="1">IFERROR(__xludf.DUMMYFUNCTION("""COMPUTED_VALUE"""),"Acta, listados de asistencia, registro fotográfico o correo de convocatoria")</f>
        <v>Acta, listados de asistencia, registro fotográfico o correo de convocatoria</v>
      </c>
      <c r="V122" s="92" t="str">
        <f ca="1">IFERROR(__xludf.DUMMYFUNCTION("""COMPUTED_VALUE"""),"Realizar un informe sobre lo acontecido
Dar Respuesta a los organismos reguladores o judiciales")</f>
        <v>Realizar un informe sobre lo acontecido
Dar Respuesta a los organismos reguladores o judiciales</v>
      </c>
      <c r="W122" s="97" t="str">
        <f ca="1">IFERROR(__xludf.DUMMYFUNCTION("""COMPUTED_VALUE"""),"-Informe detallado de los acontecimientos
-Respuesta a organismos reguladores o judiciales")</f>
        <v>-Informe detallado de los acontecimientos
-Respuesta a organismos reguladores o judiciales</v>
      </c>
      <c r="X122" s="97" t="str">
        <f ca="1">IFERROR(__xludf.DUMMYFUNCTION("""COMPUTED_VALUE"""),"Director del Centro Clínico Veterinario
Profesional encargado")</f>
        <v>Director del Centro Clínico Veterinario
Profesional encargado</v>
      </c>
      <c r="Y122" s="97" t="str">
        <f ca="1">IFERROR(__xludf.DUMMYFUNCTION("""COMPUTED_VALUE"""),"Inmediatamente")</f>
        <v>Inmediatamente</v>
      </c>
      <c r="Z122" s="15" t="str">
        <f ca="1">IFERROR(__xludf.DUMMYFUNCTION("""COMPUTED_VALUE"""),"30 de abril")</f>
        <v>30 de abril</v>
      </c>
      <c r="AA122" s="17" t="str">
        <f ca="1">IFERROR(__xludf.DUMMYFUNCTION("""COMPUTED_VALUE"""),"ABRI")</f>
        <v>ABRI</v>
      </c>
      <c r="AB122" s="17" t="str">
        <f ca="1">IFERROR(__xludf.DUMMYFUNCTION("""COMPUTED_VALUE"""),"No")</f>
        <v>No</v>
      </c>
      <c r="AC122" s="15" t="str">
        <f ca="1">IFERROR(__xludf.DUMMYFUNCTION("""COMPUTED_VALUE"""),"En este periodo no se materializo el riesgo: C1: Se realizó una capacitacion semestre 2026-1 a estudiantes, medicos y administrativiso sobre los procesos y procedimientos del Centro Clinico Veterinario, se adjutna evidencia firma de asistencia  C2 se dili"&amp;"gencia y actualiza en derive el excel de consecutivo de historia clinica, en el que se plasma datos importantes del paciente y el usuario y segun se va diligenciando la historia clinica del paciente tanto en fisico como en el sofware ""recorvet""  C3 se r"&amp;"ealizo la solicitudde personal medico y administrativo para la clinica mediante el formato de ESTUDIO DE CONVENIENCIA Y OPORTUNIDAD CONTRATO DE PRESTACIÓN DE SERVICIOS PROFESIONALES O DE APOYO A LA GESTIÓN
.Acción de mejora: Se realizó una capacitacion s"&amp;"emestre 2026-1 a estudiantes, medicos y administrativiso sobre los procesos y procedimientos del Centro Clinico Veterinario,")</f>
        <v>En este periodo no se materializo el riesgo: C1: Se realizó una capacitacion semestre 2026-1 a estudiantes, medicos y administrativiso sobre los procesos y procedimientos del Centro Clinico Veterinario, se adjutna evidencia firma de asistencia  C2 se diligencia y actualiza en derive el excel de consecutivo de historia clinica, en el que se plasma datos importantes del paciente y el usuario y segun se va diligenciando la historia clinica del paciente tanto en fisico como en el sofware "recorvet"  C3 se realizo la solicitudde personal medico y administrativo para la clinica mediante el formato de ESTUDIO DE CONVENIENCIA Y OPORTUNIDAD CONTRATO DE PRESTACIÓN DE SERVICIOS PROFESIONALES O DE APOYO A LA GESTIÓN
.Acción de mejora: Se realizó una capacitacion semestre 2026-1 a estudiantes, medicos y administrativiso sobre los procesos y procedimientos del Centro Clinico Veterinario,</v>
      </c>
      <c r="AD122" s="17" t="str">
        <f ca="1">IFERROR(__xludf.DUMMYFUNCTION("""COMPUTED_VALUE"""),"Veterinaria")</f>
        <v>Veterinaria</v>
      </c>
      <c r="AE122" s="18" t="str">
        <f ca="1">IFERROR(__xludf.DUMMYFUNCTION("""COMPUTED_VALUE"""),"Evidencia")</f>
        <v>Evidencia</v>
      </c>
      <c r="AF122" s="15" t="str">
        <f ca="1">IFERROR(__xludf.DUMMYFUNCTION("""COMPUTED_VALUE"""),"Si")</f>
        <v>Si</v>
      </c>
      <c r="AG122" s="15" t="str">
        <f ca="1">IFERROR(__xludf.DUMMYFUNCTION("""COMPUTED_VALUE"""),"Ejecutada")</f>
        <v>Ejecutada</v>
      </c>
      <c r="AH122" s="15" t="str">
        <f ca="1">IFERROR(__xludf.DUMMYFUNCTION("""COMPUTED_VALUE"""),"Durante este periodo NO se materializó el riesgo.
C1: Se evidenció capacitación a estudiantes, médicos y personal administrativo sobre procesos y procedimientos del Centro Clínico Veterinario, con registros de asistencia.
C2: Se evidenció archivo en Exc"&amp;"el con el consecutivo y seguimiento de historias clínicas de pacientes, el cual guarda relación con el control establecido sobre verificación documental.
C3: Se evidenció soporte relacionado con la solicitud de personal médico y administrativo conforme a"&amp;" los perfiles requeridos.
Acción de tratamiento: Se evidenció la ejecución de jornadas de socialización sobre procedimientos clínicos y administrativos.
Conclusión: Los controles y la acción de tratamiento cuentan con soportes acordes a lo establecido e"&amp;"n la matriz.")</f>
        <v>Durante este periodo NO se materializó el riesgo.
C1: Se evidenció capacitación a estudiantes, médicos y personal administrativo sobre procesos y procedimientos del Centro Clínico Veterinario, con registros de asistencia.
C2: Se evidenció archivo en Excel con el consecutivo y seguimiento de historias clínicas de pacientes, el cual guarda relación con el control establecido sobre verificación documental.
C3: Se evidenció soporte relacionado con la solicitud de personal médico y administrativo conforme a los perfiles requeridos.
Acción de tratamiento: Se evidenció la ejecución de jornadas de socialización sobre procedimientos clínicos y administrativos.
Conclusión: Los controles y la acción de tratamiento cuentan con soportes acordes a lo establecido en la matriz.</v>
      </c>
      <c r="AI122" s="15" t="str">
        <f ca="1">IFERROR(__xludf.DUMMYFUNCTION("""COMPUTED_VALUE"""),"30 de abril")</f>
        <v>30 de abril</v>
      </c>
      <c r="AJ122" s="17" t="str">
        <f ca="1">IFERROR(__xludf.DUMMYFUNCTION("""COMPUTED_VALUE"""),"Si")</f>
        <v>Si</v>
      </c>
      <c r="AK122" s="17" t="str">
        <f ca="1">IFERROR(__xludf.DUMMYFUNCTION("""COMPUTED_VALUE"""),"Si")</f>
        <v>Si</v>
      </c>
      <c r="AL122" s="17" t="str">
        <f ca="1">IFERROR(__xludf.DUMMYFUNCTION("""COMPUTED_VALUE"""),"Si")</f>
        <v>Si</v>
      </c>
      <c r="AM122" s="17" t="str">
        <f ca="1">IFERROR(__xludf.DUMMYFUNCTION("""COMPUTED_VALUE"""),"Si")</f>
        <v>Si</v>
      </c>
      <c r="AN122" s="17" t="str">
        <f ca="1">IFERROR(__xludf.DUMMYFUNCTION("""COMPUTED_VALUE"""),"Si")</f>
        <v>Si</v>
      </c>
      <c r="AO122" s="17" t="str">
        <f ca="1">IFERROR(__xludf.DUMMYFUNCTION("""COMPUTED_VALUE"""),"Si")</f>
        <v>Si</v>
      </c>
      <c r="AP122" s="17" t="str">
        <f ca="1">IFERROR(__xludf.DUMMYFUNCTION("""COMPUTED_VALUE"""),"Si")</f>
        <v>Si</v>
      </c>
      <c r="AQ122" s="17" t="str">
        <f ca="1">IFERROR(__xludf.DUMMYFUNCTION("""COMPUTED_VALUE"""),"No")</f>
        <v>No</v>
      </c>
      <c r="AR122" s="17" t="str">
        <f ca="1">IFERROR(__xludf.DUMMYFUNCTION("""COMPUTED_VALUE"""),"No")</f>
        <v>No</v>
      </c>
      <c r="AS122" s="15" t="str">
        <f ca="1">IFERROR(__xludf.DUMMYFUNCTION("""COMPUTED_VALUE"""),"No aplica")</f>
        <v>No aplica</v>
      </c>
      <c r="AT122" s="15" t="str">
        <f ca="1">IFERROR(__xludf.DUMMYFUNCTION("""COMPUTED_VALUE"""),"Ninguna")</f>
        <v>Ninguna</v>
      </c>
      <c r="AU122" s="10"/>
    </row>
    <row r="123" spans="1:47" x14ac:dyDescent="0.25">
      <c r="A123" s="25"/>
      <c r="B123" s="86"/>
      <c r="C123" s="86"/>
      <c r="D123" s="64"/>
      <c r="E123" s="64"/>
      <c r="F123" s="64"/>
      <c r="G123" s="64"/>
      <c r="H123" s="64"/>
      <c r="I123" s="64"/>
      <c r="J123" s="64"/>
      <c r="K123" s="64"/>
      <c r="L123" s="64"/>
      <c r="M123" s="64"/>
      <c r="N123" s="64"/>
      <c r="O123" s="64"/>
      <c r="P123" s="64"/>
      <c r="Q123" s="83"/>
      <c r="R123" s="20" t="str">
        <f ca="1">IFERROR(__xludf.DUMMYFUNCTION("""COMPUTED_VALUE"""),"")</f>
        <v/>
      </c>
      <c r="S123" s="42" t="str">
        <f ca="1">IFERROR(__xludf.DUMMYFUNCTION("""COMPUTED_VALUE"""),"")</f>
        <v/>
      </c>
      <c r="T123" s="34"/>
      <c r="U123" s="20"/>
      <c r="V123" s="89"/>
      <c r="W123" s="89"/>
      <c r="X123" s="89"/>
      <c r="Y123" s="89"/>
      <c r="Z123" s="15" t="str">
        <f ca="1">IFERROR(__xludf.DUMMYFUNCTION("""COMPUTED_VALUE"""),"30 de agosto")</f>
        <v>30 de agosto</v>
      </c>
      <c r="AA123" s="17"/>
      <c r="AB123" s="17"/>
      <c r="AC123" s="15"/>
      <c r="AD123" s="17"/>
      <c r="AE123" s="18" t="str">
        <f ca="1">IFERROR(__xludf.DUMMYFUNCTION("""COMPUTED_VALUE"""),"Evidencia")</f>
        <v>Evidencia</v>
      </c>
      <c r="AF123" s="15"/>
      <c r="AG123" s="15"/>
      <c r="AH123" s="15"/>
      <c r="AI123" s="24" t="str">
        <f ca="1">IFERROR(__xludf.DUMMYFUNCTION("""COMPUTED_VALUE"""),"31 de agosto")</f>
        <v>31 de agosto</v>
      </c>
      <c r="AJ123" s="17"/>
      <c r="AK123" s="17"/>
      <c r="AL123" s="17"/>
      <c r="AM123" s="17"/>
      <c r="AN123" s="17"/>
      <c r="AO123" s="17"/>
      <c r="AP123" s="17"/>
      <c r="AQ123" s="17"/>
      <c r="AR123" s="17"/>
      <c r="AS123" s="15"/>
      <c r="AT123" s="15"/>
      <c r="AU123" s="10"/>
    </row>
    <row r="124" spans="1:47" x14ac:dyDescent="0.25">
      <c r="A124" s="25"/>
      <c r="B124" s="86"/>
      <c r="C124" s="86"/>
      <c r="D124" s="61"/>
      <c r="E124" s="61"/>
      <c r="F124" s="61"/>
      <c r="G124" s="61"/>
      <c r="H124" s="61"/>
      <c r="I124" s="61"/>
      <c r="J124" s="61"/>
      <c r="K124" s="61"/>
      <c r="L124" s="61"/>
      <c r="M124" s="61"/>
      <c r="N124" s="61"/>
      <c r="O124" s="61"/>
      <c r="P124" s="61"/>
      <c r="Q124" s="84"/>
      <c r="R124" s="26" t="str">
        <f ca="1">IFERROR(__xludf.DUMMYFUNCTION("""COMPUTED_VALUE"""),"")</f>
        <v/>
      </c>
      <c r="S124" s="43" t="str">
        <f ca="1">IFERROR(__xludf.DUMMYFUNCTION("""COMPUTED_VALUE"""),"")</f>
        <v/>
      </c>
      <c r="T124" s="38"/>
      <c r="U124" s="26"/>
      <c r="V124" s="76"/>
      <c r="W124" s="76"/>
      <c r="X124" s="76"/>
      <c r="Y124" s="76"/>
      <c r="Z124" s="15" t="str">
        <f ca="1">IFERROR(__xludf.DUMMYFUNCTION("""COMPUTED_VALUE"""),"30 de diciembre")</f>
        <v>30 de diciembre</v>
      </c>
      <c r="AA124" s="17"/>
      <c r="AB124" s="17"/>
      <c r="AC124" s="15"/>
      <c r="AD124" s="17"/>
      <c r="AE124" s="54"/>
      <c r="AF124" s="15"/>
      <c r="AG124" s="15"/>
      <c r="AH124" s="15"/>
      <c r="AI124" s="24" t="str">
        <f ca="1">IFERROR(__xludf.DUMMYFUNCTION("""COMPUTED_VALUE"""),"31 de diciembre")</f>
        <v>31 de diciembre</v>
      </c>
      <c r="AJ124" s="17"/>
      <c r="AK124" s="17"/>
      <c r="AL124" s="17"/>
      <c r="AM124" s="17"/>
      <c r="AN124" s="17"/>
      <c r="AO124" s="17"/>
      <c r="AP124" s="17"/>
      <c r="AQ124" s="17"/>
      <c r="AR124" s="17"/>
      <c r="AS124" s="15"/>
      <c r="AT124" s="15"/>
      <c r="AU124" s="10"/>
    </row>
    <row r="125" spans="1:47" ht="156" x14ac:dyDescent="0.25">
      <c r="A125" s="25"/>
      <c r="B125" s="86"/>
      <c r="C125" s="86"/>
      <c r="D125" s="88" t="str">
        <f ca="1">IFERROR(__xludf.DUMMYFUNCTION("""COMPUTED_VALUE"""),"Posibilidad de afectación operativa, administrativa, financiera y reputacional por la desactualización de los procedimientos asociados a la asignación de áreas, apoyo a proyectos académicos productivos y venta de productos de la Granja Barcelona.")</f>
        <v>Posibilidad de afectación operativa, administrativa, financiera y reputacional por la desactualización de los procedimientos asociados a la asignación de áreas, apoyo a proyectos académicos productivos y venta de productos de la Granja Barcelona.</v>
      </c>
      <c r="E125" s="63" t="str">
        <f ca="1">IFERROR(__xludf.DUMMYFUNCTION("""COMPUTED_VALUE"""),"Unidad Rural Barcelona - Granja")</f>
        <v>Unidad Rural Barcelona - Granja</v>
      </c>
      <c r="F125" s="63" t="str">
        <f ca="1">IFERROR(__xludf.DUMMYFUNCTION("""COMPUTED_VALUE"""),"Gestión")</f>
        <v>Gestión</v>
      </c>
      <c r="G125" s="63" t="str">
        <f ca="1">IFERROR(__xludf.DUMMYFUNCTION("""COMPUTED_VALUE"""),"- Desactualizacion de los controles.
- Requisitos institucionales desactualizados.")</f>
        <v>- Desactualizacion de los controles.
- Requisitos institucionales desactualizados.</v>
      </c>
      <c r="H125" s="63" t="str">
        <f ca="1">IFERROR(__xludf.DUMMYFUNCTION("""COMPUTED_VALUE"""),"-Ejecucion de las actividades de la granja omitiendo actividades y criterios importantes para garantizar la trazabilidad de los proyectos de aula.
-Posibilidad de inadecuado manejo de los recursos por debilidades en los controles. 
-Incumplimiento de la n"&amp;"ormatividad interna.
-Hallazgos en auditorias.
-Insatisfaccion de los usuarios.")</f>
        <v>-Ejecucion de las actividades de la granja omitiendo actividades y criterios importantes para garantizar la trazabilidad de los proyectos de aula.
-Posibilidad de inadecuado manejo de los recursos por debilidades en los controles. 
-Incumplimiento de la normatividad interna.
-Hallazgos en auditorias.
-Insatisfaccion de los usuarios.</v>
      </c>
      <c r="I125" s="65" t="str">
        <f ca="1">IFERROR(__xludf.DUMMYFUNCTION("""COMPUTED_VALUE"""),"GAA_05")</f>
        <v>GAA_05</v>
      </c>
      <c r="J125" s="65" t="str">
        <f ca="1">IFERROR(__xludf.DUMMYFUNCTION("""COMPUTED_VALUE"""),"Alta")</f>
        <v>Alta</v>
      </c>
      <c r="K125" s="65" t="str">
        <f ca="1">IFERROR(__xludf.DUMMYFUNCTION("""COMPUTED_VALUE"""),"Menor")</f>
        <v>Menor</v>
      </c>
      <c r="L125" s="65" t="str">
        <f ca="1">IFERROR(__xludf.DUMMYFUNCTION("""COMPUTED_VALUE"""),"Alta")</f>
        <v>Alta</v>
      </c>
      <c r="M125" s="63" t="str">
        <f ca="1">IFERROR(__xludf.DUMMYFUNCTION("""COMPUTED_VALUE"""),"El Coordinador de la Granja realiza seguimiento a la aplicación de los procedimientos PD-GAA-52 y PD-GAA-53 mediante la verificación de los registros de ejecución de proyectos de aula y soportes de ventas generados en la operación de la granja, con el fin"&amp;" de asegurar el cumplimiento de las actividades establecidas y detectar necesidades de actualización o mejora.    ")</f>
        <v xml:space="preserve">El Coordinador de la Granja realiza seguimiento a la aplicación de los procedimientos PD-GAA-52 y PD-GAA-53 mediante la verificación de los registros de ejecución de proyectos de aula y soportes de ventas generados en la operación de la granja, con el fin de asegurar el cumplimiento de las actividades establecidas y detectar necesidades de actualización o mejora.    </v>
      </c>
      <c r="N125" s="65" t="str">
        <f ca="1">IFERROR(__xludf.DUMMYFUNCTION("""COMPUTED_VALUE"""),"Media")</f>
        <v>Media</v>
      </c>
      <c r="O125" s="65" t="str">
        <f ca="1">IFERROR(__xludf.DUMMYFUNCTION("""COMPUTED_VALUE"""),"Menor")</f>
        <v>Menor</v>
      </c>
      <c r="P125" s="65" t="str">
        <f ca="1">IFERROR(__xludf.DUMMYFUNCTION("""COMPUTED_VALUE"""),"Media")</f>
        <v>Media</v>
      </c>
      <c r="Q125" s="91" t="str">
        <f ca="1">IFERROR(__xludf.DUMMYFUNCTION("""COMPUTED_VALUE"""),"Reducir")</f>
        <v>Reducir</v>
      </c>
      <c r="R125" s="20" t="str">
        <f ca="1">IFERROR(__xludf.DUMMYFUNCTION("""COMPUTED_VALUE"""),"Actualizar y aprobar los procedimientos y formatos asociados a la operación de la Unidad Rural Barcelona (Granja).")</f>
        <v>Actualizar y aprobar los procedimientos y formatos asociados a la operación de la Unidad Rural Barcelona (Granja).</v>
      </c>
      <c r="S125" s="40">
        <f ca="1">IFERROR(__xludf.DUMMYFUNCTION("""COMPUTED_VALUE"""),46234)</f>
        <v>46234</v>
      </c>
      <c r="T125" s="32" t="str">
        <f ca="1">IFERROR(__xludf.DUMMYFUNCTION("""COMPUTED_VALUE"""),"Coordinador Unidades Rurales")</f>
        <v>Coordinador Unidades Rurales</v>
      </c>
      <c r="U125" s="41" t="str">
        <f ca="1">IFERROR(__xludf.DUMMYFUNCTION("""COMPUTED_VALUE"""),"Acta de aprobación de procedimientos y soporte de procedimientos actualizados, link de publicación en la pagina del sig.")</f>
        <v>Acta de aprobación de procedimientos y soporte de procedimientos actualizados, link de publicación en la pagina del sig.</v>
      </c>
      <c r="V125" s="92" t="str">
        <f ca="1">IFERROR(__xludf.DUMMYFUNCTION("""COMPUTED_VALUE"""),"Solicitar a los docentes responsables de los proyectos de aula los informes y soportes de la trazabilidad de las actividades.")</f>
        <v>Solicitar a los docentes responsables de los proyectos de aula los informes y soportes de la trazabilidad de las actividades.</v>
      </c>
      <c r="W125" s="97" t="str">
        <f ca="1">IFERROR(__xludf.DUMMYFUNCTION("""COMPUTED_VALUE"""),"Correo electronico")</f>
        <v>Correo electronico</v>
      </c>
      <c r="X125" s="97" t="str">
        <f ca="1">IFERROR(__xludf.DUMMYFUNCTION("""COMPUTED_VALUE"""),"Coordinador Unidades Rurales")</f>
        <v>Coordinador Unidades Rurales</v>
      </c>
      <c r="Y125" s="97" t="str">
        <f ca="1">IFERROR(__xludf.DUMMYFUNCTION("""COMPUTED_VALUE"""),"Al final del periodo academico")</f>
        <v>Al final del periodo academico</v>
      </c>
      <c r="Z125" s="15" t="str">
        <f ca="1">IFERROR(__xludf.DUMMYFUNCTION("""COMPUTED_VALUE"""),"30 de abril")</f>
        <v>30 de abril</v>
      </c>
      <c r="AA125" s="17" t="str">
        <f ca="1">IFERROR(__xludf.DUMMYFUNCTION("""COMPUTED_VALUE"""),"Ene-Abril")</f>
        <v>Ene-Abril</v>
      </c>
      <c r="AB125" s="17" t="str">
        <f ca="1">IFERROR(__xludf.DUMMYFUNCTION("""COMPUTED_VALUE"""),"No")</f>
        <v>No</v>
      </c>
      <c r="AC125" s="15" t="str">
        <f ca="1">IFERROR(__xludf.DUMMYFUNCTION("""COMPUTED_VALUE"""),"Durante este primer monitoreo no se materializó el riesgo
Sobre las actividades asociadas al control: 
1) Se realizó seguimiento a los procedimientos publicados en la pagina web del SIG de la granja, se evidenció la necesidad de actualizar los procedimie"&amp;"ntos PD-GAA-52 Y PD-GAA-53 se añade como soporte a este control el correo remitido a el SIG para la actualización documental.
Sobre las acciones de tratamiento: 
1) Sobre la actualización y aprobación de los procedimientos y formatos asociados a la opoer"&amp;"ación de la unidad rural barcelona (GRANJA), se realizó borrador para la actualización documental el cual se envio por correo el pasado 3 de febrero de 2026, actualmente se estan haciendo unos ajustes finales para su publicación con el SIG se proyecta ten"&amp;"er el cargue oficial para finales del mes de mayo soporte que será cargado el proximo monitoreo. 
2) Sobre socializar los procedimientos actualizados, esta labor se realizará despues de cargar los nuevos procedimientos al SIG aprobados se espera tener est"&amp;"e soporte para el proximo monitoreo. ")</f>
        <v xml:space="preserve">Durante este primer monitoreo no se materializó el riesgo
Sobre las actividades asociadas al control: 
1) Se realizó seguimiento a los procedimientos publicados en la pagina web del SIG de la granja, se evidenció la necesidad de actualizar los procedimientos PD-GAA-52 Y PD-GAA-53 se añade como soporte a este control el correo remitido a el SIG para la actualización documental.
Sobre las acciones de tratamiento: 
1) Sobre la actualización y aprobación de los procedimientos y formatos asociados a la opoeración de la unidad rural barcelona (GRANJA), se realizó borrador para la actualización documental el cual se envio por correo el pasado 3 de febrero de 2026, actualmente se estan haciendo unos ajustes finales para su publicación con el SIG se proyecta tener el cargue oficial para finales del mes de mayo soporte que será cargado el proximo monitoreo. 
2) Sobre socializar los procedimientos actualizados, esta labor se realizará despues de cargar los nuevos procedimientos al SIG aprobados se espera tener este soporte para el proximo monitoreo. </v>
      </c>
      <c r="AD125" s="17" t="str">
        <f ca="1">IFERROR(__xludf.DUMMYFUNCTION("""COMPUTED_VALUE"""),"Coordinador unidades rurales")</f>
        <v>Coordinador unidades rurales</v>
      </c>
      <c r="AE125" s="18" t="str">
        <f ca="1">IFERROR(__xludf.DUMMYFUNCTION("""COMPUTED_VALUE"""),"Evidencia")</f>
        <v>Evidencia</v>
      </c>
      <c r="AF125" s="15" t="str">
        <f ca="1">IFERROR(__xludf.DUMMYFUNCTION("""COMPUTED_VALUE"""),"Si")</f>
        <v>Si</v>
      </c>
      <c r="AG125" s="15" t="str">
        <f ca="1">IFERROR(__xludf.DUMMYFUNCTION("""COMPUTED_VALUE"""),"En proceso")</f>
        <v>En proceso</v>
      </c>
      <c r="AH125" s="15" t="str">
        <f ca="1">IFERROR(__xludf.DUMMYFUNCTION("""COMPUTED_VALUE"""),"Durante este primer monitoreo NO se materializó el riesgo.
C1: Se evidenció seguimiento a los procedimientos PD-GAA-52 y PD-GAA-53, identificándose la necesidad de actualización documental. Como soporte se adjunta correo remitido al SIG solicitando la ac"&amp;"tualización de los procedimientos.
Acción de tratamiento 1: Se evidenció avance en la actualización de los procedimientos y formatos asociados a la operación de la Unidad Rural Barcelona, mediante borradores remitidos al SIG para revisión y ajustes final"&amp;"es.
Acción de tratamiento 2: La socialización de los procedimientos actualizados se realizará una vez sean aprobados y publicados en el SIG, por lo cual el soporte será aportado en el próximo monitoreo.
Conclusión: Los soportes aportados guardan relació"&amp;"n con el control y las acciones de tratamiento reportadas, evidenciando avance en el proceso de actualización documental.")</f>
        <v>Durante este primer monitoreo NO se materializó el riesgo.
C1: Se evidenció seguimiento a los procedimientos PD-GAA-52 y PD-GAA-53, identificándose la necesidad de actualización documental. Como soporte se adjunta correo remitido al SIG solicitando la actualización de los procedimientos.
Acción de tratamiento 1: Se evidenció avance en la actualización de los procedimientos y formatos asociados a la operación de la Unidad Rural Barcelona, mediante borradores remitidos al SIG para revisión y ajustes finales.
Acción de tratamiento 2: La socialización de los procedimientos actualizados se realizará una vez sean aprobados y publicados en el SIG, por lo cual el soporte será aportado en el próximo monitoreo.
Conclusión: Los soportes aportados guardan relación con el control y las acciones de tratamiento reportadas, evidenciando avance en el proceso de actualización documental.</v>
      </c>
      <c r="AI125" s="15" t="str">
        <f ca="1">IFERROR(__xludf.DUMMYFUNCTION("""COMPUTED_VALUE"""),"30 de abril")</f>
        <v>30 de abril</v>
      </c>
      <c r="AJ125" s="17" t="str">
        <f ca="1">IFERROR(__xludf.DUMMYFUNCTION("""COMPUTED_VALUE"""),"Si")</f>
        <v>Si</v>
      </c>
      <c r="AK125" s="17" t="str">
        <f ca="1">IFERROR(__xludf.DUMMYFUNCTION("""COMPUTED_VALUE"""),"Si")</f>
        <v>Si</v>
      </c>
      <c r="AL125" s="17" t="str">
        <f ca="1">IFERROR(__xludf.DUMMYFUNCTION("""COMPUTED_VALUE"""),"Si")</f>
        <v>Si</v>
      </c>
      <c r="AM125" s="17" t="str">
        <f ca="1">IFERROR(__xludf.DUMMYFUNCTION("""COMPUTED_VALUE"""),"Si")</f>
        <v>Si</v>
      </c>
      <c r="AN125" s="17" t="str">
        <f ca="1">IFERROR(__xludf.DUMMYFUNCTION("""COMPUTED_VALUE"""),"Si")</f>
        <v>Si</v>
      </c>
      <c r="AO125" s="17" t="str">
        <f ca="1">IFERROR(__xludf.DUMMYFUNCTION("""COMPUTED_VALUE"""),"Si")</f>
        <v>Si</v>
      </c>
      <c r="AP125" s="17" t="str">
        <f ca="1">IFERROR(__xludf.DUMMYFUNCTION("""COMPUTED_VALUE"""),"Si")</f>
        <v>Si</v>
      </c>
      <c r="AQ125" s="17" t="str">
        <f ca="1">IFERROR(__xludf.DUMMYFUNCTION("""COMPUTED_VALUE"""),"No")</f>
        <v>No</v>
      </c>
      <c r="AR125" s="17" t="str">
        <f ca="1">IFERROR(__xludf.DUMMYFUNCTION("""COMPUTED_VALUE"""),"No")</f>
        <v>No</v>
      </c>
      <c r="AS125" s="15" t="str">
        <f ca="1">IFERROR(__xludf.DUMMYFUNCTION("""COMPUTED_VALUE"""),"No aplica")</f>
        <v>No aplica</v>
      </c>
      <c r="AT125" s="15" t="str">
        <f ca="1">IFERROR(__xludf.DUMMYFUNCTION("""COMPUTED_VALUE"""),"Ninguna")</f>
        <v>Ninguna</v>
      </c>
      <c r="AU125" s="10"/>
    </row>
    <row r="126" spans="1:47" ht="36" x14ac:dyDescent="0.25">
      <c r="A126" s="25"/>
      <c r="B126" s="86"/>
      <c r="C126" s="86"/>
      <c r="D126" s="89"/>
      <c r="E126" s="64"/>
      <c r="F126" s="64"/>
      <c r="G126" s="64"/>
      <c r="H126" s="64"/>
      <c r="I126" s="64"/>
      <c r="J126" s="64"/>
      <c r="K126" s="64"/>
      <c r="L126" s="64"/>
      <c r="M126" s="64"/>
      <c r="N126" s="64"/>
      <c r="O126" s="64"/>
      <c r="P126" s="64"/>
      <c r="Q126" s="83"/>
      <c r="R126" s="20" t="str">
        <f ca="1">IFERROR(__xludf.DUMMYFUNCTION("""COMPUTED_VALUE"""),"Socializar los procedimientos actualizados al personal involucrado en la operación de la Granja Barcelona.")</f>
        <v>Socializar los procedimientos actualizados al personal involucrado en la operación de la Granja Barcelona.</v>
      </c>
      <c r="S126" s="42">
        <f ca="1">IFERROR(__xludf.DUMMYFUNCTION("""COMPUTED_VALUE"""),46234)</f>
        <v>46234</v>
      </c>
      <c r="T126" s="34" t="str">
        <f ca="1">IFERROR(__xludf.DUMMYFUNCTION("""COMPUTED_VALUE"""),"Coordinador Unidades Rurales")</f>
        <v>Coordinador Unidades Rurales</v>
      </c>
      <c r="U126" s="20" t="str">
        <f ca="1">IFERROR(__xludf.DUMMYFUNCTION("""COMPUTED_VALUE"""),"Correo electronico")</f>
        <v>Correo electronico</v>
      </c>
      <c r="V126" s="89"/>
      <c r="W126" s="89"/>
      <c r="X126" s="89"/>
      <c r="Y126" s="89"/>
      <c r="Z126" s="15" t="str">
        <f ca="1">IFERROR(__xludf.DUMMYFUNCTION("""COMPUTED_VALUE"""),"30 de agosto")</f>
        <v>30 de agosto</v>
      </c>
      <c r="AA126" s="17"/>
      <c r="AB126" s="17"/>
      <c r="AC126" s="15"/>
      <c r="AD126" s="17"/>
      <c r="AE126" s="18" t="str">
        <f ca="1">IFERROR(__xludf.DUMMYFUNCTION("""COMPUTED_VALUE"""),"Evidencia")</f>
        <v>Evidencia</v>
      </c>
      <c r="AF126" s="15"/>
      <c r="AG126" s="15"/>
      <c r="AH126" s="15"/>
      <c r="AI126" s="24" t="str">
        <f ca="1">IFERROR(__xludf.DUMMYFUNCTION("""COMPUTED_VALUE"""),"31 de agosto")</f>
        <v>31 de agosto</v>
      </c>
      <c r="AJ126" s="17"/>
      <c r="AK126" s="17"/>
      <c r="AL126" s="17"/>
      <c r="AM126" s="17"/>
      <c r="AN126" s="17"/>
      <c r="AO126" s="17"/>
      <c r="AP126" s="17"/>
      <c r="AQ126" s="17"/>
      <c r="AR126" s="17"/>
      <c r="AS126" s="15"/>
      <c r="AT126" s="15"/>
      <c r="AU126" s="10"/>
    </row>
    <row r="127" spans="1:47" x14ac:dyDescent="0.25">
      <c r="A127" s="25"/>
      <c r="B127" s="86"/>
      <c r="C127" s="86"/>
      <c r="D127" s="76"/>
      <c r="E127" s="61"/>
      <c r="F127" s="61"/>
      <c r="G127" s="61"/>
      <c r="H127" s="61"/>
      <c r="I127" s="61"/>
      <c r="J127" s="61"/>
      <c r="K127" s="61"/>
      <c r="L127" s="61"/>
      <c r="M127" s="61"/>
      <c r="N127" s="61"/>
      <c r="O127" s="61"/>
      <c r="P127" s="61"/>
      <c r="Q127" s="84"/>
      <c r="R127" s="26" t="str">
        <f ca="1">IFERROR(__xludf.DUMMYFUNCTION("""COMPUTED_VALUE"""),"")</f>
        <v/>
      </c>
      <c r="S127" s="43" t="str">
        <f ca="1">IFERROR(__xludf.DUMMYFUNCTION("""COMPUTED_VALUE"""),"")</f>
        <v/>
      </c>
      <c r="T127" s="38"/>
      <c r="U127" s="26"/>
      <c r="V127" s="76"/>
      <c r="W127" s="76"/>
      <c r="X127" s="76"/>
      <c r="Y127" s="76"/>
      <c r="Z127" s="15" t="str">
        <f ca="1">IFERROR(__xludf.DUMMYFUNCTION("""COMPUTED_VALUE"""),"30 de diciembre")</f>
        <v>30 de diciembre</v>
      </c>
      <c r="AA127" s="17"/>
      <c r="AB127" s="17"/>
      <c r="AC127" s="15"/>
      <c r="AD127" s="17"/>
      <c r="AE127" s="18" t="str">
        <f ca="1">IFERROR(__xludf.DUMMYFUNCTION("""COMPUTED_VALUE"""),"Evidencia")</f>
        <v>Evidencia</v>
      </c>
      <c r="AF127" s="15"/>
      <c r="AG127" s="15"/>
      <c r="AH127" s="15"/>
      <c r="AI127" s="24" t="str">
        <f ca="1">IFERROR(__xludf.DUMMYFUNCTION("""COMPUTED_VALUE"""),"31 de diciembre")</f>
        <v>31 de diciembre</v>
      </c>
      <c r="AJ127" s="17"/>
      <c r="AK127" s="17"/>
      <c r="AL127" s="17"/>
      <c r="AM127" s="17"/>
      <c r="AN127" s="17"/>
      <c r="AO127" s="17"/>
      <c r="AP127" s="17"/>
      <c r="AQ127" s="17"/>
      <c r="AR127" s="17"/>
      <c r="AS127" s="15"/>
      <c r="AT127" s="15"/>
      <c r="AU127" s="10"/>
    </row>
    <row r="128" spans="1:47" ht="276" x14ac:dyDescent="0.25">
      <c r="A128" s="25"/>
      <c r="B128" s="86"/>
      <c r="C128" s="86"/>
      <c r="D128" s="88" t="str">
        <f ca="1">IFERROR(__xludf.DUMMYFUNCTION("""COMPUTED_VALUE"""),"Posibilidad de afectación económica y reputacional por invalidez de los resultados obtenidos en ensayos del Centro de Calidad de Aguas debido a que no se garantiza la trazabilidad metrológica")</f>
        <v>Posibilidad de afectación económica y reputacional por invalidez de los resultados obtenidos en ensayos del Centro de Calidad de Aguas debido a que no se garantiza la trazabilidad metrológica</v>
      </c>
      <c r="E128" s="63" t="str">
        <f ca="1">IFERROR(__xludf.DUMMYFUNCTION("""COMPUTED_VALUE"""),"Centro de Calidad de Aguas")</f>
        <v>Centro de Calidad de Aguas</v>
      </c>
      <c r="F128" s="63" t="str">
        <f ca="1">IFERROR(__xludf.DUMMYFUNCTION("""COMPUTED_VALUE"""),"Gestión")</f>
        <v>Gestión</v>
      </c>
      <c r="G128" s="63" t="str">
        <f ca="1">IFERROR(__xludf.DUMMYFUNCTION("""COMPUTED_VALUE"""),"- Falta de confirmación metrologica de los equipos de laboratorio
- Vencimiento de los reactivos e insumos que se requieren para la ejecución de los ensayos
- No contar con manuales, procedimientos e instructivos claros y actualizados que garantice la val"&amp;"idez de los resultados
- Falta de competencia del personal para el desarrollo de las pruebas de ensayo")</f>
        <v>- Falta de confirmación metrologica de los equipos de laboratorio
- Vencimiento de los reactivos e insumos que se requieren para la ejecución de los ensayos
- No contar con manuales, procedimientos e instructivos claros y actualizados que garantice la validez de los resultados
- Falta de competencia del personal para el desarrollo de las pruebas de ensayo</v>
      </c>
      <c r="H128" s="63" t="str">
        <f ca="1">IFERROR(__xludf.DUMMYFUNCTION("""COMPUTED_VALUE"""),"1. Deterioro de la imagen y credibilidad Institucional y del Centro de Calidad de Aguas.
2. Reducción de los ingresos obtenidos por venta de servicios.
3. Resultados no satisfactorios en pruebas de desempeño de los ensayos.
4. Pérdida de la acreditación d"&amp;"el laboratorio para producir información cuantitativa, física, química y biótica para estudios ambientales.")</f>
        <v>1. Deterioro de la imagen y credibilidad Institucional y del Centro de Calidad de Aguas.
2. Reducción de los ingresos obtenidos por venta de servicios.
3. Resultados no satisfactorios en pruebas de desempeño de los ensayos.
4. Pérdida de la acreditación del laboratorio para producir información cuantitativa, física, química y biótica para estudios ambientales.</v>
      </c>
      <c r="I128" s="65" t="str">
        <f ca="1">IFERROR(__xludf.DUMMYFUNCTION("""COMPUTED_VALUE"""),"GAA_06")</f>
        <v>GAA_06</v>
      </c>
      <c r="J128" s="65" t="str">
        <f ca="1">IFERROR(__xludf.DUMMYFUNCTION("""COMPUTED_VALUE"""),"Alta")</f>
        <v>Alta</v>
      </c>
      <c r="K128" s="65" t="str">
        <f ca="1">IFERROR(__xludf.DUMMYFUNCTION("""COMPUTED_VALUE"""),"Moderado")</f>
        <v>Moderado</v>
      </c>
      <c r="L128" s="65" t="str">
        <f ca="1">IFERROR(__xludf.DUMMYFUNCTION("""COMPUTED_VALUE"""),"Alta")</f>
        <v>Alta</v>
      </c>
      <c r="M128" s="63" t="str">
        <f ca="1">IFERROR(__xludf.DUMMYFUNCTION("""COMPUTED_VALUE"""),"- El laboratorio cuenta con un Plan de aseguramiento metrológico y confirmación metrológica, el cual ejecuta en cada vigencia
- El profesional del CCA verifica las vigencias de los reactivos que se utilizan en las pruebas de ensayo
- El CCA cuenta con doc"&amp;"umentación que determina la metodología para la realización de pruebas de ensayo
- El CCA verifica el cumplimiento de los requisitos, de acuerdo a los perfiles necesarios para el desempeño de las funciones en el laboratorio
- El CCA asegura los controles "&amp;"de calidad de las pruebas de ensayo de acuerdo a lo establecido en cada método")</f>
        <v>- El laboratorio cuenta con un Plan de aseguramiento metrológico y confirmación metrológica, el cual ejecuta en cada vigencia
- El profesional del CCA verifica las vigencias de los reactivos que se utilizan en las pruebas de ensayo
- El CCA cuenta con documentación que determina la metodología para la realización de pruebas de ensayo
- El CCA verifica el cumplimiento de los requisitos, de acuerdo a los perfiles necesarios para el desempeño de las funciones en el laboratorio
- El CCA asegura los controles de calidad de las pruebas de ensayo de acuerdo a lo establecido en cada método</v>
      </c>
      <c r="N128" s="65" t="str">
        <f ca="1">IFERROR(__xludf.DUMMYFUNCTION("""COMPUTED_VALUE"""),"Muy baja")</f>
        <v>Muy baja</v>
      </c>
      <c r="O128" s="65" t="str">
        <f ca="1">IFERROR(__xludf.DUMMYFUNCTION("""COMPUTED_VALUE"""),"Moderado")</f>
        <v>Moderado</v>
      </c>
      <c r="P128" s="65" t="str">
        <f ca="1">IFERROR(__xludf.DUMMYFUNCTION("""COMPUTED_VALUE"""),"Media")</f>
        <v>Media</v>
      </c>
      <c r="Q128" s="91" t="str">
        <f ca="1">IFERROR(__xludf.DUMMYFUNCTION("""COMPUTED_VALUE"""),"Reducir")</f>
        <v>Reducir</v>
      </c>
      <c r="R128" s="20" t="str">
        <f ca="1">IFERROR(__xludf.DUMMYFUNCTION("""COMPUTED_VALUE"""),"Capacitar al personal del CCA sobre temas técnicos y documentales.")</f>
        <v>Capacitar al personal del CCA sobre temas técnicos y documentales.</v>
      </c>
      <c r="S128" s="40" t="str">
        <f ca="1">IFERROR(__xludf.DUMMYFUNCTION("""COMPUTED_VALUE"""),"Anual")</f>
        <v>Anual</v>
      </c>
      <c r="T128" s="32" t="str">
        <f ca="1">IFERROR(__xludf.DUMMYFUNCTION("""COMPUTED_VALUE"""),"Director CCA")</f>
        <v>Director CCA</v>
      </c>
      <c r="U128" s="41" t="str">
        <f ca="1">IFERROR(__xludf.DUMMYFUNCTION("""COMPUTED_VALUE"""),"- Cronograma de capacitación del CCA
- Registros de asistencia")</f>
        <v>- Cronograma de capacitación del CCA
- Registros de asistencia</v>
      </c>
      <c r="V128" s="92" t="str">
        <f ca="1">IFERROR(__xludf.DUMMYFUNCTION("""COMPUTED_VALUE"""),"Suspender la prueba de ensayo y se realiza la revisión del método.")</f>
        <v>Suspender la prueba de ensayo y se realiza la revisión del método.</v>
      </c>
      <c r="W128" s="97" t="str">
        <f ca="1">IFERROR(__xludf.DUMMYFUNCTION("""COMPUTED_VALUE"""),"Formato de Trabajo no Conforme")</f>
        <v>Formato de Trabajo no Conforme</v>
      </c>
      <c r="X128" s="97" t="str">
        <f ca="1">IFERROR(__xludf.DUMMYFUNCTION("""COMPUTED_VALUE"""),"Profesional de apoyo de Calidad")</f>
        <v>Profesional de apoyo de Calidad</v>
      </c>
      <c r="Y128" s="97" t="str">
        <f ca="1">IFERROR(__xludf.DUMMYFUNCTION("""COMPUTED_VALUE"""),"1 semana")</f>
        <v>1 semana</v>
      </c>
      <c r="Z128" s="15" t="str">
        <f ca="1">IFERROR(__xludf.DUMMYFUNCTION("""COMPUTED_VALUE"""),"30 de abril")</f>
        <v>30 de abril</v>
      </c>
      <c r="AA128" s="17" t="str">
        <f ca="1">IFERROR(__xludf.DUMMYFUNCTION("""COMPUTED_VALUE"""),"26/01/2026 
a 
29/04/2026")</f>
        <v>26/01/2026 
a 
29/04/2026</v>
      </c>
      <c r="AB128" s="17" t="str">
        <f ca="1">IFERROR(__xludf.DUMMYFUNCTION("""COMPUTED_VALUE"""),"No")</f>
        <v>No</v>
      </c>
      <c r="AC128" s="15" t="str">
        <f ca="1">IFERROR(__xludf.DUMMYFUNCTION("""COMPUTED_VALUE"""),"Primer seguimiento.
Durante este primer monitoreo No se materializo el riesgo. 
Actividades relacionadas con los controles:
-  Se realizó la verificación de la vigencia de reactivos que se utilizan para en las pruebas de laboratorio, se anexa Inventario"&amp;" de Reactivos Laboratorio CCA 2026. 
- Se realizó verificación de los requisitos del personal del Centro de Calidad de Agua, Se anexa registro de la verificación en el formato FO-GAA-305.
- Se realizó la actualización de la documentación del Centro de Cal"&amp;"idad de Aguas para la realización de ensayo, se anexa actas 004, 007 y 013.
Acciones de tratamiento del riesgo:
-En el primer cuatrimestre se realizó Capacitación del personal del centro de Calidad de Aguas lo anterior atendiendo el cronograma de capaci"&amp;"tación del CCA, se anexa registro de asistencia.
")</f>
        <v xml:space="preserve">Primer seguimiento.
Durante este primer monitoreo No se materializo el riesgo. 
Actividades relacionadas con los controles:
-  Se realizó la verificación de la vigencia de reactivos que se utilizan para en las pruebas de laboratorio, se anexa Inventario de Reactivos Laboratorio CCA 2026. 
- Se realizó verificación de los requisitos del personal del Centro de Calidad de Agua, Se anexa registro de la verificación en el formato FO-GAA-305.
- Se realizó la actualización de la documentación del Centro de Calidad de Aguas para la realización de ensayo, se anexa actas 004, 007 y 013.
Acciones de tratamiento del riesgo:
-En el primer cuatrimestre se realizó Capacitación del personal del centro de Calidad de Aguas lo anterior atendiendo el cronograma de capacitación del CCA, se anexa registro de asistencia.
</v>
      </c>
      <c r="AD128" s="17" t="str">
        <f ca="1">IFERROR(__xludf.DUMMYFUNCTION("""COMPUTED_VALUE"""),"Jose Rojas ")</f>
        <v xml:space="preserve">Jose Rojas </v>
      </c>
      <c r="AE128" s="18" t="str">
        <f ca="1">IFERROR(__xludf.DUMMYFUNCTION("""COMPUTED_VALUE"""),"Evidencia")</f>
        <v>Evidencia</v>
      </c>
      <c r="AF128" s="15" t="str">
        <f ca="1">IFERROR(__xludf.DUMMYFUNCTION("""COMPUTED_VALUE"""),"Si")</f>
        <v>Si</v>
      </c>
      <c r="AG128" s="15" t="str">
        <f ca="1">IFERROR(__xludf.DUMMYFUNCTION("""COMPUTED_VALUE"""),"En proceso")</f>
        <v>En proceso</v>
      </c>
      <c r="AH128" s="15" t="str">
        <f ca="1">IFERROR(__xludf.DUMMYFUNCTION("""COMPUTED_VALUE"""),"Durante este primer monitoreo NO se materializó el riesgo.
Avance sobre los controles:
C1: No se evidenció de manera clara soporte relacionado con el Plan de aseguramiento metrológico y confirmación metrológica ejecutado durante la vigencia.
C2: Se evi"&amp;"denció la verificación de la vigencia de reactivos utilizados en las pruebas de laboratorio mediante el archivo “Inventario de Reactivos Laboratorio CCA 2026”, el cual guarda relación con el control establecido.
C3: Se evidenciaron actas 004, 007 y 013 r"&amp;"elacionadas con la actualización documental y metodologías para la realización de ensayos.
C4: Se evidenció la verificación de requisitos del personal del Centro de Calidad de Aguas mediante el formato FO-GAA-305.
C5: No se identifican evidencias claram"&amp;"ente organizadas o diferenciadas que permitan verificar de manera independiente los controles de calidad de las pruebas de ensayo.
Acción de tratamiento: Se evidenció cronograma de capacitación del CCA y listados de asistencia, dando cumplimiento a la ac"&amp;"ción de mejora establecida en la matriz.
Se recomienda organizar las evidencias en carpetas separadas por cada control, con el fin de mejorar la trazabilidad y facilitar la verificación del monitoreo.")</f>
        <v>Durante este primer monitoreo NO se materializó el riesgo.
Avance sobre los controles:
C1: No se evidenció de manera clara soporte relacionado con el Plan de aseguramiento metrológico y confirmación metrológica ejecutado durante la vigencia.
C2: Se evidenció la verificación de la vigencia de reactivos utilizados en las pruebas de laboratorio mediante el archivo “Inventario de Reactivos Laboratorio CCA 2026”, el cual guarda relación con el control establecido.
C3: Se evidenciaron actas 004, 007 y 013 relacionadas con la actualización documental y metodologías para la realización de ensayos.
C4: Se evidenció la verificación de requisitos del personal del Centro de Calidad de Aguas mediante el formato FO-GAA-305.
C5: No se identifican evidencias claramente organizadas o diferenciadas que permitan verificar de manera independiente los controles de calidad de las pruebas de ensayo.
Acción de tratamiento: Se evidenció cronograma de capacitación del CCA y listados de asistencia, dando cumplimiento a la acción de mejora establecida en la matriz.
Se recomienda organizar las evidencias en carpetas separadas por cada control, con el fin de mejorar la trazabilidad y facilitar la verificación del monitoreo.</v>
      </c>
      <c r="AI128" s="15" t="str">
        <f ca="1">IFERROR(__xludf.DUMMYFUNCTION("""COMPUTED_VALUE"""),"30 de abril")</f>
        <v>30 de abril</v>
      </c>
      <c r="AJ128" s="17" t="str">
        <f ca="1">IFERROR(__xludf.DUMMYFUNCTION("""COMPUTED_VALUE"""),"Si")</f>
        <v>Si</v>
      </c>
      <c r="AK128" s="17" t="str">
        <f ca="1">IFERROR(__xludf.DUMMYFUNCTION("""COMPUTED_VALUE"""),"Si")</f>
        <v>Si</v>
      </c>
      <c r="AL128" s="17" t="str">
        <f ca="1">IFERROR(__xludf.DUMMYFUNCTION("""COMPUTED_VALUE"""),"Si")</f>
        <v>Si</v>
      </c>
      <c r="AM128" s="17" t="str">
        <f ca="1">IFERROR(__xludf.DUMMYFUNCTION("""COMPUTED_VALUE"""),"Si")</f>
        <v>Si</v>
      </c>
      <c r="AN128" s="17" t="str">
        <f ca="1">IFERROR(__xludf.DUMMYFUNCTION("""COMPUTED_VALUE"""),"Si")</f>
        <v>Si</v>
      </c>
      <c r="AO128" s="17" t="str">
        <f ca="1">IFERROR(__xludf.DUMMYFUNCTION("""COMPUTED_VALUE"""),"Si")</f>
        <v>Si</v>
      </c>
      <c r="AP128" s="17" t="str">
        <f ca="1">IFERROR(__xludf.DUMMYFUNCTION("""COMPUTED_VALUE"""),"Si")</f>
        <v>Si</v>
      </c>
      <c r="AQ128" s="17" t="str">
        <f ca="1">IFERROR(__xludf.DUMMYFUNCTION("""COMPUTED_VALUE"""),"No")</f>
        <v>No</v>
      </c>
      <c r="AR128" s="17" t="str">
        <f ca="1">IFERROR(__xludf.DUMMYFUNCTION("""COMPUTED_VALUE"""),"No")</f>
        <v>No</v>
      </c>
      <c r="AS128" s="15" t="str">
        <f ca="1">IFERROR(__xludf.DUMMYFUNCTION("""COMPUTED_VALUE"""),"No aplica")</f>
        <v>No aplica</v>
      </c>
      <c r="AT128" s="15" t="str">
        <f ca="1">IFERROR(__xludf.DUMMYFUNCTION("""COMPUTED_VALUE"""),"Recomendación: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diseño"&amp;" del control: Responsable+Acción+Complemento.
3. Mejorar la calidad y completitud de la evidencia, toda vez que no se aportó soporte de la ejecución del control N°1 plan de aseguramiento metrológico y el control N°5 Controles de calidad de las pruebas de "&amp;"ensayo. Se requiere que la evidencia sea competente, es decir con calidad en relación a su relevancia y confiabilidad y suficiente en términos de cantidad y completitud, que permita demostrar de manera íntegra el hecho objeto de evaluación.")</f>
        <v>Recomendación: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Mejorar la calidad y completitud de la evidencia, toda vez que no se aportó soporte de la ejecución del control N°1 plan de aseguramiento metrológico y el control N°5 Controles de calidad de las pruebas de ensayo. Se requiere que la evidencia sea competente, es decir con calidad en relación a su relevancia y confiabilidad y suficiente en términos de cantidad y completitud, que permita demostrar de manera íntegra el hecho objeto de evaluación.</v>
      </c>
      <c r="AU128" s="10"/>
    </row>
    <row r="129" spans="1:47" x14ac:dyDescent="0.25">
      <c r="A129" s="25"/>
      <c r="B129" s="86"/>
      <c r="C129" s="86"/>
      <c r="D129" s="89"/>
      <c r="E129" s="64"/>
      <c r="F129" s="64"/>
      <c r="G129" s="64"/>
      <c r="H129" s="64"/>
      <c r="I129" s="64"/>
      <c r="J129" s="64"/>
      <c r="K129" s="64"/>
      <c r="L129" s="64"/>
      <c r="M129" s="64"/>
      <c r="N129" s="64"/>
      <c r="O129" s="64"/>
      <c r="P129" s="64"/>
      <c r="Q129" s="83"/>
      <c r="R129" s="20" t="str">
        <f ca="1">IFERROR(__xludf.DUMMYFUNCTION("""COMPUTED_VALUE"""),"")</f>
        <v/>
      </c>
      <c r="S129" s="42" t="str">
        <f ca="1">IFERROR(__xludf.DUMMYFUNCTION("""COMPUTED_VALUE"""),"")</f>
        <v/>
      </c>
      <c r="T129" s="34"/>
      <c r="U129" s="20"/>
      <c r="V129" s="89"/>
      <c r="W129" s="89"/>
      <c r="X129" s="89"/>
      <c r="Y129" s="89"/>
      <c r="Z129" s="15" t="str">
        <f ca="1">IFERROR(__xludf.DUMMYFUNCTION("""COMPUTED_VALUE"""),"30 de agosto")</f>
        <v>30 de agosto</v>
      </c>
      <c r="AA129" s="17"/>
      <c r="AB129" s="17"/>
      <c r="AC129" s="15"/>
      <c r="AD129" s="17"/>
      <c r="AE129" s="18" t="str">
        <f ca="1">IFERROR(__xludf.DUMMYFUNCTION("""COMPUTED_VALUE"""),"Evidencia")</f>
        <v>Evidencia</v>
      </c>
      <c r="AF129" s="15"/>
      <c r="AG129" s="15"/>
      <c r="AH129" s="15"/>
      <c r="AI129" s="24" t="str">
        <f ca="1">IFERROR(__xludf.DUMMYFUNCTION("""COMPUTED_VALUE"""),"31 de agosto")</f>
        <v>31 de agosto</v>
      </c>
      <c r="AJ129" s="17"/>
      <c r="AK129" s="17"/>
      <c r="AL129" s="17"/>
      <c r="AM129" s="17"/>
      <c r="AN129" s="17"/>
      <c r="AO129" s="17"/>
      <c r="AP129" s="17"/>
      <c r="AQ129" s="17"/>
      <c r="AR129" s="17"/>
      <c r="AS129" s="15"/>
      <c r="AT129" s="15"/>
      <c r="AU129" s="10"/>
    </row>
    <row r="130" spans="1:47" x14ac:dyDescent="0.25">
      <c r="A130" s="25"/>
      <c r="B130" s="86"/>
      <c r="C130" s="86"/>
      <c r="D130" s="76"/>
      <c r="E130" s="61"/>
      <c r="F130" s="61"/>
      <c r="G130" s="61"/>
      <c r="H130" s="61"/>
      <c r="I130" s="61"/>
      <c r="J130" s="61"/>
      <c r="K130" s="61"/>
      <c r="L130" s="61"/>
      <c r="M130" s="61"/>
      <c r="N130" s="61"/>
      <c r="O130" s="61"/>
      <c r="P130" s="61"/>
      <c r="Q130" s="84"/>
      <c r="R130" s="26" t="str">
        <f ca="1">IFERROR(__xludf.DUMMYFUNCTION("""COMPUTED_VALUE"""),"")</f>
        <v/>
      </c>
      <c r="S130" s="43" t="str">
        <f ca="1">IFERROR(__xludf.DUMMYFUNCTION("""COMPUTED_VALUE"""),"")</f>
        <v/>
      </c>
      <c r="T130" s="38"/>
      <c r="U130" s="26"/>
      <c r="V130" s="76"/>
      <c r="W130" s="76"/>
      <c r="X130" s="76"/>
      <c r="Y130" s="76"/>
      <c r="Z130" s="15" t="str">
        <f ca="1">IFERROR(__xludf.DUMMYFUNCTION("""COMPUTED_VALUE"""),"30 de diciembre")</f>
        <v>30 de diciembre</v>
      </c>
      <c r="AA130" s="17"/>
      <c r="AB130" s="17"/>
      <c r="AC130" s="15"/>
      <c r="AD130" s="17"/>
      <c r="AE130" s="18" t="str">
        <f ca="1">IFERROR(__xludf.DUMMYFUNCTION("""COMPUTED_VALUE"""),"Evidencia")</f>
        <v>Evidencia</v>
      </c>
      <c r="AF130" s="15"/>
      <c r="AG130" s="15"/>
      <c r="AH130" s="15"/>
      <c r="AI130" s="24" t="str">
        <f ca="1">IFERROR(__xludf.DUMMYFUNCTION("""COMPUTED_VALUE"""),"31 de diciembre")</f>
        <v>31 de diciembre</v>
      </c>
      <c r="AJ130" s="17"/>
      <c r="AK130" s="17"/>
      <c r="AL130" s="17"/>
      <c r="AM130" s="17"/>
      <c r="AN130" s="17"/>
      <c r="AO130" s="17"/>
      <c r="AP130" s="17"/>
      <c r="AQ130" s="17"/>
      <c r="AR130" s="17"/>
      <c r="AS130" s="15"/>
      <c r="AT130" s="15"/>
      <c r="AU130" s="10"/>
    </row>
    <row r="131" spans="1:47" ht="252" x14ac:dyDescent="0.25">
      <c r="A131" s="25"/>
      <c r="B131" s="86"/>
      <c r="C131" s="86"/>
      <c r="D131" s="63" t="str">
        <f ca="1">IFERROR(__xludf.DUMMYFUNCTION("""COMPUTED_VALUE"""),"Probabilidad de afectación reputacional por ausencia de imparcialidad en los resultados de las pruebas de ensayo, debido a presiones ejercidas a los analistas de laboratorio")</f>
        <v>Probabilidad de afectación reputacional por ausencia de imparcialidad en los resultados de las pruebas de ensayo, debido a presiones ejercidas a los analistas de laboratorio</v>
      </c>
      <c r="E131" s="63" t="str">
        <f ca="1">IFERROR(__xludf.DUMMYFUNCTION("""COMPUTED_VALUE"""),"Centro de Calidad de Aguas")</f>
        <v>Centro de Calidad de Aguas</v>
      </c>
      <c r="F131" s="63" t="str">
        <f ca="1">IFERROR(__xludf.DUMMYFUNCTION("""COMPUTED_VALUE"""),"Gestión")</f>
        <v>Gestión</v>
      </c>
      <c r="G131" s="63" t="str">
        <f ca="1">IFERROR(__xludf.DUMMYFUNCTION("""COMPUTED_VALUE"""),"- Relación personal entre los analistas de laboratorio y los clientes
- Influencia económica por parte de los clientes sobre los analista de laboratorio
")</f>
        <v xml:space="preserve">- Relación personal entre los analistas de laboratorio y los clientes
- Influencia económica por parte de los clientes sobre los analista de laboratorio
</v>
      </c>
      <c r="H131" s="63" t="str">
        <f ca="1">IFERROR(__xludf.DUMMYFUNCTION("""COMPUTED_VALUE"""),"1. Afectación a la imagen del CCA.
2. Resultados poco fiables")</f>
        <v>1. Afectación a la imagen del CCA.
2. Resultados poco fiables</v>
      </c>
      <c r="I131" s="65" t="str">
        <f ca="1">IFERROR(__xludf.DUMMYFUNCTION("""COMPUTED_VALUE"""),"GAA_07")</f>
        <v>GAA_07</v>
      </c>
      <c r="J131" s="65" t="str">
        <f ca="1">IFERROR(__xludf.DUMMYFUNCTION("""COMPUTED_VALUE"""),"Baja")</f>
        <v>Baja</v>
      </c>
      <c r="K131" s="65" t="str">
        <f ca="1">IFERROR(__xludf.DUMMYFUNCTION("""COMPUTED_VALUE"""),"Moderado")</f>
        <v>Moderado</v>
      </c>
      <c r="L131" s="65" t="str">
        <f ca="1">IFERROR(__xludf.DUMMYFUNCTION("""COMPUTED_VALUE"""),"Media")</f>
        <v>Media</v>
      </c>
      <c r="M131" s="63" t="str">
        <f ca="1">IFERROR(__xludf.DUMMYFUNCTION("""COMPUTED_VALUE"""),"- Los analistas de laboratorio del Centro de Calidad de Aguas, cuentan con cláusulas de confidencialidad e imparcialidad en los contratos
- El CCA cuenta con diferentes áreas, para realizar las actividades asociadas a las pruebas de ensayo, lo cual impide"&amp;" que los analistas de laboratorio tengan contacto directo con los clientes
- El Director del Laboratorio realiza revisión de los reportes de resultados de las pruebas, previo a la entrega a los clientes
- Los analistas de laboratorio del CCA cuentan con e"&amp;"l formato de acuerdo de confidencialidad y compromiso a la imparcialidad
- El Director del CCA, en caso de materialización, informa a la oficina de Control Interno de Gestión para que se tomen las medidas pertinentes")</f>
        <v>- Los analistas de laboratorio del Centro de Calidad de Aguas, cuentan con cláusulas de confidencialidad e imparcialidad en los contratos
- El CCA cuenta con diferentes áreas, para realizar las actividades asociadas a las pruebas de ensayo, lo cual impide que los analistas de laboratorio tengan contacto directo con los clientes
- El Director del Laboratorio realiza revisión de los reportes de resultados de las pruebas, previo a la entrega a los clientes
- Los analistas de laboratorio del CCA cuentan con el formato de acuerdo de confidencialidad y compromiso a la imparcialidad
- El Director del CCA, en caso de materialización, informa a la oficina de Control Interno de Gestión para que se tomen las medidas pertinentes</v>
      </c>
      <c r="N131" s="65" t="str">
        <f ca="1">IFERROR(__xludf.DUMMYFUNCTION("""COMPUTED_VALUE"""),"Muy baja")</f>
        <v>Muy baja</v>
      </c>
      <c r="O131" s="65" t="str">
        <f ca="1">IFERROR(__xludf.DUMMYFUNCTION("""COMPUTED_VALUE"""),"Menor")</f>
        <v>Menor</v>
      </c>
      <c r="P131" s="65" t="str">
        <f ca="1">IFERROR(__xludf.DUMMYFUNCTION("""COMPUTED_VALUE"""),"Baja")</f>
        <v>Baja</v>
      </c>
      <c r="Q131" s="91" t="str">
        <f ca="1">IFERROR(__xludf.DUMMYFUNCTION("""COMPUTED_VALUE"""),"Reducir")</f>
        <v>Reducir</v>
      </c>
      <c r="R131" s="20" t="str">
        <f ca="1">IFERROR(__xludf.DUMMYFUNCTION("""COMPUTED_VALUE"""),"N/A")</f>
        <v>N/A</v>
      </c>
      <c r="S131" s="40" t="str">
        <f ca="1">IFERROR(__xludf.DUMMYFUNCTION("""COMPUTED_VALUE"""),"N/A")</f>
        <v>N/A</v>
      </c>
      <c r="T131" s="32" t="str">
        <f ca="1">IFERROR(__xludf.DUMMYFUNCTION("""COMPUTED_VALUE"""),"N/A")</f>
        <v>N/A</v>
      </c>
      <c r="U131" s="41" t="str">
        <f ca="1">IFERROR(__xludf.DUMMYFUNCTION("""COMPUTED_VALUE"""),"N/A")</f>
        <v>N/A</v>
      </c>
      <c r="V131" s="92" t="str">
        <f ca="1">IFERROR(__xludf.DUMMYFUNCTION("""COMPUTED_VALUE"""),"- Hacer efectivas las cláusulas de confidencialidad e imparcialidad establecidad en el contrato del analista
- Suspender el servicio e informar sobre la situación al cliente")</f>
        <v>- Hacer efectivas las cláusulas de confidencialidad e imparcialidad establecidad en el contrato del analista
- Suspender el servicio e informar sobre la situación al cliente</v>
      </c>
      <c r="W131" s="97" t="str">
        <f ca="1">IFERROR(__xludf.DUMMYFUNCTION("""COMPUTED_VALUE"""),"- Reporte a la oficina jurídica de la Universidad
- Comunicado al cliente")</f>
        <v>- Reporte a la oficina jurídica de la Universidad
- Comunicado al cliente</v>
      </c>
      <c r="X131" s="97" t="str">
        <f ca="1">IFERROR(__xludf.DUMMYFUNCTION("""COMPUTED_VALUE"""),"Director del CCA")</f>
        <v>Director del CCA</v>
      </c>
      <c r="Y131" s="97" t="str">
        <f ca="1">IFERROR(__xludf.DUMMYFUNCTION("""COMPUTED_VALUE"""),"Inmediato")</f>
        <v>Inmediato</v>
      </c>
      <c r="Z131" s="15" t="str">
        <f ca="1">IFERROR(__xludf.DUMMYFUNCTION("""COMPUTED_VALUE"""),"30 de abril")</f>
        <v>30 de abril</v>
      </c>
      <c r="AA131" s="17" t="str">
        <f ca="1">IFERROR(__xludf.DUMMYFUNCTION("""COMPUTED_VALUE"""),"abril")</f>
        <v>abril</v>
      </c>
      <c r="AB131" s="17" t="str">
        <f ca="1">IFERROR(__xludf.DUMMYFUNCTION("""COMPUTED_VALUE"""),"No")</f>
        <v>No</v>
      </c>
      <c r="AC131" s="15" t="str">
        <f ca="1">IFERROR(__xludf.DUMMYFUNCTION("""COMPUTED_VALUE"""),"Primer monitoreo No se materializo el riesgo. 
En lo relacionado con acciones de tratamiento, debido a que se acepta el riesgo no aplican por ello se atiende lo proyectado dentro de los controles de la siguiente forma: 
Actividades relacionadas con los "&amp;"controles: 
- El director del laboratorio revisa los resultados antes de su liberación y envió al cliente, Se anexa evidencia de reporte de resultado 126
- El personal del laboratorio cuenta acuerdo de confidencialidad e imparcialidad, se anexa evidencia"&amp;" de acuerdo de confidencialidad y compromiso a la imparcialidad de todo el personal relacionado al Centro de Calidad de Agua.
")</f>
        <v xml:space="preserve">Primer monitoreo No se materializo el riesgo. 
En lo relacionado con acciones de tratamiento, debido a que se acepta el riesgo no aplican por ello se atiende lo proyectado dentro de los controles de la siguiente forma: 
Actividades relacionadas con los controles: 
- El director del laboratorio revisa los resultados antes de su liberación y envió al cliente, Se anexa evidencia de reporte de resultado 126
- El personal del laboratorio cuenta acuerdo de confidencialidad e imparcialidad, se anexa evidencia de acuerdo de confidencialidad y compromiso a la imparcialidad de todo el personal relacionado al Centro de Calidad de Agua.
</v>
      </c>
      <c r="AD131" s="17" t="str">
        <f ca="1">IFERROR(__xludf.DUMMYFUNCTION("""COMPUTED_VALUE"""),"Jose Rojas ")</f>
        <v xml:space="preserve">Jose Rojas </v>
      </c>
      <c r="AE131" s="18" t="str">
        <f ca="1">IFERROR(__xludf.DUMMYFUNCTION("""COMPUTED_VALUE"""),"Evidencia")</f>
        <v>Evidencia</v>
      </c>
      <c r="AF131" s="15" t="str">
        <f ca="1">IFERROR(__xludf.DUMMYFUNCTION("""COMPUTED_VALUE"""),"Si")</f>
        <v>Si</v>
      </c>
      <c r="AG131" s="15" t="str">
        <f ca="1">IFERROR(__xludf.DUMMYFUNCTION("""COMPUTED_VALUE"""),"En proceso")</f>
        <v>En proceso</v>
      </c>
      <c r="AH131" s="15" t="str">
        <f ca="1">IFERROR(__xludf.DUMMYFUNCTION("""COMPUTED_VALUE"""),"Durante este primer monitoreo NO se materializó el riesgo.
Avance sobre los controles:
C1 y C4: Se evidenció soporte relacionado con acuerdos de confidencialidad y compromiso a la imparcialidad del personal del Centro de Calidad de Aguas, lo cual guarda"&amp;" relación con los controles establecidos. Se recomienda diferenciar y organizar los soportes por cada control para mejorar la trazabilidad.
C2: No se evidencian soportes específicos que permitan verificar la separación de áreas y la ausencia de contacto "&amp;"directo entre analistas y clientes.
C3: Se evidenció reporte de resultado No. 126 revisado previo a la entrega al cliente, lo cual guarda relación con el control establecido.
C5: No aplica para el periodo evaluado, teniendo en cuenta que no se materiali"&amp;"zó el riesgo.
Adicionalmente, se recomienda revisar la estructuración de los controles en la matriz, ya que algunos no incluyen claramente el responsable de ejecución conforme a la guía metodológica.
También se recomienda organizar las evidencias en car"&amp;"petas separadas por cada control, facilitando la validación y trazabilidad del monitoreo.")</f>
        <v>Durante este primer monitoreo NO se materializó el riesgo.
Avance sobre los controles:
C1 y C4: Se evidenció soporte relacionado con acuerdos de confidencialidad y compromiso a la imparcialidad del personal del Centro de Calidad de Aguas, lo cual guarda relación con los controles establecidos. Se recomienda diferenciar y organizar los soportes por cada control para mejorar la trazabilidad.
C2: No se evidencian soportes específicos que permitan verificar la separación de áreas y la ausencia de contacto directo entre analistas y clientes.
C3: Se evidenció reporte de resultado No. 126 revisado previo a la entrega al cliente, lo cual guarda relación con el control establecido.
C5: No aplica para el periodo evaluado, teniendo en cuenta que no se materializó el riesgo.
Adicionalmente, se recomienda revisar la estructuración de los controles en la matriz, ya que algunos no incluyen claramente el responsable de ejecución conforme a la guía metodológica.
También se recomienda organizar las evidencias en carpetas separadas por cada control, facilitando la validación y trazabilidad del monitoreo.</v>
      </c>
      <c r="AI131" s="15" t="str">
        <f ca="1">IFERROR(__xludf.DUMMYFUNCTION("""COMPUTED_VALUE"""),"30 de abril")</f>
        <v>30 de abril</v>
      </c>
      <c r="AJ131" s="17" t="str">
        <f ca="1">IFERROR(__xludf.DUMMYFUNCTION("""COMPUTED_VALUE"""),"Si")</f>
        <v>Si</v>
      </c>
      <c r="AK131" s="17" t="str">
        <f ca="1">IFERROR(__xludf.DUMMYFUNCTION("""COMPUTED_VALUE"""),"Si")</f>
        <v>Si</v>
      </c>
      <c r="AL131" s="17" t="str">
        <f ca="1">IFERROR(__xludf.DUMMYFUNCTION("""COMPUTED_VALUE"""),"Si")</f>
        <v>Si</v>
      </c>
      <c r="AM131" s="17" t="str">
        <f ca="1">IFERROR(__xludf.DUMMYFUNCTION("""COMPUTED_VALUE"""),"Si")</f>
        <v>Si</v>
      </c>
      <c r="AN131" s="17" t="str">
        <f ca="1">IFERROR(__xludf.DUMMYFUNCTION("""COMPUTED_VALUE"""),"Si")</f>
        <v>Si</v>
      </c>
      <c r="AO131" s="17" t="str">
        <f ca="1">IFERROR(__xludf.DUMMYFUNCTION("""COMPUTED_VALUE"""),"Si")</f>
        <v>Si</v>
      </c>
      <c r="AP131" s="17" t="str">
        <f ca="1">IFERROR(__xludf.DUMMYFUNCTION("""COMPUTED_VALUE"""),"Si")</f>
        <v>Si</v>
      </c>
      <c r="AQ131" s="17" t="str">
        <f ca="1">IFERROR(__xludf.DUMMYFUNCTION("""COMPUTED_VALUE"""),"No")</f>
        <v>No</v>
      </c>
      <c r="AR131" s="17" t="str">
        <f ca="1">IFERROR(__xludf.DUMMYFUNCTION("""COMPUTED_VALUE"""),"No")</f>
        <v>No</v>
      </c>
      <c r="AS131" s="15" t="str">
        <f ca="1">IFERROR(__xludf.DUMMYFUNCTION("""COMPUTED_VALUE"""),"No aplica")</f>
        <v>No aplica</v>
      </c>
      <c r="AT131" s="15" t="str">
        <f ca="1">IFERROR(__xludf.DUMMYFUNCTION("""COMPUTED_VALUE"""),"Recomendación: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diseño"&amp;" del control: Responsable+Acción+Complemento.
3. Mejorar la calidad y completitud de la evidencia, toda vez que no se aportó soporte de la ejecución del control N°2 o en su defecto evaluar si realmente corresponde a un control. Se requiere que la evidenci"&amp;"a sea competente, es decir con calidad en relación a su relevancia y confiabilidad y suficiente en términos de cantidad y completitud, que permita demostrar de manera íntegra el hecho objeto de evaluación.")</f>
        <v>Recomendación: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Mejorar la calidad y completitud de la evidencia, toda vez que no se aportó soporte de la ejecución del control N°2 o en su defecto evaluar si realmente corresponde a un control. Se requiere que la evidencia sea competente, es decir con calidad en relación a su relevancia y confiabilidad y suficiente en términos de cantidad y completitud, que permita demostrar de manera íntegra el hecho objeto de evaluación.</v>
      </c>
      <c r="AU131" s="10"/>
    </row>
    <row r="132" spans="1:47" x14ac:dyDescent="0.25">
      <c r="A132" s="25"/>
      <c r="B132" s="86"/>
      <c r="C132" s="86"/>
      <c r="D132" s="64"/>
      <c r="E132" s="64"/>
      <c r="F132" s="64"/>
      <c r="G132" s="64"/>
      <c r="H132" s="64"/>
      <c r="I132" s="64"/>
      <c r="J132" s="64"/>
      <c r="K132" s="64"/>
      <c r="L132" s="64"/>
      <c r="M132" s="64"/>
      <c r="N132" s="64"/>
      <c r="O132" s="64"/>
      <c r="P132" s="64"/>
      <c r="Q132" s="83"/>
      <c r="R132" s="20" t="str">
        <f ca="1">IFERROR(__xludf.DUMMYFUNCTION("""COMPUTED_VALUE"""),"")</f>
        <v/>
      </c>
      <c r="S132" s="42" t="str">
        <f ca="1">IFERROR(__xludf.DUMMYFUNCTION("""COMPUTED_VALUE"""),"")</f>
        <v/>
      </c>
      <c r="T132" s="34"/>
      <c r="U132" s="20"/>
      <c r="V132" s="89"/>
      <c r="W132" s="89"/>
      <c r="X132" s="89"/>
      <c r="Y132" s="89"/>
      <c r="Z132" s="15" t="str">
        <f ca="1">IFERROR(__xludf.DUMMYFUNCTION("""COMPUTED_VALUE"""),"30 de agosto")</f>
        <v>30 de agosto</v>
      </c>
      <c r="AA132" s="17"/>
      <c r="AB132" s="17"/>
      <c r="AC132" s="15"/>
      <c r="AD132" s="17"/>
      <c r="AE132" s="18" t="str">
        <f ca="1">IFERROR(__xludf.DUMMYFUNCTION("""COMPUTED_VALUE"""),"Evidencia")</f>
        <v>Evidencia</v>
      </c>
      <c r="AF132" s="15"/>
      <c r="AG132" s="15"/>
      <c r="AH132" s="15"/>
      <c r="AI132" s="24" t="str">
        <f ca="1">IFERROR(__xludf.DUMMYFUNCTION("""COMPUTED_VALUE"""),"31 de agosto")</f>
        <v>31 de agosto</v>
      </c>
      <c r="AJ132" s="17"/>
      <c r="AK132" s="17"/>
      <c r="AL132" s="17"/>
      <c r="AM132" s="17"/>
      <c r="AN132" s="17"/>
      <c r="AO132" s="17"/>
      <c r="AP132" s="17"/>
      <c r="AQ132" s="17"/>
      <c r="AR132" s="17"/>
      <c r="AS132" s="15"/>
      <c r="AT132" s="15"/>
      <c r="AU132" s="10"/>
    </row>
    <row r="133" spans="1:47" x14ac:dyDescent="0.25">
      <c r="A133" s="25"/>
      <c r="B133" s="86"/>
      <c r="C133" s="86"/>
      <c r="D133" s="61"/>
      <c r="E133" s="61"/>
      <c r="F133" s="61"/>
      <c r="G133" s="61"/>
      <c r="H133" s="61"/>
      <c r="I133" s="61"/>
      <c r="J133" s="61"/>
      <c r="K133" s="61"/>
      <c r="L133" s="61"/>
      <c r="M133" s="61"/>
      <c r="N133" s="61"/>
      <c r="O133" s="61"/>
      <c r="P133" s="61"/>
      <c r="Q133" s="84"/>
      <c r="R133" s="26" t="str">
        <f ca="1">IFERROR(__xludf.DUMMYFUNCTION("""COMPUTED_VALUE"""),"")</f>
        <v/>
      </c>
      <c r="S133" s="43" t="str">
        <f ca="1">IFERROR(__xludf.DUMMYFUNCTION("""COMPUTED_VALUE"""),"")</f>
        <v/>
      </c>
      <c r="T133" s="38"/>
      <c r="U133" s="26"/>
      <c r="V133" s="76"/>
      <c r="W133" s="76"/>
      <c r="X133" s="76"/>
      <c r="Y133" s="76"/>
      <c r="Z133" s="15" t="str">
        <f ca="1">IFERROR(__xludf.DUMMYFUNCTION("""COMPUTED_VALUE"""),"30 de diciembre")</f>
        <v>30 de diciembre</v>
      </c>
      <c r="AA133" s="17"/>
      <c r="AB133" s="17"/>
      <c r="AC133" s="15"/>
      <c r="AD133" s="17"/>
      <c r="AE133" s="18" t="str">
        <f ca="1">IFERROR(__xludf.DUMMYFUNCTION("""COMPUTED_VALUE"""),"Evidencia")</f>
        <v>Evidencia</v>
      </c>
      <c r="AF133" s="15"/>
      <c r="AG133" s="15"/>
      <c r="AH133" s="15"/>
      <c r="AI133" s="24" t="str">
        <f ca="1">IFERROR(__xludf.DUMMYFUNCTION("""COMPUTED_VALUE"""),"31 de diciembre")</f>
        <v>31 de diciembre</v>
      </c>
      <c r="AJ133" s="17"/>
      <c r="AK133" s="17"/>
      <c r="AL133" s="17"/>
      <c r="AM133" s="17"/>
      <c r="AN133" s="17"/>
      <c r="AO133" s="17"/>
      <c r="AP133" s="17"/>
      <c r="AQ133" s="17"/>
      <c r="AR133" s="17"/>
      <c r="AS133" s="15"/>
      <c r="AT133" s="15"/>
      <c r="AU133" s="10"/>
    </row>
    <row r="134" spans="1:47" ht="204" x14ac:dyDescent="0.25">
      <c r="A134" s="25"/>
      <c r="B134" s="86"/>
      <c r="C134" s="86"/>
      <c r="D134" s="63" t="str">
        <f ca="1">IFERROR(__xludf.DUMMYFUNCTION("""COMPUTED_VALUE"""),"Posibilidad de afectación económica y reputacional por la pérdida de la acreditación de los ensayos del Centro de Calidad de Aguas, debido al incumplimiento de los requisitos legales y normativos.")</f>
        <v>Posibilidad de afectación económica y reputacional por la pérdida de la acreditación de los ensayos del Centro de Calidad de Aguas, debido al incumplimiento de los requisitos legales y normativos.</v>
      </c>
      <c r="E134" s="63" t="str">
        <f ca="1">IFERROR(__xludf.DUMMYFUNCTION("""COMPUTED_VALUE"""),"Centro de Calidad de Aguas")</f>
        <v>Centro de Calidad de Aguas</v>
      </c>
      <c r="F134" s="63" t="str">
        <f ca="1">IFERROR(__xludf.DUMMYFUNCTION("""COMPUTED_VALUE"""),"Gestión")</f>
        <v>Gestión</v>
      </c>
      <c r="G134" s="63" t="str">
        <f ca="1">IFERROR(__xludf.DUMMYFUNCTION("""COMPUTED_VALUE"""),"- Disponibilidad insuficiente de recursos (financieros, humanos, técnicos) para el funcionamiento del CCA
- Incumplimiento de los requisitos legales y normativos aplicables al CCA
- Los requisitos para la acreditación del los ensayos del CCA, no se apropi"&amp;"an en todos los niveles del laboratorio
- Ausencia de planificacion y control operacional en el CCA")</f>
        <v>- Disponibilidad insuficiente de recursos (financieros, humanos, técnicos) para el funcionamiento del CCA
- Incumplimiento de los requisitos legales y normativos aplicables al CCA
- Los requisitos para la acreditación del los ensayos del CCA, no se apropian en todos los niveles del laboratorio
- Ausencia de planificacion y control operacional en el CCA</v>
      </c>
      <c r="H134" s="63" t="str">
        <f ca="1">IFERROR(__xludf.DUMMYFUNCTION("""COMPUTED_VALUE"""),"1. Afectación a la imagen Institucional.
2. Detrimentro patrimonial.
3. Incumplimiento de objetivos institucionales.
4. Pérdida de oportunidades de cooperación y convenios interinstitucionales.")</f>
        <v>1. Afectación a la imagen Institucional.
2. Detrimentro patrimonial.
3. Incumplimiento de objetivos institucionales.
4. Pérdida de oportunidades de cooperación y convenios interinstitucionales.</v>
      </c>
      <c r="I134" s="65" t="str">
        <f ca="1">IFERROR(__xludf.DUMMYFUNCTION("""COMPUTED_VALUE"""),"GAA_08")</f>
        <v>GAA_08</v>
      </c>
      <c r="J134" s="65" t="str">
        <f ca="1">IFERROR(__xludf.DUMMYFUNCTION("""COMPUTED_VALUE"""),"Media")</f>
        <v>Media</v>
      </c>
      <c r="K134" s="65" t="str">
        <f ca="1">IFERROR(__xludf.DUMMYFUNCTION("""COMPUTED_VALUE"""),"Menor")</f>
        <v>Menor</v>
      </c>
      <c r="L134" s="65" t="str">
        <f ca="1">IFERROR(__xludf.DUMMYFUNCTION("""COMPUTED_VALUE"""),"Media")</f>
        <v>Media</v>
      </c>
      <c r="M134" s="63" t="str">
        <f ca="1">IFERROR(__xludf.DUMMYFUNCTION("""COMPUTED_VALUE"""),"- El Consejo Superior Universitario aprueba el presupuesto general de la Universidad, asignando los rubros para garantizar la operación del CCA
- La alta dirección del laboratorio verifica cada año la conveniencia, adecuacion y eficacia del Sistema de Ges"&amp;"tión de la Calidad de acuerdo a los requisitos de la NTC-ISO 17025:2017.
- El CCA cuenta con procedimientos establecidos para dar cumplimiento a los requisitos de la NTC-ISO 17025:2017.
- El CCA implementa las acciones correctivas derivadas de los proceso"&amp;"s de auditoría. ")</f>
        <v xml:space="preserve">- El Consejo Superior Universitario aprueba el presupuesto general de la Universidad, asignando los rubros para garantizar la operación del CCA
- La alta dirección del laboratorio verifica cada año la conveniencia, adecuacion y eficacia del Sistema de Gestión de la Calidad de acuerdo a los requisitos de la NTC-ISO 17025:2017.
- El CCA cuenta con procedimientos establecidos para dar cumplimiento a los requisitos de la NTC-ISO 17025:2017.
- El CCA implementa las acciones correctivas derivadas de los procesos de auditoría. </v>
      </c>
      <c r="N134" s="65" t="str">
        <f ca="1">IFERROR(__xludf.DUMMYFUNCTION("""COMPUTED_VALUE"""),"Muy baja")</f>
        <v>Muy baja</v>
      </c>
      <c r="O134" s="65" t="str">
        <f ca="1">IFERROR(__xludf.DUMMYFUNCTION("""COMPUTED_VALUE"""),"Menor")</f>
        <v>Menor</v>
      </c>
      <c r="P134" s="65" t="str">
        <f ca="1">IFERROR(__xludf.DUMMYFUNCTION("""COMPUTED_VALUE"""),"Baja")</f>
        <v>Baja</v>
      </c>
      <c r="Q134" s="91" t="str">
        <f ca="1">IFERROR(__xludf.DUMMYFUNCTION("""COMPUTED_VALUE"""),"")</f>
        <v/>
      </c>
      <c r="R134" s="20" t="str">
        <f ca="1">IFERROR(__xludf.DUMMYFUNCTION("""COMPUTED_VALUE"""),"N/A")</f>
        <v>N/A</v>
      </c>
      <c r="S134" s="40" t="str">
        <f ca="1">IFERROR(__xludf.DUMMYFUNCTION("""COMPUTED_VALUE"""),"N/A")</f>
        <v>N/A</v>
      </c>
      <c r="T134" s="32" t="str">
        <f ca="1">IFERROR(__xludf.DUMMYFUNCTION("""COMPUTED_VALUE"""),"N/A")</f>
        <v>N/A</v>
      </c>
      <c r="U134" s="41" t="str">
        <f ca="1">IFERROR(__xludf.DUMMYFUNCTION("""COMPUTED_VALUE"""),"N/A")</f>
        <v>N/A</v>
      </c>
      <c r="V134" s="92" t="str">
        <f ca="1">IFERROR(__xludf.DUMMYFUNCTION("""COMPUTED_VALUE"""),"Presentar informe a la dirección del laboratorio, donde se indique el estado del mismo, frente al cumplimiento de los requisitos de la norma NTC ISO 17025:2017, con el fin de que se tomen las decisiones pertinentes para garantizar el sostenimiento de la a"&amp;"creditación de los ensayos.")</f>
        <v>Presentar informe a la dirección del laboratorio, donde se indique el estado del mismo, frente al cumplimiento de los requisitos de la norma NTC ISO 17025:2017, con el fin de que se tomen las decisiones pertinentes para garantizar el sostenimiento de la acreditación de los ensayos.</v>
      </c>
      <c r="W134" s="97" t="str">
        <f ca="1">IFERROR(__xludf.DUMMYFUNCTION("""COMPUTED_VALUE"""),"Informe a la dirección del CCA.")</f>
        <v>Informe a la dirección del CCA.</v>
      </c>
      <c r="X134" s="97" t="str">
        <f ca="1">IFERROR(__xludf.DUMMYFUNCTION("""COMPUTED_VALUE"""),"Responsable de calidad")</f>
        <v>Responsable de calidad</v>
      </c>
      <c r="Y134" s="97" t="str">
        <f ca="1">IFERROR(__xludf.DUMMYFUNCTION("""COMPUTED_VALUE"""),"1 mes")</f>
        <v>1 mes</v>
      </c>
      <c r="Z134" s="15" t="str">
        <f ca="1">IFERROR(__xludf.DUMMYFUNCTION("""COMPUTED_VALUE"""),"30 de abril")</f>
        <v>30 de abril</v>
      </c>
      <c r="AA134" s="56">
        <f ca="1">IFERROR(__xludf.DUMMYFUNCTION("""COMPUTED_VALUE"""),46141)</f>
        <v>46141</v>
      </c>
      <c r="AB134" s="17" t="str">
        <f ca="1">IFERROR(__xludf.DUMMYFUNCTION("""COMPUTED_VALUE"""),"No")</f>
        <v>No</v>
      </c>
      <c r="AC134" s="15" t="str">
        <f ca="1">IFERROR(__xludf.DUMMYFUNCTION("""COMPUTED_VALUE"""),"Primer monitoreo No se materializo el riesgo. 
En lo relacionado con acciones de tratamiento, debido a que se acepta el riesgo no aplican por ello se atiende lo proyectado dentro de los controles de la siguiente forma:
Actividades relacionadas con los co"&amp;"ntroles: 
El Consejo Superior Universitario aprueba el presupuesto general de la Universidad, asignando los rubros para garantizar la operación del CCA, se anexa PRESUPUESTO DE PROYECTO DE INVERSIÓN BPUNI FCBI 03 0509 2025 
")</f>
        <v xml:space="preserve">Primer monitoreo No se materializo el riesgo. 
En lo relacionado con acciones de tratamiento, debido a que se acepta el riesgo no aplican por ello se atiende lo proyectado dentro de los controles de la siguiente forma:
Actividades relacionadas con los controles: 
El Consejo Superior Universitario aprueba el presupuesto general de la Universidad, asignando los rubros para garantizar la operación del CCA, se anexa PRESUPUESTO DE PROYECTO DE INVERSIÓN BPUNI FCBI 03 0509 2025 
</v>
      </c>
      <c r="AD134" s="17" t="str">
        <f ca="1">IFERROR(__xludf.DUMMYFUNCTION("""COMPUTED_VALUE"""),"Jose Rojas ")</f>
        <v xml:space="preserve">Jose Rojas </v>
      </c>
      <c r="AE134" s="18" t="str">
        <f ca="1">IFERROR(__xludf.DUMMYFUNCTION("""COMPUTED_VALUE"""),"Evidencia")</f>
        <v>Evidencia</v>
      </c>
      <c r="AF134" s="15" t="str">
        <f ca="1">IFERROR(__xludf.DUMMYFUNCTION("""COMPUTED_VALUE"""),"No")</f>
        <v>No</v>
      </c>
      <c r="AG134" s="15" t="str">
        <f ca="1">IFERROR(__xludf.DUMMYFUNCTION("""COMPUTED_VALUE"""),"En proceso")</f>
        <v>En proceso</v>
      </c>
      <c r="AH134" s="15" t="str">
        <f ca="1">IFERROR(__xludf.DUMMYFUNCTION("""COMPUTED_VALUE"""),"Durante este primer monitoreo NO se materializó el riesgo.
Avance sobre los controles:
C1: Se evidenció soporte relacionado con la asignación de recursos para la operación del CCA mediante documento BPUNI del proyecto de inversión, el cual guarda relaci"&amp;"ón parcial con el control establecido.
C2, C3 y C4: No se evidencian soportes que permitan verificar la revisión de la conveniencia, adecuación y eficacia del Sistema de Gestión de Calidad, la implementación de procedimientos asociados a la NTC-ISO 17025"&amp;":2017, ni las acciones correctivas derivadas de auditorías.
Se recomienda fortalecer el reporte del monitoreo relacionando las actividades ejecutadas por cada control y adjuntando las evidencias correspondientes de manera organizada en carpetas separadas"&amp;", con el fin de facilitar la trazabilidad y validación de la información.
Adicionalmente, se recomienda revisar la estructuración de los controles en la matriz, incluyendo responsables claramente definidos conforme a la guía metodológica.")</f>
        <v>Durante este primer monitoreo NO se materializó el riesgo.
Avance sobre los controles:
C1: Se evidenció soporte relacionado con la asignación de recursos para la operación del CCA mediante documento BPUNI del proyecto de inversión, el cual guarda relación parcial con el control establecido.
C2, C3 y C4: No se evidencian soportes que permitan verificar la revisión de la conveniencia, adecuación y eficacia del Sistema de Gestión de Calidad, la implementación de procedimientos asociados a la NTC-ISO 17025:2017, ni las acciones correctivas derivadas de auditorías.
Se recomienda fortalecer el reporte del monitoreo relacionando las actividades ejecutadas por cada control y adjuntando las evidencias correspondientes de manera organizada en carpetas separadas, con el fin de facilitar la trazabilidad y validación de la información.
Adicionalmente, se recomienda revisar la estructuración de los controles en la matriz, incluyendo responsables claramente definidos conforme a la guía metodológica.</v>
      </c>
      <c r="AI134" s="15" t="str">
        <f ca="1">IFERROR(__xludf.DUMMYFUNCTION("""COMPUTED_VALUE"""),"30 de abril")</f>
        <v>30 de abril</v>
      </c>
      <c r="AJ134" s="17" t="str">
        <f ca="1">IFERROR(__xludf.DUMMYFUNCTION("""COMPUTED_VALUE"""),"Si")</f>
        <v>Si</v>
      </c>
      <c r="AK134" s="17" t="str">
        <f ca="1">IFERROR(__xludf.DUMMYFUNCTION("""COMPUTED_VALUE"""),"Si")</f>
        <v>Si</v>
      </c>
      <c r="AL134" s="17" t="str">
        <f ca="1">IFERROR(__xludf.DUMMYFUNCTION("""COMPUTED_VALUE"""),"Si")</f>
        <v>Si</v>
      </c>
      <c r="AM134" s="17" t="str">
        <f ca="1">IFERROR(__xludf.DUMMYFUNCTION("""COMPUTED_VALUE"""),"Si")</f>
        <v>Si</v>
      </c>
      <c r="AN134" s="17" t="str">
        <f ca="1">IFERROR(__xludf.DUMMYFUNCTION("""COMPUTED_VALUE"""),"No")</f>
        <v>No</v>
      </c>
      <c r="AO134" s="17" t="str">
        <f ca="1">IFERROR(__xludf.DUMMYFUNCTION("""COMPUTED_VALUE"""),"Si")</f>
        <v>Si</v>
      </c>
      <c r="AP134" s="17" t="str">
        <f ca="1">IFERROR(__xludf.DUMMYFUNCTION("""COMPUTED_VALUE"""),"Si")</f>
        <v>Si</v>
      </c>
      <c r="AQ134" s="17" t="str">
        <f ca="1">IFERROR(__xludf.DUMMYFUNCTION("""COMPUTED_VALUE"""),"No")</f>
        <v>No</v>
      </c>
      <c r="AR134" s="17" t="str">
        <f ca="1">IFERROR(__xludf.DUMMYFUNCTION("""COMPUTED_VALUE"""),"No")</f>
        <v>No</v>
      </c>
      <c r="AS134" s="15" t="str">
        <f ca="1">IFERROR(__xludf.DUMMYFUNCTION("""COMPUTED_VALUE"""),"No aplica")</f>
        <v>No aplica</v>
      </c>
      <c r="AT134" s="15" t="str">
        <f ca="1">IFERROR(__xludf.DUMMYFUNCTION("""COMPUTED_VALUE"""),"Recomendación: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diseño"&amp;" del control: Responsable+Acción+Complemento.
3. Mejorar la calidad y completitud de la evidencia, toda vez que no se aportó soporte de la ejecución de los controles 2, 3 y 4. Se requiere que la evidencia sea competente, es decir con calidad en relación a"&amp;" su relevancia y confiabilidad y suficiente en términos de cantidad y completitud, que permita demostrar de manera íntegra el hecho objeto de evaluación.")</f>
        <v>Recomendación: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Mejorar la calidad y completitud de la evidencia, toda vez que no se aportó soporte de la ejecución de los controles 2, 3 y 4. Se requiere que la evidencia sea competente, es decir con calidad en relación a su relevancia y confiabilidad y suficiente en términos de cantidad y completitud, que permita demostrar de manera íntegra el hecho objeto de evaluación.</v>
      </c>
      <c r="AU134" s="10"/>
    </row>
    <row r="135" spans="1:47" x14ac:dyDescent="0.25">
      <c r="A135" s="25"/>
      <c r="B135" s="86"/>
      <c r="C135" s="86"/>
      <c r="D135" s="64"/>
      <c r="E135" s="64"/>
      <c r="F135" s="64"/>
      <c r="G135" s="64"/>
      <c r="H135" s="64"/>
      <c r="I135" s="64"/>
      <c r="J135" s="64"/>
      <c r="K135" s="64"/>
      <c r="L135" s="64"/>
      <c r="M135" s="64"/>
      <c r="N135" s="64"/>
      <c r="O135" s="64"/>
      <c r="P135" s="64"/>
      <c r="Q135" s="83"/>
      <c r="R135" s="20" t="str">
        <f ca="1">IFERROR(__xludf.DUMMYFUNCTION("""COMPUTED_VALUE"""),"")</f>
        <v/>
      </c>
      <c r="S135" s="42" t="str">
        <f ca="1">IFERROR(__xludf.DUMMYFUNCTION("""COMPUTED_VALUE"""),"")</f>
        <v/>
      </c>
      <c r="T135" s="34"/>
      <c r="U135" s="20"/>
      <c r="V135" s="89"/>
      <c r="W135" s="89"/>
      <c r="X135" s="89"/>
      <c r="Y135" s="89"/>
      <c r="Z135" s="15" t="str">
        <f ca="1">IFERROR(__xludf.DUMMYFUNCTION("""COMPUTED_VALUE"""),"30 de agosto")</f>
        <v>30 de agosto</v>
      </c>
      <c r="AA135" s="17"/>
      <c r="AB135" s="17"/>
      <c r="AC135" s="15"/>
      <c r="AD135" s="17"/>
      <c r="AE135" s="18" t="str">
        <f ca="1">IFERROR(__xludf.DUMMYFUNCTION("""COMPUTED_VALUE"""),"Evidencia")</f>
        <v>Evidencia</v>
      </c>
      <c r="AF135" s="15"/>
      <c r="AG135" s="15"/>
      <c r="AH135" s="15"/>
      <c r="AI135" s="24" t="str">
        <f ca="1">IFERROR(__xludf.DUMMYFUNCTION("""COMPUTED_VALUE"""),"31 de agosto")</f>
        <v>31 de agosto</v>
      </c>
      <c r="AJ135" s="17"/>
      <c r="AK135" s="17"/>
      <c r="AL135" s="17"/>
      <c r="AM135" s="17"/>
      <c r="AN135" s="17"/>
      <c r="AO135" s="17"/>
      <c r="AP135" s="17"/>
      <c r="AQ135" s="17"/>
      <c r="AR135" s="17"/>
      <c r="AS135" s="15"/>
      <c r="AT135" s="15"/>
      <c r="AU135" s="10"/>
    </row>
    <row r="136" spans="1:47" x14ac:dyDescent="0.25">
      <c r="A136" s="25"/>
      <c r="B136" s="87"/>
      <c r="C136" s="87"/>
      <c r="D136" s="61"/>
      <c r="E136" s="61"/>
      <c r="F136" s="61"/>
      <c r="G136" s="61"/>
      <c r="H136" s="61"/>
      <c r="I136" s="61"/>
      <c r="J136" s="61"/>
      <c r="K136" s="61"/>
      <c r="L136" s="61"/>
      <c r="M136" s="61"/>
      <c r="N136" s="61"/>
      <c r="O136" s="61"/>
      <c r="P136" s="61"/>
      <c r="Q136" s="84"/>
      <c r="R136" s="26" t="str">
        <f ca="1">IFERROR(__xludf.DUMMYFUNCTION("""COMPUTED_VALUE"""),"")</f>
        <v/>
      </c>
      <c r="S136" s="43" t="str">
        <f ca="1">IFERROR(__xludf.DUMMYFUNCTION("""COMPUTED_VALUE"""),"")</f>
        <v/>
      </c>
      <c r="T136" s="38"/>
      <c r="U136" s="26"/>
      <c r="V136" s="76"/>
      <c r="W136" s="76"/>
      <c r="X136" s="76"/>
      <c r="Y136" s="76"/>
      <c r="Z136" s="15" t="str">
        <f ca="1">IFERROR(__xludf.DUMMYFUNCTION("""COMPUTED_VALUE"""),"30 de diciembre")</f>
        <v>30 de diciembre</v>
      </c>
      <c r="AA136" s="17"/>
      <c r="AB136" s="17"/>
      <c r="AC136" s="15"/>
      <c r="AD136" s="17"/>
      <c r="AE136" s="18" t="str">
        <f ca="1">IFERROR(__xludf.DUMMYFUNCTION("""COMPUTED_VALUE"""),"Evidencia")</f>
        <v>Evidencia</v>
      </c>
      <c r="AF136" s="15"/>
      <c r="AG136" s="15"/>
      <c r="AH136" s="15"/>
      <c r="AI136" s="24" t="str">
        <f ca="1">IFERROR(__xludf.DUMMYFUNCTION("""COMPUTED_VALUE"""),"31 de diciembre")</f>
        <v>31 de diciembre</v>
      </c>
      <c r="AJ136" s="17"/>
      <c r="AK136" s="17"/>
      <c r="AL136" s="17"/>
      <c r="AM136" s="17"/>
      <c r="AN136" s="17"/>
      <c r="AO136" s="17"/>
      <c r="AP136" s="17"/>
      <c r="AQ136" s="17"/>
      <c r="AR136" s="17"/>
      <c r="AS136" s="15"/>
      <c r="AT136" s="15"/>
      <c r="AU136" s="10"/>
    </row>
    <row r="137" spans="1:47" ht="180" x14ac:dyDescent="0.25">
      <c r="A137" s="25"/>
      <c r="B137" s="90" t="s">
        <v>70</v>
      </c>
      <c r="C137" s="85" t="str">
        <f ca="1">IFERROR(__xludf.DUMMYFUNCTION("IMPORTRANGE(""https://docs.google.com/spreadsheets/d/1Tc7m7r2oOdMPmN2qPi8x-h__AwLwZMRblgnn3cv3CNQ/edit?gid=2098233099#gid=2098233099"",""Matriz_riesgos!C11:AT19"")"),"Administrar de manera eficiente y eficaz los recursos financieros de la Universidad, garantizando el cumplimiento de los compromisos adquiridos con la comunidad y los entes de control. ")</f>
        <v xml:space="preserve">Administrar de manera eficiente y eficaz los recursos financieros de la Universidad, garantizando el cumplimiento de los compromisos adquiridos con la comunidad y los entes de control. </v>
      </c>
      <c r="D137" s="63" t="str">
        <f ca="1">IFERROR(__xludf.DUMMYFUNCTION("""COMPUTED_VALUE"""),"Posibilidad de generar detrimento en la imagen institucional y afectación a la gestión administrativa, por el incumplimiento, inoportunidad o inexactitud en la entrega de reportes de información al proceso financiero debido a deficiencias en la gestión, v"&amp;"alidación y control de la información reportada por las dependencias.")</f>
        <v>Posibilidad de generar detrimento en la imagen institucional y afectación a la gestión administrativa, por el incumplimiento, inoportunidad o inexactitud en la entrega de reportes de información al proceso financiero debido a deficiencias en la gestión, validación y control de la información reportada por las dependencias.</v>
      </c>
      <c r="E137" s="63" t="str">
        <f ca="1">IFERROR(__xludf.DUMMYFUNCTION("""COMPUTED_VALUE"""),"Dirección Financiera")</f>
        <v>Dirección Financiera</v>
      </c>
      <c r="F137" s="63" t="str">
        <f ca="1">IFERROR(__xludf.DUMMYFUNCTION("""COMPUTED_VALUE"""),"Financiero")</f>
        <v>Financiero</v>
      </c>
      <c r="G137" s="63" t="str">
        <f ca="1">IFERROR(__xludf.DUMMYFUNCTION("""COMPUTED_VALUE"""),"- Incumplimiento de los plazos establecidos para la entrega de la información por parte de las dependencias responsables, derivado de la falta de seguimiento y control oportuno.
- Desconocimiento de la importancia, priorizaciòn y autocontrol de los respon"&amp;"sables que suministran la información. ")</f>
        <v xml:space="preserve">- Incumplimiento de los plazos establecidos para la entrega de la información por parte de las dependencias responsables, derivado de la falta de seguimiento y control oportuno.
- Desconocimiento de la importancia, priorizaciòn y autocontrol de los responsables que suministran la información. </v>
      </c>
      <c r="H137" s="63" t="str">
        <f ca="1">IFERROR(__xludf.DUMMYFUNCTION("""COMPUTED_VALUE"""),"Generación de reprocesos administrativos y contables derivados de la corrección, validación y ajuste de la información reportada de manera inoportuna o inexacta.")</f>
        <v>Generación de reprocesos administrativos y contables derivados de la corrección, validación y ajuste de la información reportada de manera inoportuna o inexacta.</v>
      </c>
      <c r="I137" s="65" t="str">
        <f ca="1">IFERROR(__xludf.DUMMYFUNCTION("""COMPUTED_VALUE"""),"FIN_01")</f>
        <v>FIN_01</v>
      </c>
      <c r="J137" s="65" t="str">
        <f ca="1">IFERROR(__xludf.DUMMYFUNCTION("""COMPUTED_VALUE"""),"Baja")</f>
        <v>Baja</v>
      </c>
      <c r="K137" s="65" t="str">
        <f ca="1">IFERROR(__xludf.DUMMYFUNCTION("""COMPUTED_VALUE"""),"Menor")</f>
        <v>Menor</v>
      </c>
      <c r="L137" s="65" t="str">
        <f ca="1">IFERROR(__xludf.DUMMYFUNCTION("""COMPUTED_VALUE"""),"Baja")</f>
        <v>Baja</v>
      </c>
      <c r="M137" s="63" t="str">
        <f ca="1">IFERROR(__xludf.DUMMYFUNCTION("""COMPUTED_VALUE"""),"-Definición y aplicación de un cronograma formal de entrega de reportes de información financiera, con fechas y responsables establecidos.
-Seguimiento periódico al cumplimiento del cronograma de entrega de reportes por parte de las dependencias, con iden"&amp;"tificación de retrasos y registro de acciones de control.
-Revisión y verificación de la idoneidad, coherencia y consistencia de la información contable recibida por parte de las dependencias, previo a su consolidación y reporte.  ")</f>
        <v xml:space="preserve">-Definición y aplicación de un cronograma formal de entrega de reportes de información financiera, con fechas y responsables establecidos.
-Seguimiento periódico al cumplimiento del cronograma de entrega de reportes por parte de las dependencias, con identificación de retrasos y registro de acciones de control.
-Revisión y verificación de la idoneidad, coherencia y consistencia de la información contable recibida por parte de las dependencias, previo a su consolidación y reporte.  </v>
      </c>
      <c r="N137" s="65" t="str">
        <f ca="1">IFERROR(__xludf.DUMMYFUNCTION("""COMPUTED_VALUE"""),"Muy baja")</f>
        <v>Muy baja</v>
      </c>
      <c r="O137" s="65" t="str">
        <f ca="1">IFERROR(__xludf.DUMMYFUNCTION("""COMPUTED_VALUE"""),"Menor")</f>
        <v>Menor</v>
      </c>
      <c r="P137" s="65" t="str">
        <f ca="1">IFERROR(__xludf.DUMMYFUNCTION("""COMPUTED_VALUE"""),"Baja")</f>
        <v>Baja</v>
      </c>
      <c r="Q137" s="91" t="str">
        <f ca="1">IFERROR(__xludf.DUMMYFUNCTION("""COMPUTED_VALUE"""),"Aceptar")</f>
        <v>Aceptar</v>
      </c>
      <c r="R137" s="20" t="str">
        <f ca="1">IFERROR(__xludf.DUMMYFUNCTION("""COMPUTED_VALUE"""),"Ya que se acepta el riesgo, no se determinan acciones de tratamiento, sin embargo se monitorea la aplicación de los controles")</f>
        <v>Ya que se acepta el riesgo, no se determinan acciones de tratamiento, sin embargo se monitorea la aplicación de los controles</v>
      </c>
      <c r="S137" s="40" t="str">
        <f ca="1">IFERROR(__xludf.DUMMYFUNCTION("""COMPUTED_VALUE"""),"N/A")</f>
        <v>N/A</v>
      </c>
      <c r="T137" s="14" t="str">
        <f ca="1">IFERROR(__xludf.DUMMYFUNCTION("""COMPUTED_VALUE"""),"N/A")</f>
        <v>N/A</v>
      </c>
      <c r="U137" s="55" t="str">
        <f ca="1">IFERROR(__xludf.DUMMYFUNCTION("""COMPUTED_VALUE"""),"N/A")</f>
        <v>N/A</v>
      </c>
      <c r="V137" s="92" t="str">
        <f ca="1">IFERROR(__xludf.DUMMYFUNCTION("""COMPUTED_VALUE"""),"-Solicitud formal de la información financiera requerida a las dependencias responsables, a través de los canales institucionales, con el fin de subsanar la entrega inoportuna o inexacta.
-Revisión, validación y ajuste de la información contable más reci"&amp;"ente suministrada por las dependencias, previo a su consolidación y reporte.
")</f>
        <v xml:space="preserve">-Solicitud formal de la información financiera requerida a las dependencias responsables, a través de los canales institucionales, con el fin de subsanar la entrega inoportuna o inexacta.
-Revisión, validación y ajuste de la información contable más reciente suministrada por las dependencias, previo a su consolidación y reporte.
</v>
      </c>
      <c r="W137" s="97" t="str">
        <f ca="1">IFERROR(__xludf.DUMMYFUNCTION("""COMPUTED_VALUE"""),"Correos enviados y recibidos, registros de validación y reportes ajustados.")</f>
        <v>Correos enviados y recibidos, registros de validación y reportes ajustados.</v>
      </c>
      <c r="X137" s="97" t="str">
        <f ca="1">IFERROR(__xludf.DUMMYFUNCTION("""COMPUTED_VALUE"""),"Dirección Financiera")</f>
        <v>Dirección Financiera</v>
      </c>
      <c r="Y137" s="97" t="str">
        <f ca="1">IFERROR(__xludf.DUMMYFUNCTION("""COMPUTED_VALUE"""),"Màximo 30 días después")</f>
        <v>Màximo 30 días después</v>
      </c>
      <c r="Z137" s="15" t="str">
        <f ca="1">IFERROR(__xludf.DUMMYFUNCTION("""COMPUTED_VALUE"""),"30 de abril")</f>
        <v>30 de abril</v>
      </c>
      <c r="AA137" s="17" t="str">
        <f ca="1">IFERROR(__xludf.DUMMYFUNCTION("""COMPUTED_VALUE"""),"29/01/2026
24/02/2026
25/03/2026
08/04/2026
")</f>
        <v xml:space="preserve">29/01/2026
24/02/2026
25/03/2026
08/04/2026
</v>
      </c>
      <c r="AB137" s="17" t="str">
        <f ca="1">IFERROR(__xludf.DUMMYFUNCTION("""COMPUTED_VALUE"""),"No")</f>
        <v>No</v>
      </c>
      <c r="AC137" s="15" t="str">
        <f ca="1">IFERROR(__xludf.DUMMYFUNCTION("""COMPUTED_VALUE"""),"De acuerdo a las acciones de mitigación establacidas para controlar el riesgo, para este primer cuatrimestre se llevaron acabo las siguientes acciones:
 -Control 1: Solicitudes mediante correo electrónico a las áreas responsables de la información para l"&amp;"a elaboración de los informes de la Oficina de Contabilidad: Se realizaron las respectivas solicitudes de informacion mediante correo electronico de forma mensual y trimestral, con el fin de registrar la informacion en contabilidad, conciliar y elaborar l"&amp;"os informes correspondientes.")</f>
        <v>De acuerdo a las acciones de mitigación establacidas para controlar el riesgo, para este primer cuatrimestre se llevaron acabo las siguientes acciones:
 -Control 1: Solicitudes mediante correo electrónico a las áreas responsables de la información para la elaboración de los informes de la Oficina de Contabilidad: Se realizaron las respectivas solicitudes de informacion mediante correo electronico de forma mensual y trimestral, con el fin de registrar la informacion en contabilidad, conciliar y elaborar los informes correspondientes.</v>
      </c>
      <c r="AD137" s="17" t="str">
        <f ca="1">IFERROR(__xludf.DUMMYFUNCTION("""COMPUTED_VALUE"""),"Jefe Oficina de Contabilidad")</f>
        <v>Jefe Oficina de Contabilidad</v>
      </c>
      <c r="AE137" s="18" t="str">
        <f ca="1">IFERROR(__xludf.DUMMYFUNCTION("""COMPUTED_VALUE"""),"Evidencia")</f>
        <v>Evidencia</v>
      </c>
      <c r="AF137" s="15" t="str">
        <f ca="1">IFERROR(__xludf.DUMMYFUNCTION("""COMPUTED_VALUE"""),"No")</f>
        <v>No</v>
      </c>
      <c r="AG137" s="15" t="str">
        <f ca="1">IFERROR(__xludf.DUMMYFUNCTION("""COMPUTED_VALUE"""),"En proceso")</f>
        <v>En proceso</v>
      </c>
      <c r="AH137" s="15" t="str">
        <f ca="1">IFERROR(__xludf.DUMMYFUNCTION("""COMPUTED_VALUE"""),"Durante el periodo monitoreado no se materializó el riesgo.
Se reportó como evidencia el envío de solicitudes de información mediante correo electrónico a las dependencias responsables, con el fin de realizar registros contables, conciliaciones y elabora"&amp;"ción de informes financieros.
No obstante, las actividades reportadas no guardan correspondencia directa con los controles establecidos en la matriz de riesgos, relacionados con: C1: la definición y aplicación de un cronograma formal de entrega de report"&amp;"es, C2: el seguimiento periódico al cumplimiento de dicho cronograma, y C3: la revisión y verificación de la coherencia y consistencia de la información recibida previo a su consolidación.
En consecuencia, no es posible verificar de manera suficiente la "&amp;"ejecución efectiva de los controles definidos para el riesgo. Se recomienda que, para próximos monitoreos, el reporte de avances y evidencias se estructure conforme a cada uno de los controles establecidos en la matriz de riesgos, con el fin de garantizar"&amp;" trazabilidad y adecuada verificación del monitoreo realizado.                                                                                                                                                                Adicionalmente, se recomienda org"&amp;"anizar las evidencias en carpetas separadas por cada control reportado, facilitando así la validación, trazabilidad y seguimiento de la información presentada.")</f>
        <v>Durante el periodo monitoreado no se materializó el riesgo.
Se reportó como evidencia el envío de solicitudes de información mediante correo electrónico a las dependencias responsables, con el fin de realizar registros contables, conciliaciones y elaboración de informes financieros.
No obstante, las actividades reportadas no guardan correspondencia directa con los controles establecidos en la matriz de riesgos, relacionados con: C1: la definición y aplicación de un cronograma formal de entrega de reportes, C2: el seguimiento periódico al cumplimiento de dicho cronograma, y C3: la revisión y verificación de la coherencia y consistencia de la información recibida previo a su consolidación.
En consecuencia, no es posible verificar de manera suficiente la ejecución efectiva de los controles definidos para el riesgo. Se recomienda que, para próximos monitoreos, el reporte de avances y evidencias se estructure conforme a cada uno de los controles establecidos en la matriz de riesgos, con el fin de garantizar trazabilidad y adecuada verificación del monitoreo realizado.                                                                                                                                                                Adicionalmente, se recomienda organizar las evidencias en carpetas separadas por cada control reportado, facilitando así la validación, trazabilidad y seguimiento de la información presentada.</v>
      </c>
      <c r="AI137" s="24" t="str">
        <f ca="1">IFERROR(__xludf.DUMMYFUNCTION("""COMPUTED_VALUE"""),"30 de abril")</f>
        <v>30 de abril</v>
      </c>
      <c r="AJ137" s="17" t="str">
        <f ca="1">IFERROR(__xludf.DUMMYFUNCTION("""COMPUTED_VALUE"""),"Si")</f>
        <v>Si</v>
      </c>
      <c r="AK137" s="17" t="str">
        <f ca="1">IFERROR(__xludf.DUMMYFUNCTION("""COMPUTED_VALUE"""),"Si")</f>
        <v>Si</v>
      </c>
      <c r="AL137" s="17" t="str">
        <f ca="1">IFERROR(__xludf.DUMMYFUNCTION("""COMPUTED_VALUE"""),"Si")</f>
        <v>Si</v>
      </c>
      <c r="AM137" s="17" t="str">
        <f ca="1">IFERROR(__xludf.DUMMYFUNCTION("""COMPUTED_VALUE"""),"Si")</f>
        <v>Si</v>
      </c>
      <c r="AN137" s="17" t="str">
        <f ca="1">IFERROR(__xludf.DUMMYFUNCTION("""COMPUTED_VALUE"""),"No")</f>
        <v>No</v>
      </c>
      <c r="AO137" s="17" t="str">
        <f ca="1">IFERROR(__xludf.DUMMYFUNCTION("""COMPUTED_VALUE"""),"Si")</f>
        <v>Si</v>
      </c>
      <c r="AP137" s="17" t="str">
        <f ca="1">IFERROR(__xludf.DUMMYFUNCTION("""COMPUTED_VALUE"""),"Si")</f>
        <v>Si</v>
      </c>
      <c r="AQ137" s="17" t="str">
        <f ca="1">IFERROR(__xludf.DUMMYFUNCTION("""COMPUTED_VALUE"""),"No")</f>
        <v>No</v>
      </c>
      <c r="AR137" s="17" t="str">
        <f ca="1">IFERROR(__xludf.DUMMYFUNCTION("""COMPUTED_VALUE"""),"No")</f>
        <v>No</v>
      </c>
      <c r="AS137" s="15" t="str">
        <f ca="1">IFERROR(__xludf.DUMMYFUNCTION("""COMPUTED_VALUE"""),"No aplica")</f>
        <v>No aplica</v>
      </c>
      <c r="AT137" s="15" t="str">
        <f ca="1">IFERROR(__xludf.DUMMYFUNCTION("""COMPUTED_VALUE"""),"Recomendación:
1. Fortalecer la descripción de los controles, considerando la metodología de la Guía para la Administración del Riesgo y el diseño de controles en entidades públicas Versión 7, que propone los elementos para el diseño del control: Responsa"&amp;"ble+Acción+Complemento.
2. Mejorar la calidad y completitud de la evidencia, toda vez que no se aportó evidencia de los controles 1, 2 y 3. Se requiere que la evidencia sea competente, es decir con calidad en relación a su relevancia y confiabilidad y suf"&amp;"iciente en términos de cantidad y completitud, que permita demostrar de manera íntegra el hecho objeto de evaluación.")</f>
        <v>Recomendación:
1. Fortalecer la descripción de los controles, considerando la metodología de la Guía para la Administración del Riesgo y el diseño de controles en entidades públicas Versión 7, que propone los elementos para el diseño del control: Responsable+Acción+Complemento.
2. Mejorar la calidad y completitud de la evidencia, toda vez que no se aportó evidencia de los controles 1, 2 y 3. Se requiere que la evidencia sea competente, es decir con calidad en relación a su relevancia y confiabilidad y suficiente en términos de cantidad y completitud, que permita demostrar de manera íntegra el hecho objeto de evaluación.</v>
      </c>
      <c r="AU137" s="10"/>
    </row>
    <row r="138" spans="1:47" x14ac:dyDescent="0.25">
      <c r="A138" s="25"/>
      <c r="B138" s="86"/>
      <c r="C138" s="86"/>
      <c r="D138" s="64"/>
      <c r="E138" s="64"/>
      <c r="F138" s="64"/>
      <c r="G138" s="64"/>
      <c r="H138" s="64"/>
      <c r="I138" s="64"/>
      <c r="J138" s="64"/>
      <c r="K138" s="64"/>
      <c r="L138" s="64"/>
      <c r="M138" s="64"/>
      <c r="N138" s="64"/>
      <c r="O138" s="64"/>
      <c r="P138" s="64"/>
      <c r="Q138" s="83"/>
      <c r="R138" s="20" t="str">
        <f ca="1">IFERROR(__xludf.DUMMYFUNCTION("""COMPUTED_VALUE"""),"")</f>
        <v/>
      </c>
      <c r="S138" s="42" t="str">
        <f ca="1">IFERROR(__xludf.DUMMYFUNCTION("""COMPUTED_VALUE"""),"")</f>
        <v/>
      </c>
      <c r="T138" s="34"/>
      <c r="U138" s="20"/>
      <c r="V138" s="89"/>
      <c r="W138" s="89"/>
      <c r="X138" s="89"/>
      <c r="Y138" s="89"/>
      <c r="Z138" s="15" t="str">
        <f ca="1">IFERROR(__xludf.DUMMYFUNCTION("""COMPUTED_VALUE"""),"30 de agosto")</f>
        <v>30 de agosto</v>
      </c>
      <c r="AA138" s="17"/>
      <c r="AB138" s="17"/>
      <c r="AC138" s="15"/>
      <c r="AD138" s="17"/>
      <c r="AE138" s="18" t="str">
        <f ca="1">IFERROR(__xludf.DUMMYFUNCTION("""COMPUTED_VALUE"""),"Evidencia")</f>
        <v>Evidencia</v>
      </c>
      <c r="AF138" s="15"/>
      <c r="AG138" s="15"/>
      <c r="AH138" s="15"/>
      <c r="AI138" s="24" t="str">
        <f ca="1">IFERROR(__xludf.DUMMYFUNCTION("""COMPUTED_VALUE"""),"31 de agosto")</f>
        <v>31 de agosto</v>
      </c>
      <c r="AJ138" s="17"/>
      <c r="AK138" s="17"/>
      <c r="AL138" s="17"/>
      <c r="AM138" s="17"/>
      <c r="AN138" s="17"/>
      <c r="AO138" s="17"/>
      <c r="AP138" s="17"/>
      <c r="AQ138" s="17"/>
      <c r="AR138" s="17"/>
      <c r="AS138" s="15"/>
      <c r="AT138" s="15"/>
      <c r="AU138" s="10"/>
    </row>
    <row r="139" spans="1:47" x14ac:dyDescent="0.25">
      <c r="A139" s="25"/>
      <c r="B139" s="86"/>
      <c r="C139" s="86"/>
      <c r="D139" s="61"/>
      <c r="E139" s="61"/>
      <c r="F139" s="61"/>
      <c r="G139" s="61"/>
      <c r="H139" s="61"/>
      <c r="I139" s="61"/>
      <c r="J139" s="61"/>
      <c r="K139" s="61"/>
      <c r="L139" s="61"/>
      <c r="M139" s="61"/>
      <c r="N139" s="61"/>
      <c r="O139" s="61"/>
      <c r="P139" s="61"/>
      <c r="Q139" s="84"/>
      <c r="R139" s="26" t="str">
        <f ca="1">IFERROR(__xludf.DUMMYFUNCTION("""COMPUTED_VALUE"""),"")</f>
        <v/>
      </c>
      <c r="S139" s="43" t="str">
        <f ca="1">IFERROR(__xludf.DUMMYFUNCTION("""COMPUTED_VALUE"""),"")</f>
        <v/>
      </c>
      <c r="T139" s="38"/>
      <c r="U139" s="26"/>
      <c r="V139" s="76"/>
      <c r="W139" s="76"/>
      <c r="X139" s="76"/>
      <c r="Y139" s="76"/>
      <c r="Z139" s="15" t="str">
        <f ca="1">IFERROR(__xludf.DUMMYFUNCTION("""COMPUTED_VALUE"""),"30 de diciembre")</f>
        <v>30 de diciembre</v>
      </c>
      <c r="AA139" s="17"/>
      <c r="AB139" s="17"/>
      <c r="AC139" s="15"/>
      <c r="AD139" s="17"/>
      <c r="AE139" s="18" t="str">
        <f ca="1">IFERROR(__xludf.DUMMYFUNCTION("""COMPUTED_VALUE"""),"Evidencia")</f>
        <v>Evidencia</v>
      </c>
      <c r="AF139" s="15"/>
      <c r="AG139" s="15"/>
      <c r="AH139" s="15"/>
      <c r="AI139" s="24" t="str">
        <f ca="1">IFERROR(__xludf.DUMMYFUNCTION("""COMPUTED_VALUE"""),"31 de diciembre")</f>
        <v>31 de diciembre</v>
      </c>
      <c r="AJ139" s="17"/>
      <c r="AK139" s="17"/>
      <c r="AL139" s="17"/>
      <c r="AM139" s="17"/>
      <c r="AN139" s="17"/>
      <c r="AO139" s="17"/>
      <c r="AP139" s="17"/>
      <c r="AQ139" s="17"/>
      <c r="AR139" s="17"/>
      <c r="AS139" s="15"/>
      <c r="AT139" s="15"/>
      <c r="AU139" s="10"/>
    </row>
    <row r="140" spans="1:47" ht="264" x14ac:dyDescent="0.25">
      <c r="A140" s="25"/>
      <c r="B140" s="86"/>
      <c r="C140" s="86"/>
      <c r="D140" s="63" t="str">
        <f ca="1">IFERROR(__xludf.DUMMYFUNCTION("""COMPUTED_VALUE"""),"Posibilidad de afectación económica y administrativa derivada de la pérdida, deterioro, daño o uso indebido de documentos y/o titulos valores custodiados por la tesorería, como consecuencia de condiciones fisicas inadecuadas del archivo y del acceso frecu"&amp;"ente de personal ajeno a la dependencia para su consulta. ")</f>
        <v xml:space="preserve">Posibilidad de afectación económica y administrativa derivada de la pérdida, deterioro, daño o uso indebido de documentos y/o titulos valores custodiados por la tesorería, como consecuencia de condiciones fisicas inadecuadas del archivo y del acceso frecuente de personal ajeno a la dependencia para su consulta. </v>
      </c>
      <c r="E140" s="63" t="str">
        <f ca="1">IFERROR(__xludf.DUMMYFUNCTION("""COMPUTED_VALUE"""),"Oficina de tesorería")</f>
        <v>Oficina de tesorería</v>
      </c>
      <c r="F140" s="63" t="str">
        <f ca="1">IFERROR(__xludf.DUMMYFUNCTION("""COMPUTED_VALUE"""),"Financiero")</f>
        <v>Financiero</v>
      </c>
      <c r="G140" s="63" t="str">
        <f ca="1">IFERROR(__xludf.DUMMYFUNCTION("""COMPUTED_VALUE"""),"- La custodia de un alto volumen de documentos financieros, contables y titulos valores en un espacio de archivo reducido. 
- Espacio de archivo sin condiciones optimas tecnicas exigidas por la normatividiad archivistica vigente para su adecuada condición"&amp;".
- El archivo es un punto de consulta para otras areas de la institución, lo que obliga a autorizar el ingreso de personal externo a la dependencia incrementando la probabilidad de extravio, deterioro fisico, manipulación inadecuada o uso no autorizado d"&amp;"e la información documental. 
- Ausencia de un espacio adecuado en el archivo central de la Institución que permita el traslado y custodia de estos documentos. ")</f>
        <v xml:space="preserve">- La custodia de un alto volumen de documentos financieros, contables y titulos valores en un espacio de archivo reducido. 
- Espacio de archivo sin condiciones optimas tecnicas exigidas por la normatividiad archivistica vigente para su adecuada condición.
- El archivo es un punto de consulta para otras areas de la institución, lo que obliga a autorizar el ingreso de personal externo a la dependencia incrementando la probabilidad de extravio, deterioro fisico, manipulación inadecuada o uso no autorizado de la información documental. 
- Ausencia de un espacio adecuado en el archivo central de la Institución que permita el traslado y custodia de estos documentos. </v>
      </c>
      <c r="H140" s="63" t="str">
        <f ca="1">IFERROR(__xludf.DUMMYFUNCTION("""COMPUTED_VALUE"""),"- Riesgos legales y disciplinarios por incumplimiento de la normatividad en materia de gestión documental y control fiscal. 
- Afectación a la integridad, confidencialidad y disponibilidad de la información financiera institucional. 
- Dificultades en pro"&amp;"cesos de auditoría interna, externa y de entes de control. 
- Impacto negativo en la imagen institucional y en la confiabilidad de la gestión financiera de la Universidad. ")</f>
        <v xml:space="preserve">- Riesgos legales y disciplinarios por incumplimiento de la normatividad en materia de gestión documental y control fiscal. 
- Afectación a la integridad, confidencialidad y disponibilidad de la información financiera institucional. 
- Dificultades en procesos de auditoría interna, externa y de entes de control. 
- Impacto negativo en la imagen institucional y en la confiabilidad de la gestión financiera de la Universidad. </v>
      </c>
      <c r="I140" s="65" t="str">
        <f ca="1">IFERROR(__xludf.DUMMYFUNCTION("""COMPUTED_VALUE"""),"FIN_02")</f>
        <v>FIN_02</v>
      </c>
      <c r="J140" s="65" t="str">
        <f ca="1">IFERROR(__xludf.DUMMYFUNCTION("""COMPUTED_VALUE"""),"Alta")</f>
        <v>Alta</v>
      </c>
      <c r="K140" s="65" t="str">
        <f ca="1">IFERROR(__xludf.DUMMYFUNCTION("""COMPUTED_VALUE"""),"Insignificante")</f>
        <v>Insignificante</v>
      </c>
      <c r="L140" s="65" t="str">
        <f ca="1">IFERROR(__xludf.DUMMYFUNCTION("""COMPUTED_VALUE"""),"Media")</f>
        <v>Media</v>
      </c>
      <c r="M140" s="63" t="str">
        <f ca="1">IFERROR(__xludf.DUMMYFUNCTION("""COMPUTED_VALUE"""),"- Implementación de una bitacora o libro de registro para el control de ingreso y salida de personal al archivo, donde se consignan fechas, responsables y temas consultados. 
-Designación de personal de tesorería responsable de autorizar, supervisar y con"&amp;"strolar al acceso de archivo. 
- Aplicación procedimiento de archivo de tesorería para consulta de material, con el fin de dar cumplimiento a los controles en el acceso a los documentos 
 ")</f>
        <v xml:space="preserve">- Implementación de una bitacora o libro de registro para el control de ingreso y salida de personal al archivo, donde se consignan fechas, responsables y temas consultados. 
-Designación de personal de tesorería responsable de autorizar, supervisar y constrolar al acceso de archivo. 
- Aplicación procedimiento de archivo de tesorería para consulta de material, con el fin de dar cumplimiento a los controles en el acceso a los documentos 
 </v>
      </c>
      <c r="N140" s="65" t="str">
        <f ca="1">IFERROR(__xludf.DUMMYFUNCTION("""COMPUTED_VALUE"""),"Muy baja")</f>
        <v>Muy baja</v>
      </c>
      <c r="O140" s="65" t="str">
        <f ca="1">IFERROR(__xludf.DUMMYFUNCTION("""COMPUTED_VALUE"""),"]]")</f>
        <v>]]</v>
      </c>
      <c r="P140" s="65" t="str">
        <f ca="1">IFERROR(__xludf.DUMMYFUNCTION("""COMPUTED_VALUE"""),"Baja")</f>
        <v>Baja</v>
      </c>
      <c r="Q140" s="91" t="str">
        <f ca="1">IFERROR(__xludf.DUMMYFUNCTION("""COMPUTED_VALUE"""),"Aceptar")</f>
        <v>Aceptar</v>
      </c>
      <c r="R140" s="20" t="str">
        <f ca="1">IFERROR(__xludf.DUMMYFUNCTION("""COMPUTED_VALUE"""),"Ya que se acepta el riesgo, no se determinan acciones de tratamiento, sin embargo se monitorea la aplicación de los controles")</f>
        <v>Ya que se acepta el riesgo, no se determinan acciones de tratamiento, sin embargo se monitorea la aplicación de los controles</v>
      </c>
      <c r="S140" s="40" t="str">
        <f ca="1">IFERROR(__xludf.DUMMYFUNCTION("""COMPUTED_VALUE"""),"N/A")</f>
        <v>N/A</v>
      </c>
      <c r="T140" s="32" t="str">
        <f ca="1">IFERROR(__xludf.DUMMYFUNCTION("""COMPUTED_VALUE"""),"N/A")</f>
        <v>N/A</v>
      </c>
      <c r="U140" s="41" t="str">
        <f ca="1">IFERROR(__xludf.DUMMYFUNCTION("""COMPUTED_VALUE"""),"N/A")</f>
        <v>N/A</v>
      </c>
      <c r="V140" s="92" t="str">
        <f ca="1">IFERROR(__xludf.DUMMYFUNCTION("""COMPUTED_VALUE"""),"- Búsqueda inmediata de los documentos acorde al area donde se extravió.
- Se recolecta la información y se vuelve a elaborar.
- Denuncia ante las autoridades competentes del título valor extraviado
- Informar a la Entidad bancaria del título perdido
- Re"&amp;"alizar acta en caso de daño del título valor
- Informar a la Vicerectoria de recursos")</f>
        <v>- Búsqueda inmediata de los documentos acorde al area donde se extravió.
- Se recolecta la información y se vuelve a elaborar.
- Denuncia ante las autoridades competentes del título valor extraviado
- Informar a la Entidad bancaria del título perdido
- Realizar acta en caso de daño del título valor
- Informar a la Vicerectoria de recursos</v>
      </c>
      <c r="W140" s="97" t="str">
        <f ca="1">IFERROR(__xludf.DUMMYFUNCTION("""COMPUTED_VALUE"""),"Oficios enviados")</f>
        <v>Oficios enviados</v>
      </c>
      <c r="X140" s="97" t="str">
        <f ca="1">IFERROR(__xludf.DUMMYFUNCTION("""COMPUTED_VALUE"""),"Tesorero")</f>
        <v>Tesorero</v>
      </c>
      <c r="Y140" s="97" t="str">
        <f ca="1">IFERROR(__xludf.DUMMYFUNCTION("""COMPUTED_VALUE"""),"Inmediato")</f>
        <v>Inmediato</v>
      </c>
      <c r="Z140" s="15" t="str">
        <f ca="1">IFERROR(__xludf.DUMMYFUNCTION("""COMPUTED_VALUE"""),"30 de abril")</f>
        <v>30 de abril</v>
      </c>
      <c r="AA140" s="17" t="str">
        <f ca="1">IFERROR(__xludf.DUMMYFUNCTION("""COMPUTED_VALUE"""),"Enero - abril 2026")</f>
        <v>Enero - abril 2026</v>
      </c>
      <c r="AB140" s="17" t="str">
        <f ca="1">IFERROR(__xludf.DUMMYFUNCTION("""COMPUTED_VALUE"""),"No")</f>
        <v>No</v>
      </c>
      <c r="AC140" s="15" t="str">
        <f ca="1">IFERROR(__xludf.DUMMYFUNCTION("""COMPUTED_VALUE"""),"Durante este periodo de monitoreo, se reportaron los siguientes avances sobre los controles:
Control 1). Implementación de una bitacora o libro de registro para el control de ingreso y salida de personal al archivo, donde se consignan fechas, responsable"&amp;"s y temas consultados:  Se ha implementado una bitácora de control de ingresos y salidas al archivo, el cual es monitoreado constantemente para garantizar la trazabilidad de la consulta. Se realiza una revisión periódica de la bitácora física, para asegur"&amp;"ar la trazabilidad del personal, verificando que los registros, temas de consulta y responsables estén completos.  El seguimiento consiste en auditar el libro de registro para corroborar la correcta consignación de datos (fechas, responsables y asuntos.  "&amp;"Se evidencia mediante fotografía del libro radicador.
Control 2). De acuerdo al manual de funciones, se mantiene el bloqueo a personas ajenas al área, para mitigar el riesgo. El proceso de tesorería cuenta con personal responsable de custodiar la documen"&amp;"tación de los archivos físicos.  Además de controlar el archivo documental, regulan y autorizan las consultas, supervisan y vigilan la conservación de documentos financieros, controlan la custodia, consulta y conservación de dichos documentos. El personal"&amp;" ejerce la supervisión, autorización y restricción de acceso al archivo, garantizando la integridad de la información y el cumplimiento de las políticas de seguridad documental. Se evidencia con el Manual de Funciones y registro fotográfico. 
Control 3)."&amp;" Control de acuerdo al procemiento PD-FIN-05 establecido para consulta y préstamo de documentos. Se realiza el monitoreo de la aplicación del procedimiento de archivo para la consulta de material, garantizando el cumplimiento de los controles de acceso y "&amp;"la trazabilidad de los documentos.  Se Verifica la correcta aplicación de los protocolos de archivo, asegurando la custodia, el acceso autorizado y la gestión eficiente de la documentación consultada.  Se hace Seguimiento al procedimiento de consulta de a"&amp;"rchivos, con el fin de validar el cumplimiento de los controles internos y asegurar la integridad de la documentación.  Se adjunta como evidencia el Procedimiento institucionalizado PD-FIN-05 CONSULTA Y PRESTAMO DE DOCUMENTOS DE ARCHIVOS DE GESTION
En cua"&amp;"nto a las acciones de tratamiento, no se aplican ya que el riesgo se acepta. 
Sobre las acciones de tratamiento: Debido a que se acepta el riesgo no se determinaron acciones de tratamiento, sin embargo se reportaron los controles. ")</f>
        <v xml:space="preserve">Durante este periodo de monitoreo, se reportaron los siguientes avances sobre los controles:
Control 1). Implementación de una bitacora o libro de registro para el control de ingreso y salida de personal al archivo, donde se consignan fechas, responsables y temas consultados:  Se ha implementado una bitácora de control de ingresos y salidas al archivo, el cual es monitoreado constantemente para garantizar la trazabilidad de la consulta. Se realiza una revisión periódica de la bitácora física, para asegurar la trazabilidad del personal, verificando que los registros, temas de consulta y responsables estén completos.  El seguimiento consiste en auditar el libro de registro para corroborar la correcta consignación de datos (fechas, responsables y asuntos.  Se evidencia mediante fotografía del libro radicador.
Control 2). De acuerdo al manual de funciones, se mantiene el bloqueo a personas ajenas al área, para mitigar el riesgo. El proceso de tesorería cuenta con personal responsable de custodiar la documentación de los archivos físicos.  Además de controlar el archivo documental, regulan y autorizan las consultas, supervisan y vigilan la conservación de documentos financieros, controlan la custodia, consulta y conservación de dichos documentos. El personal ejerce la supervisión, autorización y restricción de acceso al archivo, garantizando la integridad de la información y el cumplimiento de las políticas de seguridad documental. Se evidencia con el Manual de Funciones y registro fotográfico. 
Control 3). Control de acuerdo al procemiento PD-FIN-05 establecido para consulta y préstamo de documentos. Se realiza el monitoreo de la aplicación del procedimiento de archivo para la consulta de material, garantizando el cumplimiento de los controles de acceso y la trazabilidad de los documentos.  Se Verifica la correcta aplicación de los protocolos de archivo, asegurando la custodia, el acceso autorizado y la gestión eficiente de la documentación consultada.  Se hace Seguimiento al procedimiento de consulta de archivos, con el fin de validar el cumplimiento de los controles internos y asegurar la integridad de la documentación.  Se adjunta como evidencia el Procedimiento institucionalizado PD-FIN-05 CONSULTA Y PRESTAMO DE DOCUMENTOS DE ARCHIVOS DE GESTION
En cuanto a las acciones de tratamiento, no se aplican ya que el riesgo se acepta. 
Sobre las acciones de tratamiento: Debido a que se acepta el riesgo no se determinaron acciones de tratamiento, sin embargo se reportaron los controles. </v>
      </c>
      <c r="AD140" s="17" t="str">
        <f ca="1">IFERROR(__xludf.DUMMYFUNCTION("""COMPUTED_VALUE"""),"Tesoreria")</f>
        <v>Tesoreria</v>
      </c>
      <c r="AE140" s="18" t="str">
        <f ca="1">IFERROR(__xludf.DUMMYFUNCTION("""COMPUTED_VALUE"""),"Evidencia")</f>
        <v>Evidencia</v>
      </c>
      <c r="AF140" s="15" t="str">
        <f ca="1">IFERROR(__xludf.DUMMYFUNCTION("""COMPUTED_VALUE"""),"Si")</f>
        <v>Si</v>
      </c>
      <c r="AG140" s="15" t="str">
        <f ca="1">IFERROR(__xludf.DUMMYFUNCTION("""COMPUTED_VALUE"""),"Ejecutada")</f>
        <v>Ejecutada</v>
      </c>
      <c r="AH140" s="15" t="str">
        <f ca="1">IFERROR(__xludf.DUMMYFUNCTION("""COMPUTED_VALUE"""),"Durante el periodo monitoreado no se materializó el riesgo.
C1: Se evidenció la implementación y seguimiento de la bitácora de control de ingreso y salida al archivo de tesorería, mediante libro radicador y registros de consulta, garantizando la trazabil"&amp;"idad del acceso a los documentos.
C2: Se evidenció, a través del Manual de Funciones y registros fotográficos, la asignación de personal responsable para custodiar, autorizar y supervisar el acceso al archivo documental de tesorería.
C3: Se adjuntó como"&amp;" evidencia el procedimiento institucional PD-FIN-05 para consulta y préstamo de documentos de archivo; sin embargo, no se evidenció soporte de su aplicación durante el periodo monitoreado, por lo cual no es posible verificar la ejecución efectiva del cont"&amp;"rol.
Respecto a las acciones de tratamiento, no se establecieron actividades adicionales debido a que el riesgo fue aceptado; sin embargo, se realizó el monitoreo de los controles definidos.")</f>
        <v>Durante el periodo monitoreado no se materializó el riesgo.
C1: Se evidenció la implementación y seguimiento de la bitácora de control de ingreso y salida al archivo de tesorería, mediante libro radicador y registros de consulta, garantizando la trazabilidad del acceso a los documentos.
C2: Se evidenció, a través del Manual de Funciones y registros fotográficos, la asignación de personal responsable para custodiar, autorizar y supervisar el acceso al archivo documental de tesorería.
C3: Se adjuntó como evidencia el procedimiento institucional PD-FIN-05 para consulta y préstamo de documentos de archivo; sin embargo, no se evidenció soporte de su aplicación durante el periodo monitoreado, por lo cual no es posible verificar la ejecución efectiva del control.
Respecto a las acciones de tratamiento, no se establecieron actividades adicionales debido a que el riesgo fue aceptado; sin embargo, se realizó el monitoreo de los controles definidos.</v>
      </c>
      <c r="AI140" s="24" t="str">
        <f ca="1">IFERROR(__xludf.DUMMYFUNCTION("""COMPUTED_VALUE"""),"30 de abril")</f>
        <v>30 de abril</v>
      </c>
      <c r="AJ140" s="17" t="str">
        <f ca="1">IFERROR(__xludf.DUMMYFUNCTION("""COMPUTED_VALUE"""),"Si")</f>
        <v>Si</v>
      </c>
      <c r="AK140" s="17" t="str">
        <f ca="1">IFERROR(__xludf.DUMMYFUNCTION("""COMPUTED_VALUE"""),"Si")</f>
        <v>Si</v>
      </c>
      <c r="AL140" s="17" t="str">
        <f ca="1">IFERROR(__xludf.DUMMYFUNCTION("""COMPUTED_VALUE"""),"Si")</f>
        <v>Si</v>
      </c>
      <c r="AM140" s="17" t="str">
        <f ca="1">IFERROR(__xludf.DUMMYFUNCTION("""COMPUTED_VALUE"""),"Si")</f>
        <v>Si</v>
      </c>
      <c r="AN140" s="17" t="str">
        <f ca="1">IFERROR(__xludf.DUMMYFUNCTION("""COMPUTED_VALUE"""),"Si")</f>
        <v>Si</v>
      </c>
      <c r="AO140" s="17" t="str">
        <f ca="1">IFERROR(__xludf.DUMMYFUNCTION("""COMPUTED_VALUE"""),"Si")</f>
        <v>Si</v>
      </c>
      <c r="AP140" s="17" t="str">
        <f ca="1">IFERROR(__xludf.DUMMYFUNCTION("""COMPUTED_VALUE"""),"Si")</f>
        <v>Si</v>
      </c>
      <c r="AQ140" s="17" t="str">
        <f ca="1">IFERROR(__xludf.DUMMYFUNCTION("""COMPUTED_VALUE"""),"No")</f>
        <v>No</v>
      </c>
      <c r="AR140" s="17" t="str">
        <f ca="1">IFERROR(__xludf.DUMMYFUNCTION("""COMPUTED_VALUE"""),"No")</f>
        <v>No</v>
      </c>
      <c r="AS140" s="15" t="str">
        <f ca="1">IFERROR(__xludf.DUMMYFUNCTION("""COMPUTED_VALUE"""),"No aplica")</f>
        <v>No aplica</v>
      </c>
      <c r="AT140" s="15" t="str">
        <f ca="1">IFERROR(__xludf.DUMMYFUNCTION("""COMPUTED_VALUE"""),"Recomendación:
1. Fortalecer la descripción de los controles, considerando la metodología de la Guía para la Administración del Riesgo y el diseño de controles en entidades públicas Versión 7, que propone los elementos para el diseño del control: Responsa"&amp;"ble+Acción+Complemento.
2. Mejorar la calidad y completitud de la evidencia, toda vez que no se aportó evidencia del control N° 2. Se requiere que la evidencia sea competente, es decir con calidad en relación a su relevancia y confiabilidad y suficiente e"&amp;"n términos de cantidad y completitud, que permita demostrar de manera íntegra el hecho objeto de evaluación.")</f>
        <v>Recomendación:
1. Fortalecer la descripción de los controles, considerando la metodología de la Guía para la Administración del Riesgo y el diseño de controles en entidades públicas Versión 7, que propone los elementos para el diseño del control: Responsable+Acción+Complemento.
2. Mejorar la calidad y completitud de la evidencia, toda vez que no se aportó evidencia del control N° 2. Se requiere que la evidencia sea competente, es decir con calidad en relación a su relevancia y confiabilidad y suficiente en términos de cantidad y completitud, que permita demostrar de manera íntegra el hecho objeto de evaluación.</v>
      </c>
      <c r="AU140" s="10"/>
    </row>
    <row r="141" spans="1:47" x14ac:dyDescent="0.25">
      <c r="A141" s="25"/>
      <c r="B141" s="86"/>
      <c r="C141" s="86"/>
      <c r="D141" s="64"/>
      <c r="E141" s="64"/>
      <c r="F141" s="64"/>
      <c r="G141" s="64"/>
      <c r="H141" s="64"/>
      <c r="I141" s="64"/>
      <c r="J141" s="64"/>
      <c r="K141" s="64"/>
      <c r="L141" s="64"/>
      <c r="M141" s="64"/>
      <c r="N141" s="64"/>
      <c r="O141" s="64"/>
      <c r="P141" s="64"/>
      <c r="Q141" s="83"/>
      <c r="R141" s="20" t="str">
        <f ca="1">IFERROR(__xludf.DUMMYFUNCTION("""COMPUTED_VALUE"""),"")</f>
        <v/>
      </c>
      <c r="S141" s="42" t="str">
        <f ca="1">IFERROR(__xludf.DUMMYFUNCTION("""COMPUTED_VALUE"""),"")</f>
        <v/>
      </c>
      <c r="T141" s="34"/>
      <c r="U141" s="20"/>
      <c r="V141" s="89"/>
      <c r="W141" s="89"/>
      <c r="X141" s="89"/>
      <c r="Y141" s="89"/>
      <c r="Z141" s="15" t="str">
        <f ca="1">IFERROR(__xludf.DUMMYFUNCTION("""COMPUTED_VALUE"""),"30 de agosto")</f>
        <v>30 de agosto</v>
      </c>
      <c r="AA141" s="17"/>
      <c r="AB141" s="17"/>
      <c r="AC141" s="15"/>
      <c r="AD141" s="17"/>
      <c r="AE141" s="18" t="str">
        <f ca="1">IFERROR(__xludf.DUMMYFUNCTION("""COMPUTED_VALUE"""),"Evidencia")</f>
        <v>Evidencia</v>
      </c>
      <c r="AF141" s="15"/>
      <c r="AG141" s="15"/>
      <c r="AH141" s="15"/>
      <c r="AI141" s="24" t="str">
        <f ca="1">IFERROR(__xludf.DUMMYFUNCTION("""COMPUTED_VALUE"""),"31 de agosto")</f>
        <v>31 de agosto</v>
      </c>
      <c r="AJ141" s="17"/>
      <c r="AK141" s="17"/>
      <c r="AL141" s="17"/>
      <c r="AM141" s="17"/>
      <c r="AN141" s="17"/>
      <c r="AO141" s="17"/>
      <c r="AP141" s="17"/>
      <c r="AQ141" s="17"/>
      <c r="AR141" s="17"/>
      <c r="AS141" s="15"/>
      <c r="AT141" s="15"/>
      <c r="AU141" s="10"/>
    </row>
    <row r="142" spans="1:47" x14ac:dyDescent="0.25">
      <c r="A142" s="25"/>
      <c r="B142" s="86"/>
      <c r="C142" s="86"/>
      <c r="D142" s="61"/>
      <c r="E142" s="61"/>
      <c r="F142" s="61"/>
      <c r="G142" s="61"/>
      <c r="H142" s="61"/>
      <c r="I142" s="61"/>
      <c r="J142" s="61"/>
      <c r="K142" s="61"/>
      <c r="L142" s="61"/>
      <c r="M142" s="61"/>
      <c r="N142" s="61"/>
      <c r="O142" s="61"/>
      <c r="P142" s="61"/>
      <c r="Q142" s="84"/>
      <c r="R142" s="26" t="str">
        <f ca="1">IFERROR(__xludf.DUMMYFUNCTION("""COMPUTED_VALUE"""),"")</f>
        <v/>
      </c>
      <c r="S142" s="43" t="str">
        <f ca="1">IFERROR(__xludf.DUMMYFUNCTION("""COMPUTED_VALUE"""),"")</f>
        <v/>
      </c>
      <c r="T142" s="38"/>
      <c r="U142" s="26"/>
      <c r="V142" s="76"/>
      <c r="W142" s="76"/>
      <c r="X142" s="76"/>
      <c r="Y142" s="76"/>
      <c r="Z142" s="15" t="str">
        <f ca="1">IFERROR(__xludf.DUMMYFUNCTION("""COMPUTED_VALUE"""),"30 de diciembre")</f>
        <v>30 de diciembre</v>
      </c>
      <c r="AA142" s="17"/>
      <c r="AB142" s="17"/>
      <c r="AC142" s="15"/>
      <c r="AD142" s="17"/>
      <c r="AE142" s="18" t="str">
        <f ca="1">IFERROR(__xludf.DUMMYFUNCTION("""COMPUTED_VALUE"""),"Evidencia")</f>
        <v>Evidencia</v>
      </c>
      <c r="AF142" s="15"/>
      <c r="AG142" s="15"/>
      <c r="AH142" s="15"/>
      <c r="AI142" s="24" t="str">
        <f ca="1">IFERROR(__xludf.DUMMYFUNCTION("""COMPUTED_VALUE"""),"31 de diciembre")</f>
        <v>31 de diciembre</v>
      </c>
      <c r="AJ142" s="17"/>
      <c r="AK142" s="17"/>
      <c r="AL142" s="17"/>
      <c r="AM142" s="17"/>
      <c r="AN142" s="17"/>
      <c r="AO142" s="17"/>
      <c r="AP142" s="17"/>
      <c r="AQ142" s="17"/>
      <c r="AR142" s="17"/>
      <c r="AS142" s="15"/>
      <c r="AT142" s="15"/>
      <c r="AU142" s="10"/>
    </row>
    <row r="143" spans="1:47" x14ac:dyDescent="0.25">
      <c r="A143" s="25"/>
      <c r="B143" s="86"/>
      <c r="C143" s="86"/>
      <c r="D143" s="63" t="str">
        <f ca="1">IFERROR(__xludf.DUMMYFUNCTION("""COMPUTED_VALUE"""),"")</f>
        <v/>
      </c>
      <c r="E143" s="63" t="str">
        <f ca="1">IFERROR(__xludf.DUMMYFUNCTION("""COMPUTED_VALUE"""),"")</f>
        <v/>
      </c>
      <c r="F143" s="63" t="str">
        <f ca="1">IFERROR(__xludf.DUMMYFUNCTION("""COMPUTED_VALUE"""),"")</f>
        <v/>
      </c>
      <c r="G143" s="63" t="str">
        <f ca="1">IFERROR(__xludf.DUMMYFUNCTION("""COMPUTED_VALUE"""),"")</f>
        <v/>
      </c>
      <c r="H143" s="63" t="str">
        <f ca="1">IFERROR(__xludf.DUMMYFUNCTION("""COMPUTED_VALUE"""),"")</f>
        <v/>
      </c>
      <c r="I143" s="65" t="str">
        <f ca="1">IFERROR(__xludf.DUMMYFUNCTION("""COMPUTED_VALUE"""),"")</f>
        <v/>
      </c>
      <c r="J143" s="65" t="str">
        <f ca="1">IFERROR(__xludf.DUMMYFUNCTION("""COMPUTED_VALUE"""),"")</f>
        <v/>
      </c>
      <c r="K143" s="65" t="str">
        <f ca="1">IFERROR(__xludf.DUMMYFUNCTION("""COMPUTED_VALUE"""),"")</f>
        <v/>
      </c>
      <c r="L143" s="65" t="str">
        <f ca="1">IFERROR(__xludf.DUMMYFUNCTION("""COMPUTED_VALUE"""),"")</f>
        <v/>
      </c>
      <c r="M143" s="63" t="str">
        <f ca="1">IFERROR(__xludf.DUMMYFUNCTION("""COMPUTED_VALUE"""),"")</f>
        <v/>
      </c>
      <c r="N143" s="65" t="str">
        <f ca="1">IFERROR(__xludf.DUMMYFUNCTION("""COMPUTED_VALUE"""),"")</f>
        <v/>
      </c>
      <c r="O143" s="65" t="str">
        <f ca="1">IFERROR(__xludf.DUMMYFUNCTION("""COMPUTED_VALUE"""),"")</f>
        <v/>
      </c>
      <c r="P143" s="65" t="str">
        <f ca="1">IFERROR(__xludf.DUMMYFUNCTION("""COMPUTED_VALUE"""),"")</f>
        <v/>
      </c>
      <c r="Q143" s="91" t="str">
        <f ca="1">IFERROR(__xludf.DUMMYFUNCTION("""COMPUTED_VALUE"""),"")</f>
        <v/>
      </c>
      <c r="R143" s="20" t="str">
        <f ca="1">IFERROR(__xludf.DUMMYFUNCTION("""COMPUTED_VALUE"""),"")</f>
        <v/>
      </c>
      <c r="S143" s="40" t="str">
        <f ca="1">IFERROR(__xludf.DUMMYFUNCTION("""COMPUTED_VALUE"""),"")</f>
        <v/>
      </c>
      <c r="T143" s="32"/>
      <c r="U143" s="41"/>
      <c r="V143" s="92" t="str">
        <f ca="1">IFERROR(__xludf.DUMMYFUNCTION("""COMPUTED_VALUE"""),"")</f>
        <v/>
      </c>
      <c r="W143" s="97" t="str">
        <f ca="1">IFERROR(__xludf.DUMMYFUNCTION("""COMPUTED_VALUE"""),"")</f>
        <v/>
      </c>
      <c r="X143" s="97" t="str">
        <f ca="1">IFERROR(__xludf.DUMMYFUNCTION("""COMPUTED_VALUE"""),"")</f>
        <v/>
      </c>
      <c r="Y143" s="97" t="str">
        <f ca="1">IFERROR(__xludf.DUMMYFUNCTION("""COMPUTED_VALUE"""),"")</f>
        <v/>
      </c>
      <c r="Z143" s="15" t="str">
        <f ca="1">IFERROR(__xludf.DUMMYFUNCTION("""COMPUTED_VALUE"""),"30 de abril")</f>
        <v>30 de abril</v>
      </c>
      <c r="AA143" s="17"/>
      <c r="AB143" s="17"/>
      <c r="AC143" s="15"/>
      <c r="AD143" s="17"/>
      <c r="AE143" s="54" t="str">
        <f ca="1">IFERROR(__xludf.DUMMYFUNCTION("""COMPUTED_VALUE"""),"Evidencia")</f>
        <v>Evidencia</v>
      </c>
      <c r="AF143" s="15"/>
      <c r="AG143" s="15"/>
      <c r="AH143" s="15"/>
      <c r="AI143" s="24" t="str">
        <f ca="1">IFERROR(__xludf.DUMMYFUNCTION("""COMPUTED_VALUE"""),"30 de abril")</f>
        <v>30 de abril</v>
      </c>
      <c r="AJ143" s="17"/>
      <c r="AK143" s="17"/>
      <c r="AL143" s="17"/>
      <c r="AM143" s="17"/>
      <c r="AN143" s="17"/>
      <c r="AO143" s="17"/>
      <c r="AP143" s="17"/>
      <c r="AQ143" s="17"/>
      <c r="AR143" s="17"/>
      <c r="AS143" s="15"/>
      <c r="AT143" s="15"/>
      <c r="AU143" s="10"/>
    </row>
    <row r="144" spans="1:47" x14ac:dyDescent="0.25">
      <c r="A144" s="25"/>
      <c r="B144" s="86"/>
      <c r="C144" s="86"/>
      <c r="D144" s="64"/>
      <c r="E144" s="64"/>
      <c r="F144" s="64"/>
      <c r="G144" s="64"/>
      <c r="H144" s="64"/>
      <c r="I144" s="64"/>
      <c r="J144" s="64"/>
      <c r="K144" s="64"/>
      <c r="L144" s="64"/>
      <c r="M144" s="64"/>
      <c r="N144" s="64"/>
      <c r="O144" s="64"/>
      <c r="P144" s="64"/>
      <c r="Q144" s="83"/>
      <c r="R144" s="20" t="str">
        <f ca="1">IFERROR(__xludf.DUMMYFUNCTION("""COMPUTED_VALUE"""),"")</f>
        <v/>
      </c>
      <c r="S144" s="42" t="str">
        <f ca="1">IFERROR(__xludf.DUMMYFUNCTION("""COMPUTED_VALUE"""),"")</f>
        <v/>
      </c>
      <c r="T144" s="34"/>
      <c r="U144" s="20"/>
      <c r="V144" s="89"/>
      <c r="W144" s="89"/>
      <c r="X144" s="89"/>
      <c r="Y144" s="89"/>
      <c r="Z144" s="15" t="str">
        <f ca="1">IFERROR(__xludf.DUMMYFUNCTION("""COMPUTED_VALUE"""),"30 de agosto")</f>
        <v>30 de agosto</v>
      </c>
      <c r="AA144" s="17"/>
      <c r="AB144" s="17"/>
      <c r="AC144" s="15"/>
      <c r="AD144" s="17"/>
      <c r="AE144" s="54" t="str">
        <f ca="1">IFERROR(__xludf.DUMMYFUNCTION("""COMPUTED_VALUE"""),"Evidencia")</f>
        <v>Evidencia</v>
      </c>
      <c r="AF144" s="15"/>
      <c r="AG144" s="15"/>
      <c r="AH144" s="15"/>
      <c r="AI144" s="24" t="str">
        <f ca="1">IFERROR(__xludf.DUMMYFUNCTION("""COMPUTED_VALUE"""),"31 de agosto")</f>
        <v>31 de agosto</v>
      </c>
      <c r="AJ144" s="17"/>
      <c r="AK144" s="17"/>
      <c r="AL144" s="17"/>
      <c r="AM144" s="17"/>
      <c r="AN144" s="17"/>
      <c r="AO144" s="17"/>
      <c r="AP144" s="17"/>
      <c r="AQ144" s="17"/>
      <c r="AR144" s="17"/>
      <c r="AS144" s="15"/>
      <c r="AT144" s="15"/>
      <c r="AU144" s="10"/>
    </row>
    <row r="145" spans="1:47" x14ac:dyDescent="0.25">
      <c r="A145" s="25"/>
      <c r="B145" s="87"/>
      <c r="C145" s="87"/>
      <c r="D145" s="61"/>
      <c r="E145" s="61"/>
      <c r="F145" s="61"/>
      <c r="G145" s="61"/>
      <c r="H145" s="61"/>
      <c r="I145" s="61"/>
      <c r="J145" s="61"/>
      <c r="K145" s="61"/>
      <c r="L145" s="61"/>
      <c r="M145" s="61"/>
      <c r="N145" s="61"/>
      <c r="O145" s="61"/>
      <c r="P145" s="61"/>
      <c r="Q145" s="84"/>
      <c r="R145" s="26" t="str">
        <f ca="1">IFERROR(__xludf.DUMMYFUNCTION("""COMPUTED_VALUE"""),"")</f>
        <v/>
      </c>
      <c r="S145" s="43" t="str">
        <f ca="1">IFERROR(__xludf.DUMMYFUNCTION("""COMPUTED_VALUE"""),"")</f>
        <v/>
      </c>
      <c r="T145" s="38"/>
      <c r="U145" s="26"/>
      <c r="V145" s="76"/>
      <c r="W145" s="76"/>
      <c r="X145" s="76"/>
      <c r="Y145" s="76"/>
      <c r="Z145" s="15" t="str">
        <f ca="1">IFERROR(__xludf.DUMMYFUNCTION("""COMPUTED_VALUE"""),"30 de diciembre")</f>
        <v>30 de diciembre</v>
      </c>
      <c r="AA145" s="17"/>
      <c r="AB145" s="17"/>
      <c r="AC145" s="15"/>
      <c r="AD145" s="17"/>
      <c r="AE145" s="54" t="str">
        <f ca="1">IFERROR(__xludf.DUMMYFUNCTION("""COMPUTED_VALUE"""),"Evidencia")</f>
        <v>Evidencia</v>
      </c>
      <c r="AF145" s="15"/>
      <c r="AG145" s="15"/>
      <c r="AH145" s="15"/>
      <c r="AI145" s="24" t="str">
        <f ca="1">IFERROR(__xludf.DUMMYFUNCTION("""COMPUTED_VALUE"""),"31 de diciembre")</f>
        <v>31 de diciembre</v>
      </c>
      <c r="AJ145" s="17"/>
      <c r="AK145" s="17"/>
      <c r="AL145" s="17"/>
      <c r="AM145" s="17"/>
      <c r="AN145" s="17"/>
      <c r="AO145" s="17"/>
      <c r="AP145" s="17"/>
      <c r="AQ145" s="17"/>
      <c r="AR145" s="17"/>
      <c r="AS145" s="15"/>
      <c r="AT145" s="15"/>
      <c r="AU145" s="10"/>
    </row>
    <row r="146" spans="1:47" ht="168" x14ac:dyDescent="0.25">
      <c r="A146" s="25"/>
      <c r="B146" s="90" t="s">
        <v>71</v>
      </c>
      <c r="C146" s="85" t="str">
        <f ca="1">IFERROR(__xludf.DUMMYFUNCTION("IMPORTRANGE(""https://docs.google.com/spreadsheets/d/1-z_u93tIzD9b25N2JQhZH5UfYqQLimeRN8sGtq3ndb8/edit?gid=2098233099#gid=2098233099"",""Matriz_riesgos!C11:AT16"")"),"Gestionar, planificar y evaluar los recursos nuevos y actuales que conforman la infraestructura tecnológica de la Universidad, para responder a los requerimientos internos y externos, velando por la disponibilidad, autenticación, integridad y confidencial"&amp;"idad de la información y el resguardo de los recursos computacionales a
nivel de hardware y software. ")</f>
        <v xml:space="preserve">Gestionar, planificar y evaluar los recursos nuevos y actuales que conforman la infraestructura tecnológica de la Universidad, para responder a los requerimientos internos y externos, velando por la disponibilidad, autenticación, integridad y confidencialidad de la información y el resguardo de los recursos computacionales a
nivel de hardware y software. </v>
      </c>
      <c r="D146" s="63" t="str">
        <f ca="1">IFERROR(__xludf.DUMMYFUNCTION("""COMPUTED_VALUE"""),"Afectación económica y reputacional debido a la alteración de la información contenida en la base de datos del SIAU, para beneficio propio o de un tercero.")</f>
        <v>Afectación económica y reputacional debido a la alteración de la información contenida en la base de datos del SIAU, para beneficio propio o de un tercero.</v>
      </c>
      <c r="E146" s="63" t="str">
        <f ca="1">IFERROR(__xludf.DUMMYFUNCTION("""COMPUTED_VALUE"""),"Oficina de sistemas")</f>
        <v>Oficina de sistemas</v>
      </c>
      <c r="F146" s="63" t="str">
        <f ca="1">IFERROR(__xludf.DUMMYFUNCTION("""COMPUTED_VALUE"""),"Corrupción")</f>
        <v>Corrupción</v>
      </c>
      <c r="G146" s="63" t="str">
        <f ca="1">IFERROR(__xludf.DUMMYFUNCTION("""COMPUTED_VALUE"""),"- Ausencia de roles y responsabilidades definidos para la administración de la base de datos
- Debilidades en la aplicación de medidas de seguridad implementadas en el SIAU
- Ataques informáticos al SIAU")</f>
        <v>- Ausencia de roles y responsabilidades definidos para la administración de la base de datos
- Debilidades en la aplicación de medidas de seguridad implementadas en el SIAU
- Ataques informáticos al SIAU</v>
      </c>
      <c r="H146" s="63" t="str">
        <f ca="1">IFERROR(__xludf.DUMMYFUNCTION("""COMPUTED_VALUE"""),"1. Intervención de entes de control
2. Afectación a los usuarios
3. Sanciones económicas o legales a la Universidad")</f>
        <v>1. Intervención de entes de control
2. Afectación a los usuarios
3. Sanciones económicas o legales a la Universidad</v>
      </c>
      <c r="I146" s="65" t="str">
        <f ca="1">IFERROR(__xludf.DUMMYFUNCTION("""COMPUTED_VALUE"""),"GRT_01")</f>
        <v>GRT_01</v>
      </c>
      <c r="J146" s="65" t="str">
        <f ca="1">IFERROR(__xludf.DUMMYFUNCTION("""COMPUTED_VALUE"""),"Alta")</f>
        <v>Alta</v>
      </c>
      <c r="K146" s="65" t="str">
        <f ca="1">IFERROR(__xludf.DUMMYFUNCTION("""COMPUTED_VALUE"""),"Mayor")</f>
        <v>Mayor</v>
      </c>
      <c r="L146" s="65" t="str">
        <f ca="1">IFERROR(__xludf.DUMMYFUNCTION("""COMPUTED_VALUE"""),"Extrema")</f>
        <v>Extrema</v>
      </c>
      <c r="M146" s="63" t="str">
        <f ca="1">IFERROR(__xludf.DUMMYFUNCTION("""COMPUTED_VALUE"""),"- El Administrador de la Base de Datos (DBA) realiza periódicamente verificación de los logs generados por el motor de la Base de Datos (DB), con el fin detectar cambios en los registros de la BD
- El DBA asigna privilegios de acceso a la DB de acuerdo a "&amp;"las labores asignadas a los desarrolladores
- El jefe de la oficina de sistemas entrega mediante acta las credenciales de acceso a la BD de producción a cada uno de los desarrolladores, las cuales de ajustan al lineamiento de actualización de contraseña c"&amp;"ada 90 días. - El DBA programa la realización de backups a la BD de dos maneras: full diario e incremental cada 2 horas. - El DBA realiza cada fin de semana mantenimiento a la BD mediante la actualización de los índices y las estadísticas.")</f>
        <v>- El Administrador de la Base de Datos (DBA) realiza periódicamente verificación de los logs generados por el motor de la Base de Datos (DB), con el fin detectar cambios en los registros de la BD
- El DBA asigna privilegios de acceso a la DB de acuerdo a las labores asignadas a los desarrolladores
- El jefe de la oficina de sistemas entrega mediante acta las credenciales de acceso a la BD de producción a cada uno de los desarrolladores, las cuales de ajustan al lineamiento de actualización de contraseña cada 90 días. - El DBA programa la realización de backups a la BD de dos maneras: full diario e incremental cada 2 horas. - El DBA realiza cada fin de semana mantenimiento a la BD mediante la actualización de los índices y las estadísticas.</v>
      </c>
      <c r="N146" s="65" t="str">
        <f ca="1">IFERROR(__xludf.DUMMYFUNCTION("""COMPUTED_VALUE"""),"Muy baja")</f>
        <v>Muy baja</v>
      </c>
      <c r="O146" s="65" t="str">
        <f ca="1">IFERROR(__xludf.DUMMYFUNCTION("""COMPUTED_VALUE"""),"Mayor")</f>
        <v>Mayor</v>
      </c>
      <c r="P146" s="65" t="str">
        <f ca="1">IFERROR(__xludf.DUMMYFUNCTION("""COMPUTED_VALUE"""),"Alta")</f>
        <v>Alta</v>
      </c>
      <c r="Q146" s="91" t="str">
        <f ca="1">IFERROR(__xludf.DUMMYFUNCTION("""COMPUTED_VALUE"""),"Reducir")</f>
        <v>Reducir</v>
      </c>
      <c r="R146" s="20" t="str">
        <f ca="1">IFERROR(__xludf.DUMMYFUNCTION("""COMPUTED_VALUE"""),"Migrar a la nube el aplicativo y la DB del SIAU")</f>
        <v>Migrar a la nube el aplicativo y la DB del SIAU</v>
      </c>
      <c r="S146" s="40">
        <f ca="1">IFERROR(__xludf.DUMMYFUNCTION("""COMPUTED_VALUE"""),46203)</f>
        <v>46203</v>
      </c>
      <c r="T146" s="14" t="str">
        <f ca="1">IFERROR(__xludf.DUMMYFUNCTION("""COMPUTED_VALUE"""),"Jefe de la oficina de Sistemas")</f>
        <v>Jefe de la oficina de Sistemas</v>
      </c>
      <c r="U146" s="55" t="str">
        <f ca="1">IFERROR(__xludf.DUMMYFUNCTION("""COMPUTED_VALUE"""),"Registro fotográfico de la migración")</f>
        <v>Registro fotográfico de la migración</v>
      </c>
      <c r="V146" s="92" t="str">
        <f ca="1">IFERROR(__xludf.DUMMYFUNCTION("""COMPUTED_VALUE"""),"- Restaurar backups en caso de verificar que se realizaron cambios indebidos en la base de datos.
- Establecer las acciones necesarias en caso de incumplimiento de los lineamientos establecidos en las políticas y en los procedimientos de seguridad de la i"&amp;"nformación.")</f>
        <v>- Restaurar backups en caso de verificar que se realizaron cambios indebidos en la base de datos.
- Establecer las acciones necesarias en caso de incumplimiento de los lineamientos establecidos en las políticas y en los procedimientos de seguridad de la información.</v>
      </c>
      <c r="W146" s="97" t="str">
        <f ca="1">IFERROR(__xludf.DUMMYFUNCTION("""COMPUTED_VALUE"""),"Registro de restauración de la base de datos
Registros de las acciones establecidas de acuerdo al caso presentado")</f>
        <v>Registro de restauración de la base de datos
Registros de las acciones establecidas de acuerdo al caso presentado</v>
      </c>
      <c r="X146" s="97" t="str">
        <f ca="1">IFERROR(__xludf.DUMMYFUNCTION("""COMPUTED_VALUE"""),"Administrador de la base de datos
Jefe de Oficina de Sistemas")</f>
        <v>Administrador de la base de datos
Jefe de Oficina de Sistemas</v>
      </c>
      <c r="Y146" s="97" t="str">
        <f ca="1">IFERROR(__xludf.DUMMYFUNCTION("""COMPUTED_VALUE"""),"Inmediato
2 semanas")</f>
        <v>Inmediato
2 semanas</v>
      </c>
      <c r="Z146" s="15" t="str">
        <f ca="1">IFERROR(__xludf.DUMMYFUNCTION("""COMPUTED_VALUE"""),"30 de abril")</f>
        <v>30 de abril</v>
      </c>
      <c r="AA146" s="17" t="str">
        <f ca="1">IFERROR(__xludf.DUMMYFUNCTION("""COMPUTED_VALUE"""),"Durante el período")</f>
        <v>Durante el período</v>
      </c>
      <c r="AB146" s="17" t="str">
        <f ca="1">IFERROR(__xludf.DUMMYFUNCTION("""COMPUTED_VALUE"""),"No")</f>
        <v>No</v>
      </c>
      <c r="AC146" s="15" t="str">
        <f ca="1">IFERROR(__xludf.DUMMYFUNCTION("""COMPUTED_VALUE"""),"Respecto a los controles existentes el DBA realizó las siguientes acciones:
*Realizó la revisión periódica de los logs de auditoría del motor de BD, verificando que no existan modificaciones no autorizadas en los registros.
*Validó que los privilegios de "&amp;"los desarrolladores coincidan con sus roles actuales. Se verificó el cumplimiento de la política de cambio de contraseñas (ciclo de 60 días) mediante el acta de entrega liderada por la Jefatura de Sistemas.
*Confirmó la ejecución exitosa de los backups (F"&amp;"ull diarios e Incrementales cada 2 horas). Se realizaron pruebas de restauración aleatorias con resultado satisfactorio.
*Ejecutó el mantenimiento preventivo de fin de semana (actualización de índices y estadísticas), manteniendo los niveles de performanc"&amp;"e dentro de los umbrales definidos.")</f>
        <v>Respecto a los controles existentes el DBA realizó las siguientes acciones:
*Realizó la revisión periódica de los logs de auditoría del motor de BD, verificando que no existan modificaciones no autorizadas en los registros.
*Validó que los privilegios de los desarrolladores coincidan con sus roles actuales. Se verificó el cumplimiento de la política de cambio de contraseñas (ciclo de 60 días) mediante el acta de entrega liderada por la Jefatura de Sistemas.
*Confirmó la ejecución exitosa de los backups (Full diarios e Incrementales cada 2 horas). Se realizaron pruebas de restauración aleatorias con resultado satisfactorio.
*Ejecutó el mantenimiento preventivo de fin de semana (actualización de índices y estadísticas), manteniendo los niveles de performance dentro de los umbrales definidos.</v>
      </c>
      <c r="AD146" s="17" t="str">
        <f ca="1">IFERROR(__xludf.DUMMYFUNCTION("""COMPUTED_VALUE"""),"Administrador de la base de datos")</f>
        <v>Administrador de la base de datos</v>
      </c>
      <c r="AE146" s="18" t="str">
        <f ca="1">IFERROR(__xludf.DUMMYFUNCTION("""COMPUTED_VALUE"""),"Evidencia")</f>
        <v>Evidencia</v>
      </c>
      <c r="AF146" s="15" t="str">
        <f ca="1">IFERROR(__xludf.DUMMYFUNCTION("""COMPUTED_VALUE"""),"Si")</f>
        <v>Si</v>
      </c>
      <c r="AG146" s="15" t="str">
        <f ca="1">IFERROR(__xludf.DUMMYFUNCTION("""COMPUTED_VALUE"""),"En proceso")</f>
        <v>En proceso</v>
      </c>
      <c r="AH146" s="15" t="str">
        <f ca="1">IFERROR(__xludf.DUMMYFUNCTION("""COMPUTED_VALUE"""),"C1-C3: Se evidencian soportes relacionados con logs, cambios de contraseña y backups; sin embargo, no se aportan actas ni soportes formales que permitan verificar claramente la ejecución de algunos controles, especialmente los relacionados con asignación "&amp;"de privilegios y entrega de credenciales. Se recomienda organizar las evidencias por control para facilitar su validación.
C4-C5: Se evidencian soportes relacionados con backups y mantenimiento de la base de datos, coherentes con los controles definidos."&amp;"
Acción de tratamiento: La acción de migración a la nube tiene plazo hasta el 30 de junio de 2026, por lo cual no se requiere reporte de avance en este monitoreo.
Materialización del riesgo: El riesgo no se materializó durante el periodo evaluado.
Conc"&amp;"lusión: Los soportes presentan relación parcial con los controles establecidos; sin embargo, se requiere fortalecer la organización y trazabilidad de las evidencias para facilitar la verificación de la ejecución de cada control.")</f>
        <v>C1-C3: Se evidencian soportes relacionados con logs, cambios de contraseña y backups; sin embargo, no se aportan actas ni soportes formales que permitan verificar claramente la ejecución de algunos controles, especialmente los relacionados con asignación de privilegios y entrega de credenciales. Se recomienda organizar las evidencias por control para facilitar su validación.
C4-C5: Se evidencian soportes relacionados con backups y mantenimiento de la base de datos, coherentes con los controles definidos.
Acción de tratamiento: La acción de migración a la nube tiene plazo hasta el 30 de junio de 2026, por lo cual no se requiere reporte de avance en este monitoreo.
Materialización del riesgo: El riesgo no se materializó durante el periodo evaluado.
Conclusión: Los soportes presentan relación parcial con los controles establecidos; sin embargo, se requiere fortalecer la organización y trazabilidad de las evidencias para facilitar la verificación de la ejecución de cada control.</v>
      </c>
      <c r="AI146" s="24" t="str">
        <f ca="1">IFERROR(__xludf.DUMMYFUNCTION("""COMPUTED_VALUE"""),"30 de abril")</f>
        <v>30 de abril</v>
      </c>
      <c r="AJ146" s="17" t="str">
        <f ca="1">IFERROR(__xludf.DUMMYFUNCTION("""COMPUTED_VALUE"""),"Si")</f>
        <v>Si</v>
      </c>
      <c r="AK146" s="17" t="str">
        <f ca="1">IFERROR(__xludf.DUMMYFUNCTION("""COMPUTED_VALUE"""),"Si")</f>
        <v>Si</v>
      </c>
      <c r="AL146" s="17" t="str">
        <f ca="1">IFERROR(__xludf.DUMMYFUNCTION("""COMPUTED_VALUE"""),"Si")</f>
        <v>Si</v>
      </c>
      <c r="AM146" s="17" t="str">
        <f ca="1">IFERROR(__xludf.DUMMYFUNCTION("""COMPUTED_VALUE"""),"Si")</f>
        <v>Si</v>
      </c>
      <c r="AN146" s="17" t="str">
        <f ca="1">IFERROR(__xludf.DUMMYFUNCTION("""COMPUTED_VALUE"""),"Si")</f>
        <v>Si</v>
      </c>
      <c r="AO146" s="17" t="str">
        <f ca="1">IFERROR(__xludf.DUMMYFUNCTION("""COMPUTED_VALUE"""),"Si")</f>
        <v>Si</v>
      </c>
      <c r="AP146" s="17" t="str">
        <f ca="1">IFERROR(__xludf.DUMMYFUNCTION("""COMPUTED_VALUE"""),"Si")</f>
        <v>Si</v>
      </c>
      <c r="AQ146" s="17" t="str">
        <f ca="1">IFERROR(__xludf.DUMMYFUNCTION("""COMPUTED_VALUE"""),"No")</f>
        <v>No</v>
      </c>
      <c r="AR146" s="17" t="str">
        <f ca="1">IFERROR(__xludf.DUMMYFUNCTION("""COMPUTED_VALUE"""),"No")</f>
        <v>No</v>
      </c>
      <c r="AS146" s="15" t="str">
        <f ca="1">IFERROR(__xludf.DUMMYFUNCTION("""COMPUTED_VALUE"""),"No aplica")</f>
        <v>No aplica</v>
      </c>
      <c r="AT146" s="15" t="str">
        <f ca="1">IFERROR(__xludf.DUMMYFUNCTION("""COMPUTED_VALUE"""),"Recomendaciones: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2. Fortalecer la descripción de los controles, considerando la metodología de la Guía para la Administración del Riesgo y el diseño de controles en entidades públicas Versión 7, que propone los elementos para el diseñ"&amp;"o del control: Responsable+Acción+Complemento.
3. Mejorar la calidad de la evidencia, toda vez que se aportó revidencia de la ejecución del control N° 3. Se requiere que la evidencia sea competente, es decir con calidad en relación a su relevancia y confi"&amp;"abilidad y suficiente en términos de cantidad y completitud, que permita demostrar de manera íntegra el hecho.")</f>
        <v>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2. Fortalecer la descripción de los controles, considerando la metodología de la Guía para la Administración del Riesgo y el diseño de controles en entidades públicas Versión 7, que propone los elementos para el diseño del control: Responsable+Acción+Complemento.
3. Mejorar la calidad de la evidencia, toda vez que se aportó revidencia de la ejecución del control N° 3. Se requiere que la evidencia sea competente, es decir con calidad en relación a su relevancia y confiabilidad y suficiente en términos de cantidad y completitud, que permita demostrar de manera íntegra el hecho.</v>
      </c>
      <c r="AU146" s="10"/>
    </row>
    <row r="147" spans="1:47" x14ac:dyDescent="0.25">
      <c r="A147" s="25"/>
      <c r="B147" s="86"/>
      <c r="C147" s="86"/>
      <c r="D147" s="64"/>
      <c r="E147" s="64"/>
      <c r="F147" s="64"/>
      <c r="G147" s="64"/>
      <c r="H147" s="64"/>
      <c r="I147" s="64"/>
      <c r="J147" s="64"/>
      <c r="K147" s="64"/>
      <c r="L147" s="64"/>
      <c r="M147" s="64"/>
      <c r="N147" s="64"/>
      <c r="O147" s="64"/>
      <c r="P147" s="64"/>
      <c r="Q147" s="83"/>
      <c r="R147" s="20" t="str">
        <f ca="1">IFERROR(__xludf.DUMMYFUNCTION("""COMPUTED_VALUE"""),"")</f>
        <v/>
      </c>
      <c r="S147" s="42" t="str">
        <f ca="1">IFERROR(__xludf.DUMMYFUNCTION("""COMPUTED_VALUE"""),"")</f>
        <v/>
      </c>
      <c r="T147" s="34"/>
      <c r="U147" s="20"/>
      <c r="V147" s="89"/>
      <c r="W147" s="89"/>
      <c r="X147" s="89"/>
      <c r="Y147" s="89"/>
      <c r="Z147" s="15" t="str">
        <f ca="1">IFERROR(__xludf.DUMMYFUNCTION("""COMPUTED_VALUE"""),"30 de agosto")</f>
        <v>30 de agosto</v>
      </c>
      <c r="AA147" s="17"/>
      <c r="AB147" s="17"/>
      <c r="AC147" s="15"/>
      <c r="AD147" s="17"/>
      <c r="AE147" s="18" t="str">
        <f ca="1">IFERROR(__xludf.DUMMYFUNCTION("""COMPUTED_VALUE"""),"Evidencia")</f>
        <v>Evidencia</v>
      </c>
      <c r="AF147" s="15"/>
      <c r="AG147" s="15"/>
      <c r="AH147" s="15"/>
      <c r="AI147" s="24" t="str">
        <f ca="1">IFERROR(__xludf.DUMMYFUNCTION("""COMPUTED_VALUE"""),"31 de agosto")</f>
        <v>31 de agosto</v>
      </c>
      <c r="AJ147" s="17"/>
      <c r="AK147" s="17"/>
      <c r="AL147" s="17"/>
      <c r="AM147" s="17"/>
      <c r="AN147" s="17"/>
      <c r="AO147" s="17"/>
      <c r="AP147" s="17"/>
      <c r="AQ147" s="17"/>
      <c r="AR147" s="17"/>
      <c r="AS147" s="15"/>
      <c r="AT147" s="15"/>
      <c r="AU147" s="10"/>
    </row>
    <row r="148" spans="1:47" x14ac:dyDescent="0.25">
      <c r="A148" s="25"/>
      <c r="B148" s="86"/>
      <c r="C148" s="86"/>
      <c r="D148" s="61"/>
      <c r="E148" s="61"/>
      <c r="F148" s="61"/>
      <c r="G148" s="61"/>
      <c r="H148" s="61"/>
      <c r="I148" s="61"/>
      <c r="J148" s="61"/>
      <c r="K148" s="61"/>
      <c r="L148" s="61"/>
      <c r="M148" s="61"/>
      <c r="N148" s="61"/>
      <c r="O148" s="61"/>
      <c r="P148" s="61"/>
      <c r="Q148" s="84"/>
      <c r="R148" s="26" t="str">
        <f ca="1">IFERROR(__xludf.DUMMYFUNCTION("""COMPUTED_VALUE"""),"")</f>
        <v/>
      </c>
      <c r="S148" s="43" t="str">
        <f ca="1">IFERROR(__xludf.DUMMYFUNCTION("""COMPUTED_VALUE"""),"")</f>
        <v/>
      </c>
      <c r="T148" s="38"/>
      <c r="U148" s="26"/>
      <c r="V148" s="76"/>
      <c r="W148" s="76"/>
      <c r="X148" s="76"/>
      <c r="Y148" s="76"/>
      <c r="Z148" s="15" t="str">
        <f ca="1">IFERROR(__xludf.DUMMYFUNCTION("""COMPUTED_VALUE"""),"30 de diciembre")</f>
        <v>30 de diciembre</v>
      </c>
      <c r="AA148" s="17"/>
      <c r="AB148" s="17"/>
      <c r="AC148" s="15"/>
      <c r="AD148" s="17"/>
      <c r="AE148" s="18" t="str">
        <f ca="1">IFERROR(__xludf.DUMMYFUNCTION("""COMPUTED_VALUE"""),"Evidencia")</f>
        <v>Evidencia</v>
      </c>
      <c r="AF148" s="15"/>
      <c r="AG148" s="15"/>
      <c r="AH148" s="15"/>
      <c r="AI148" s="24" t="str">
        <f ca="1">IFERROR(__xludf.DUMMYFUNCTION("""COMPUTED_VALUE"""),"31 de diciembre")</f>
        <v>31 de diciembre</v>
      </c>
      <c r="AJ148" s="17"/>
      <c r="AK148" s="17"/>
      <c r="AL148" s="17"/>
      <c r="AM148" s="17"/>
      <c r="AN148" s="17"/>
      <c r="AO148" s="17"/>
      <c r="AP148" s="17"/>
      <c r="AQ148" s="17"/>
      <c r="AR148" s="17"/>
      <c r="AS148" s="15"/>
      <c r="AT148" s="15"/>
      <c r="AU148" s="10"/>
    </row>
    <row r="149" spans="1:47" ht="180" x14ac:dyDescent="0.25">
      <c r="A149" s="25"/>
      <c r="B149" s="86"/>
      <c r="C149" s="86"/>
      <c r="D149" s="63" t="str">
        <f ca="1">IFERROR(__xludf.DUMMYFUNCTION("""COMPUTED_VALUE"""),"Afectación económica y reputacional por falta de disponibilidad de los servicios tecnológicos gestionados por la Oficina de Sistemas debido a fallas eléctricas, errores humanos, ataques informáticos, fallos tecnológicos, entre otros.")</f>
        <v>Afectación económica y reputacional por falta de disponibilidad de los servicios tecnológicos gestionados por la Oficina de Sistemas debido a fallas eléctricas, errores humanos, ataques informáticos, fallos tecnológicos, entre otros.</v>
      </c>
      <c r="E149" s="63" t="str">
        <f ca="1">IFERROR(__xludf.DUMMYFUNCTION("""COMPUTED_VALUE"""),"Oficina de sistemas")</f>
        <v>Oficina de sistemas</v>
      </c>
      <c r="F149" s="63" t="str">
        <f ca="1">IFERROR(__xludf.DUMMYFUNCTION("""COMPUTED_VALUE"""),"Tecnológico")</f>
        <v>Tecnológico</v>
      </c>
      <c r="G149" s="63" t="str">
        <f ca="1">IFERROR(__xludf.DUMMYFUNCTION("""COMPUTED_VALUE"""),"- Fallos en la red eléctrica
- Falta de soporte, mantenimiento u obsolescencia de la infraestructura tecnológica que soporta los servicios gestionados por la Oficina de Sistemas
- Ataques informáticos (cibernéticos)
- Fallos en la conectividad a internet")</f>
        <v>- Fallos en la red eléctrica
- Falta de soporte, mantenimiento u obsolescencia de la infraestructura tecnológica que soporta los servicios gestionados por la Oficina de Sistemas
- Ataques informáticos (cibernéticos)
- Fallos en la conectividad a internet</v>
      </c>
      <c r="H149" s="63" t="str">
        <f ca="1">IFERROR(__xludf.DUMMYFUNCTION("""COMPUTED_VALUE"""),"1. No disponibilidad de la información
2. Retraso en la prestación de los servicios
3. Sanciones legales o disciplinarias
4. Pérdida reputacional por quejas de los grupos de valor")</f>
        <v>1. No disponibilidad de la información
2. Retraso en la prestación de los servicios
3. Sanciones legales o disciplinarias
4. Pérdida reputacional por quejas de los grupos de valor</v>
      </c>
      <c r="I149" s="65" t="str">
        <f ca="1">IFERROR(__xludf.DUMMYFUNCTION("""COMPUTED_VALUE"""),"GRT_02")</f>
        <v>GRT_02</v>
      </c>
      <c r="J149" s="65" t="str">
        <f ca="1">IFERROR(__xludf.DUMMYFUNCTION("""COMPUTED_VALUE"""),"Media")</f>
        <v>Media</v>
      </c>
      <c r="K149" s="65" t="str">
        <f ca="1">IFERROR(__xludf.DUMMYFUNCTION("""COMPUTED_VALUE"""),"Moderado")</f>
        <v>Moderado</v>
      </c>
      <c r="L149" s="65" t="str">
        <f ca="1">IFERROR(__xludf.DUMMYFUNCTION("""COMPUTED_VALUE"""),"Alta")</f>
        <v>Alta</v>
      </c>
      <c r="M149" s="63" t="str">
        <f ca="1">IFERROR(__xludf.DUMMYFUNCTION("""COMPUTED_VALUE"""),"- El personal de la oficina de Sistemas trasladó los servidores que alojan los servicios de mayor uso a la Sede San Antonio, además, los conectó a la UPS con el fin de garantizar su funcionamiento en caso de fallos en el servicios de electricidad.
- Desde"&amp;" la oficina de Sistemas se implementa el uso de software antivirus, que además de proteger los end point, protege las cuentas de correo electrónico institucional de los docentes, administrativos, CPS y unidades acaemico administrativas con el propósito de"&amp;" prevenir y mitigar la propagación de software malicioso dentro de la red de la Universidad 
- El personal de la oficina de Sistemas sensibiliza a la comunidad universitaria en temas de seguridad digital, con el fin de evitar amenazas informáticas.
- El s"&amp;"ervicio de internet contratado incluye canales de backup, que garantizan la disponiblidad de la conectividad a internet, en caso de que el canal principal presente fallos. - Se tiene configurado Firewall en los servidores de la Universidad, con el fin evi"&amp;"tar accesos externos.")</f>
        <v>- El personal de la oficina de Sistemas trasladó los servidores que alojan los servicios de mayor uso a la Sede San Antonio, además, los conectó a la UPS con el fin de garantizar su funcionamiento en caso de fallos en el servicios de electricidad.
- Desde la oficina de Sistemas se implementa el uso de software antivirus, que además de proteger los end point, protege las cuentas de correo electrónico institucional de los docentes, administrativos, CPS y unidades acaemico administrativas con el propósito de prevenir y mitigar la propagación de software malicioso dentro de la red de la Universidad 
- El personal de la oficina de Sistemas sensibiliza a la comunidad universitaria en temas de seguridad digital, con el fin de evitar amenazas informáticas.
- El servicio de internet contratado incluye canales de backup, que garantizan la disponiblidad de la conectividad a internet, en caso de que el canal principal presente fallos. - Se tiene configurado Firewall en los servidores de la Universidad, con el fin evitar accesos externos.</v>
      </c>
      <c r="N149" s="65" t="str">
        <f ca="1">IFERROR(__xludf.DUMMYFUNCTION("""COMPUTED_VALUE"""),"Muy baja")</f>
        <v>Muy baja</v>
      </c>
      <c r="O149" s="65" t="str">
        <f ca="1">IFERROR(__xludf.DUMMYFUNCTION("""COMPUTED_VALUE"""),"Menor")</f>
        <v>Menor</v>
      </c>
      <c r="P149" s="65" t="str">
        <f ca="1">IFERROR(__xludf.DUMMYFUNCTION("""COMPUTED_VALUE"""),"Baja")</f>
        <v>Baja</v>
      </c>
      <c r="Q149" s="91" t="str">
        <f ca="1">IFERROR(__xludf.DUMMYFUNCTION("""COMPUTED_VALUE"""),"Aceptar")</f>
        <v>Aceptar</v>
      </c>
      <c r="R149" s="20" t="str">
        <f ca="1">IFERROR(__xludf.DUMMYFUNCTION("""COMPUTED_VALUE"""),"No se establecen acciones de tratamiento, sin embargo, se monitoreal el riesgo")</f>
        <v>No se establecen acciones de tratamiento, sin embargo, se monitoreal el riesgo</v>
      </c>
      <c r="S149" s="40" t="str">
        <f ca="1">IFERROR(__xludf.DUMMYFUNCTION("""COMPUTED_VALUE"""),"-")</f>
        <v>-</v>
      </c>
      <c r="T149" s="32" t="str">
        <f ca="1">IFERROR(__xludf.DUMMYFUNCTION("""COMPUTED_VALUE"""),"-")</f>
        <v>-</v>
      </c>
      <c r="U149" s="41" t="str">
        <f ca="1">IFERROR(__xludf.DUMMYFUNCTION("""COMPUTED_VALUE"""),"-")</f>
        <v>-</v>
      </c>
      <c r="V149" s="92" t="str">
        <f ca="1">IFERROR(__xludf.DUMMYFUNCTION("""COMPUTED_VALUE"""),"- Gestionar recursos para adquisición, renovación y mantenimiento de infraestructura tecnológica.
- Poner en funcionamiento un sistema de respaldo eléctrico cuando la UPS cumpla con la capacidad de tiempo de respaldo.
- Restaurar los sistemas de informaci"&amp;"ón a partir de los backups disponibles.
- Solicitar soporte al proveedor de internet y de ser necesario aplicar los Acuerdos de Niveles de Servicio (ANS) establecidos en el contrato.")</f>
        <v>- Gestionar recursos para adquisición, renovación y mantenimiento de infraestructura tecnológica.
- Poner en funcionamiento un sistema de respaldo eléctrico cuando la UPS cumpla con la capacidad de tiempo de respaldo.
- Restaurar los sistemas de información a partir de los backups disponibles.
- Solicitar soporte al proveedor de internet y de ser necesario aplicar los Acuerdos de Niveles de Servicio (ANS) establecidos en el contrato.</v>
      </c>
      <c r="W149" s="97" t="str">
        <f ca="1">IFERROR(__xludf.DUMMYFUNCTION("""COMPUTED_VALUE"""),"- Solicitud a la Oficina de Planeación y Vicerrectoría de Recursos.
- Solicitud al eléctrico de la Universidad.
-Solicitud de restauración de la información al Administrador de Base de datos
-Reporte del incidente al Proveedor del servicio de Internet")</f>
        <v>- Solicitud a la Oficina de Planeación y Vicerrectoría de Recursos.
- Solicitud al eléctrico de la Universidad.
-Solicitud de restauración de la información al Administrador de Base de datos
-Reporte del incidente al Proveedor del servicio de Internet</v>
      </c>
      <c r="X149" s="97" t="str">
        <f ca="1">IFERROR(__xludf.DUMMYFUNCTION("""COMPUTED_VALUE"""),"- Jefe Oficina Sistemas.
- Jefe de Servicios Generales.")</f>
        <v>- Jefe Oficina Sistemas.
- Jefe de Servicios Generales.</v>
      </c>
      <c r="Y149" s="97" t="str">
        <f ca="1">IFERROR(__xludf.DUMMYFUNCTION("""COMPUTED_VALUE"""),"- 15 días
- 1 hora")</f>
        <v>- 15 días
- 1 hora</v>
      </c>
      <c r="Z149" s="15" t="str">
        <f ca="1">IFERROR(__xludf.DUMMYFUNCTION("""COMPUTED_VALUE"""),"30 de abril")</f>
        <v>30 de abril</v>
      </c>
      <c r="AA149" s="17" t="str">
        <f ca="1">IFERROR(__xludf.DUMMYFUNCTION("""COMPUTED_VALUE"""),"Durante el período")</f>
        <v>Durante el período</v>
      </c>
      <c r="AB149" s="17" t="str">
        <f ca="1">IFERROR(__xludf.DUMMYFUNCTION("""COMPUTED_VALUE"""),"Si")</f>
        <v>Si</v>
      </c>
      <c r="AC149" s="15" t="str">
        <f ca="1">IFERROR(__xludf.DUMMYFUNCTION("""COMPUTED_VALUE"""),"Respecto a los controles implementados se realizaron las siguientes acciones:
*Se realizó la gestión para la renovación de las 1000 licencias de software antivirus para la vigencia del año en curso.
*Se brindó soporte y mantenimiento a la infraestructura "&amp;"tecnológica que lo requería.
*Se realizó el envío de mensajes informativos mediante correo electrónico para sensiblizar al personal en temas de seguridad de la información.
*Se realizó la actualización y reconfiguración de SIDs en los enlaces de datos par"&amp;"a optimizar el enrutamiento de tráfico y mejorar la seguridad perimetral, reduciendo la exposición a accesos externos no autorizados.
*Se gestionó y ejecutó la ampliación del ancho de banda (BW) en los canales de internet institucionales, garantizando la "&amp;"estabilidad de los servicios académicos y administrativos ante el incremento del tráfico digital y asegurando la suficiencia del canal de backup.
*Se realizó la ampliación de recursos en la infraestructura Cloud, asegurando que las aplicaciones web cuente"&amp;"n con la capacidad de procesamiento necesaria para mantener su operatividad frente a ataques informáticos o incrementos súbitos de tráfico.
Se atendió la materialización del riesgo por ataque de malware que afectó el servidor que alojaba algunos aplicati"&amp;"vos y subdominios. Para garantizar la seguridad, se realizó el aislamiento del entorno afectado y la migración a un nuevo servidor limpio. Se logró la recuperación del servicio mediante la restauración de bases de datos desde backups para la mayoría de lo"&amp;"s aplicativos, mientras que para uno de ellos se realizó la reinstalación y configuración completa de su base de datos. La operación fue normalizada garantizando la integridad y disponibilidad de los sistemas.")</f>
        <v>Respecto a los controles implementados se realizaron las siguientes acciones:
*Se realizó la gestión para la renovación de las 1000 licencias de software antivirus para la vigencia del año en curso.
*Se brindó soporte y mantenimiento a la infraestructura tecnológica que lo requería.
*Se realizó el envío de mensajes informativos mediante correo electrónico para sensiblizar al personal en temas de seguridad de la información.
*Se realizó la actualización y reconfiguración de SIDs en los enlaces de datos para optimizar el enrutamiento de tráfico y mejorar la seguridad perimetral, reduciendo la exposición a accesos externos no autorizados.
*Se gestionó y ejecutó la ampliación del ancho de banda (BW) en los canales de internet institucionales, garantizando la estabilidad de los servicios académicos y administrativos ante el incremento del tráfico digital y asegurando la suficiencia del canal de backup.
*Se realizó la ampliación de recursos en la infraestructura Cloud, asegurando que las aplicaciones web cuenten con la capacidad de procesamiento necesaria para mantener su operatividad frente a ataques informáticos o incrementos súbitos de tráfico.
Se atendió la materialización del riesgo por ataque de malware que afectó el servidor que alojaba algunos aplicativos y subdominios. Para garantizar la seguridad, se realizó el aislamiento del entorno afectado y la migración a un nuevo servidor limpio. Se logró la recuperación del servicio mediante la restauración de bases de datos desde backups para la mayoría de los aplicativos, mientras que para uno de ellos se realizó la reinstalación y configuración completa de su base de datos. La operación fue normalizada garantizando la integridad y disponibilidad de los sistemas.</v>
      </c>
      <c r="AD149" s="17" t="str">
        <f ca="1">IFERROR(__xludf.DUMMYFUNCTION("""COMPUTED_VALUE"""),"Oficina de Sistemas")</f>
        <v>Oficina de Sistemas</v>
      </c>
      <c r="AE149" s="18" t="str">
        <f ca="1">IFERROR(__xludf.DUMMYFUNCTION("""COMPUTED_VALUE"""),"Evidencia")</f>
        <v>Evidencia</v>
      </c>
      <c r="AF149" s="15" t="str">
        <f ca="1">IFERROR(__xludf.DUMMYFUNCTION("""COMPUTED_VALUE"""),"No")</f>
        <v>No</v>
      </c>
      <c r="AG149" s="15" t="str">
        <f ca="1">IFERROR(__xludf.DUMMYFUNCTION("""COMPUTED_VALUE"""),"En proceso")</f>
        <v>En proceso</v>
      </c>
      <c r="AH149" s="15" t="str">
        <f ca="1">IFERROR(__xludf.DUMMYFUNCTION("""COMPUTED_VALUE"""),"C1-C5: Se evidencian soportes relacionados con antivirus, conectividad, restauración de servicios y campañas de sensibilización; sin embargo, las evidencias no se encuentran organizadas por cada control establecido en la matriz, lo que dificulta su trazab"&amp;"ilidad y validación. Adicionalmente, algunas actividades descritas en el monitoreo no guardan relación clara con los soportes cargados.
Materialización del riesgo: Aunque se reporta la materialización del riesgo por ataque de malware y se describen accio"&amp;"nes de contingencia y recuperación, no se evidenció una carpeta o soportes específicos que permitan validar el manejo del incidente presentado. Se recomienda incorporar evidencias independientes relacionadas con la atención, recuperación y restablecimient"&amp;"o del servicio frente al riesgo materializado.
Conclusión: Se requiere fortalecer la organización y coherencia documental del monitoreo, estructurando carpetas por cada control y una carpeta adicional con las evidencias específicas de la gestión del ries"&amp;"go materializado, facilitando así la verificación y trazabilidad de las acciones ejecutadas.")</f>
        <v>C1-C5: Se evidencian soportes relacionados con antivirus, conectividad, restauración de servicios y campañas de sensibilización; sin embargo, las evidencias no se encuentran organizadas por cada control establecido en la matriz, lo que dificulta su trazabilidad y validación. Adicionalmente, algunas actividades descritas en el monitoreo no guardan relación clara con los soportes cargados.
Materialización del riesgo: Aunque se reporta la materialización del riesgo por ataque de malware y se describen acciones de contingencia y recuperación, no se evidenció una carpeta o soportes específicos que permitan validar el manejo del incidente presentado. Se recomienda incorporar evidencias independientes relacionadas con la atención, recuperación y restablecimiento del servicio frente al riesgo materializado.
Conclusión: Se requiere fortalecer la organización y coherencia documental del monitoreo, estructurando carpetas por cada control y una carpeta adicional con las evidencias específicas de la gestión del riesgo materializado, facilitando así la verificación y trazabilidad de las acciones ejecutadas.</v>
      </c>
      <c r="AI149" s="24" t="str">
        <f ca="1">IFERROR(__xludf.DUMMYFUNCTION("""COMPUTED_VALUE"""),"30 de abril")</f>
        <v>30 de abril</v>
      </c>
      <c r="AJ149" s="17" t="str">
        <f ca="1">IFERROR(__xludf.DUMMYFUNCTION("""COMPUTED_VALUE"""),"Si")</f>
        <v>Si</v>
      </c>
      <c r="AK149" s="17" t="str">
        <f ca="1">IFERROR(__xludf.DUMMYFUNCTION("""COMPUTED_VALUE"""),"Si")</f>
        <v>Si</v>
      </c>
      <c r="AL149" s="17" t="str">
        <f ca="1">IFERROR(__xludf.DUMMYFUNCTION("""COMPUTED_VALUE"""),"Si")</f>
        <v>Si</v>
      </c>
      <c r="AM149" s="17" t="str">
        <f ca="1">IFERROR(__xludf.DUMMYFUNCTION("""COMPUTED_VALUE"""),"Si")</f>
        <v>Si</v>
      </c>
      <c r="AN149" s="17" t="str">
        <f ca="1">IFERROR(__xludf.DUMMYFUNCTION("""COMPUTED_VALUE"""),"Si")</f>
        <v>Si</v>
      </c>
      <c r="AO149" s="17" t="str">
        <f ca="1">IFERROR(__xludf.DUMMYFUNCTION("""COMPUTED_VALUE"""),"Si")</f>
        <v>Si</v>
      </c>
      <c r="AP149" s="17" t="str">
        <f ca="1">IFERROR(__xludf.DUMMYFUNCTION("""COMPUTED_VALUE"""),"Si")</f>
        <v>Si</v>
      </c>
      <c r="AQ149" s="17" t="str">
        <f ca="1">IFERROR(__xludf.DUMMYFUNCTION("""COMPUTED_VALUE"""),"No")</f>
        <v>No</v>
      </c>
      <c r="AR149" s="17" t="str">
        <f ca="1">IFERROR(__xludf.DUMMYFUNCTION("""COMPUTED_VALUE"""),"No")</f>
        <v>No</v>
      </c>
      <c r="AS149" s="15" t="str">
        <f ca="1">IFERROR(__xludf.DUMMYFUNCTION("""COMPUTED_VALUE"""),"No aplica")</f>
        <v>No aplica</v>
      </c>
      <c r="AT149" s="15" t="str">
        <f ca="1">IFERROR(__xludf.DUMMYFUNCTION("""COMPUTED_VALUE"""),"Recomendaciones:
1. Fortalecer la descripción del riesgo, considerando la metodología de la Guía para la Administración del Riesgo y el diseño de controles en entidades públicas Versión 7, que propone los elementos para la descripción del riesgo, como son"&amp;": 
Impacto+Causa Inmediata+Causa Raíz. Así mismo inicar la descripción con el término ""Posibilidad de"" como lo indica la guía metodológica.
2. Fortalecer la descripción de los controles, considerando la metodología de la Guía para la Administración del "&amp;"Riesgo y el diseño de controles en entidades públicas Versión 7, que propone los elementos para el diseño del control: Responsable+Acción+Complemento.
3.Frente a la materialización del riesgo:
3.1. Evaluar por qué fallaron los controles existentes, con el"&amp;" fin de actualizar la valoración del riesgo y sus factores asociados.
3.2. Revaluar los controles para prevenir una nueva materialización. Esto puede incluir el diseño de nuevos controles o la mejora de los actuales, considerando los indicadores clave de "&amp;"riesgos según lo propuesto en la Guía para la Administración del Riesgo y el diseño de controles en entidades públicas Versión 7.")</f>
        <v>Recomendaciones:
1. Fortalecer la descripción del riesgo, considerando la metodología de la Guía para la Administración del Riesgo y el diseño de controles en entidades públicas Versión 7, que propone los elementos para la descripción del riesgo, como son: 
Impacto+Causa Inmediata+Causa Raíz. Así mismo inicar la descripción con el término "Posibilidad de" como lo indica la guía metodológica.
2. Fortalecer la descripción de los controles, considerando la metodología de la Guía para la Administración del Riesgo y el diseño de controles en entidades públicas Versión 7, que propone los elementos para el diseño del control: Responsable+Acción+Complemento.
3.Frente a la materialización del riesgo:
3.1. Evaluar por qué fallaron los controles existentes, con el fin de actualizar la valoración del riesgo y sus factores asociados.
3.2. Revaluar los controles para prevenir una nueva materialización. Esto puede incluir el diseño de nuevos controles o la mejora de los actuales, considerando los indicadores clave de riesgos según lo propuesto en la Guía para la Administración del Riesgo y el diseño de controles en entidades públicas Versión 7.</v>
      </c>
      <c r="AU149" s="10"/>
    </row>
    <row r="150" spans="1:47" x14ac:dyDescent="0.25">
      <c r="A150" s="25"/>
      <c r="B150" s="86"/>
      <c r="C150" s="86"/>
      <c r="D150" s="64"/>
      <c r="E150" s="64"/>
      <c r="F150" s="64"/>
      <c r="G150" s="64"/>
      <c r="H150" s="64"/>
      <c r="I150" s="64"/>
      <c r="J150" s="64"/>
      <c r="K150" s="64"/>
      <c r="L150" s="64"/>
      <c r="M150" s="64"/>
      <c r="N150" s="64"/>
      <c r="O150" s="64"/>
      <c r="P150" s="64"/>
      <c r="Q150" s="83"/>
      <c r="R150" s="20" t="str">
        <f ca="1">IFERROR(__xludf.DUMMYFUNCTION("""COMPUTED_VALUE"""),"")</f>
        <v/>
      </c>
      <c r="S150" s="42" t="str">
        <f ca="1">IFERROR(__xludf.DUMMYFUNCTION("""COMPUTED_VALUE"""),"")</f>
        <v/>
      </c>
      <c r="T150" s="34"/>
      <c r="U150" s="20"/>
      <c r="V150" s="89"/>
      <c r="W150" s="89"/>
      <c r="X150" s="89"/>
      <c r="Y150" s="89"/>
      <c r="Z150" s="15" t="str">
        <f ca="1">IFERROR(__xludf.DUMMYFUNCTION("""COMPUTED_VALUE"""),"30 de agosto")</f>
        <v>30 de agosto</v>
      </c>
      <c r="AA150" s="17"/>
      <c r="AB150" s="17"/>
      <c r="AC150" s="15"/>
      <c r="AD150" s="17"/>
      <c r="AE150" s="18" t="str">
        <f ca="1">IFERROR(__xludf.DUMMYFUNCTION("""COMPUTED_VALUE"""),"Evidencia")</f>
        <v>Evidencia</v>
      </c>
      <c r="AF150" s="15"/>
      <c r="AG150" s="15"/>
      <c r="AH150" s="15"/>
      <c r="AI150" s="24" t="str">
        <f ca="1">IFERROR(__xludf.DUMMYFUNCTION("""COMPUTED_VALUE"""),"31 de agosto")</f>
        <v>31 de agosto</v>
      </c>
      <c r="AJ150" s="17"/>
      <c r="AK150" s="17"/>
      <c r="AL150" s="17"/>
      <c r="AM150" s="17"/>
      <c r="AN150" s="17"/>
      <c r="AO150" s="17"/>
      <c r="AP150" s="17"/>
      <c r="AQ150" s="17"/>
      <c r="AR150" s="17"/>
      <c r="AS150" s="15"/>
      <c r="AT150" s="15"/>
      <c r="AU150" s="10"/>
    </row>
    <row r="151" spans="1:47" x14ac:dyDescent="0.25">
      <c r="A151" s="25"/>
      <c r="B151" s="87"/>
      <c r="C151" s="87"/>
      <c r="D151" s="61"/>
      <c r="E151" s="61"/>
      <c r="F151" s="61"/>
      <c r="G151" s="61"/>
      <c r="H151" s="61"/>
      <c r="I151" s="61"/>
      <c r="J151" s="61"/>
      <c r="K151" s="61"/>
      <c r="L151" s="61"/>
      <c r="M151" s="61"/>
      <c r="N151" s="61"/>
      <c r="O151" s="61"/>
      <c r="P151" s="61"/>
      <c r="Q151" s="84"/>
      <c r="R151" s="26" t="str">
        <f ca="1">IFERROR(__xludf.DUMMYFUNCTION("""COMPUTED_VALUE"""),"")</f>
        <v/>
      </c>
      <c r="S151" s="43" t="str">
        <f ca="1">IFERROR(__xludf.DUMMYFUNCTION("""COMPUTED_VALUE"""),"")</f>
        <v/>
      </c>
      <c r="T151" s="38"/>
      <c r="U151" s="26"/>
      <c r="V151" s="76"/>
      <c r="W151" s="76"/>
      <c r="X151" s="76"/>
      <c r="Y151" s="76"/>
      <c r="Z151" s="15" t="str">
        <f ca="1">IFERROR(__xludf.DUMMYFUNCTION("""COMPUTED_VALUE"""),"30 de diciembre")</f>
        <v>30 de diciembre</v>
      </c>
      <c r="AA151" s="17"/>
      <c r="AB151" s="17"/>
      <c r="AC151" s="15"/>
      <c r="AD151" s="17"/>
      <c r="AE151" s="18" t="str">
        <f ca="1">IFERROR(__xludf.DUMMYFUNCTION("""COMPUTED_VALUE"""),"Evidencia")</f>
        <v>Evidencia</v>
      </c>
      <c r="AF151" s="15"/>
      <c r="AG151" s="15"/>
      <c r="AH151" s="15"/>
      <c r="AI151" s="24" t="str">
        <f ca="1">IFERROR(__xludf.DUMMYFUNCTION("""COMPUTED_VALUE"""),"31 de diciembre")</f>
        <v>31 de diciembre</v>
      </c>
      <c r="AJ151" s="17"/>
      <c r="AK151" s="17"/>
      <c r="AL151" s="17"/>
      <c r="AM151" s="17"/>
      <c r="AN151" s="17"/>
      <c r="AO151" s="17"/>
      <c r="AP151" s="17"/>
      <c r="AQ151" s="17"/>
      <c r="AR151" s="17"/>
      <c r="AS151" s="15"/>
      <c r="AT151" s="15"/>
      <c r="AU151" s="10"/>
    </row>
    <row r="152" spans="1:47" ht="120" x14ac:dyDescent="0.25">
      <c r="A152" s="25"/>
      <c r="B152" s="90" t="s">
        <v>72</v>
      </c>
      <c r="C152" s="119" t="str">
        <f ca="1">IFERROR(__xludf.DUMMYFUNCTION("IMPORTRANGE(""https://docs.google.com/spreadsheets/d/1yl6EDyBXX041oC7mZHcmU72XFYXVHEArcbiEGYtq8bk/edit?gid=2098233099#gid=2098233099"",""Matriz_riesgos!C11:AT13"")"),"Gestionar la documentación física y electrónica producida y recibida por la Universidad, abarcando todas las fases del ciclo vital de los documentos (planeación, recepción, producción, gestión, organización, consulta, conservación y disposición final). Es"&amp;"te proceso, en el marco del concepto de Archivo Total, asegura la conservación de los documentos para su acceso por la administración, las partes interesadas y para preservar la historia institucional.")</f>
        <v>Gestionar la documentación física y electrónica producida y recibida por la Universidad, abarcando todas las fases del ciclo vital de los documentos (planeación, recepción, producción, gestión, organización, consulta, conservación y disposición final). Este proceso, en el marco del concepto de Archivo Total, asegura la conservación de los documentos para su acceso por la administración, las partes interesadas y para preservar la historia institucional.</v>
      </c>
      <c r="D152" s="88" t="str">
        <f ca="1">IFERROR(__xludf.DUMMYFUNCTION("""COMPUTED_VALUE"""),"Posibilidad de afectación económica y reputacional por pérdida de la información o documentación física o electrónica, debido a fallas en la aplicación de controles en la gestión de esta")</f>
        <v>Posibilidad de afectación económica y reputacional por pérdida de la información o documentación física o electrónica, debido a fallas en la aplicación de controles en la gestión de esta</v>
      </c>
      <c r="E152" s="63" t="str">
        <f ca="1">IFERROR(__xludf.DUMMYFUNCTION("""COMPUTED_VALUE"""),"Oficina de correspondencia y archivo")</f>
        <v>Oficina de correspondencia y archivo</v>
      </c>
      <c r="F152" s="63" t="str">
        <f ca="1">IFERROR(__xludf.DUMMYFUNCTION("""COMPUTED_VALUE"""),"Gestión")</f>
        <v>Gestión</v>
      </c>
      <c r="G152" s="63" t="str">
        <f ca="1">IFERROR(__xludf.DUMMYFUNCTION("""COMPUTED_VALUE"""),"- Acceso no controlados a la información física o electrónica
- Traslados documentales no controlados
- Depósitos insuficientes, en malas condiciones o sin mantenimiento adecuado
- Eliminaciones documentales no controladas o autorizadas")</f>
        <v>- Acceso no controlados a la información física o electrónica
- Traslados documentales no controlados
- Depósitos insuficientes, en malas condiciones o sin mantenimiento adecuado
- Eliminaciones documentales no controladas o autorizadas</v>
      </c>
      <c r="H152" s="63" t="str">
        <f ca="1">IFERROR(__xludf.DUMMYFUNCTION("""COMPUTED_VALUE"""),"1. Pérdida de documentos escenciales de la Institución
2. Falta de transparencia Institucional
3. Falta de integridad la información de la Institución
4. Intervención de órganos de control
5. Pérdida de demandas y litigios
6. Falta de evidencias documenta"&amp;"les
7. Detrimentro patrimonial
8. Afectación a derechos ciudadanos")</f>
        <v>1. Pérdida de documentos escenciales de la Institución
2. Falta de transparencia Institucional
3. Falta de integridad la información de la Institución
4. Intervención de órganos de control
5. Pérdida de demandas y litigios
6. Falta de evidencias documentales
7. Detrimentro patrimonial
8. Afectación a derechos ciudadanos</v>
      </c>
      <c r="I152" s="65" t="str">
        <f ca="1">IFERROR(__xludf.DUMMYFUNCTION("""COMPUTED_VALUE"""),"GDC_01")</f>
        <v>GDC_01</v>
      </c>
      <c r="J152" s="65" t="str">
        <f ca="1">IFERROR(__xludf.DUMMYFUNCTION("""COMPUTED_VALUE"""),"Media")</f>
        <v>Media</v>
      </c>
      <c r="K152" s="65" t="str">
        <f ca="1">IFERROR(__xludf.DUMMYFUNCTION("""COMPUTED_VALUE"""),"Moderado")</f>
        <v>Moderado</v>
      </c>
      <c r="L152" s="65" t="str">
        <f ca="1">IFERROR(__xludf.DUMMYFUNCTION("""COMPUTED_VALUE"""),"Alta")</f>
        <v>Alta</v>
      </c>
      <c r="M152" s="63" t="str">
        <f ca="1">IFERROR(__xludf.DUMMYFUNCTION("""COMPUTED_VALUE"""),"- El jefe de archivo, programa de manera anual las visitas de asesoría a los archivos de gestión de las dependencias, con el fin de realizar seguimiento al cumplimiento normativo en materia de Gestión Documental y de atención al Ciudadano
- El jefe y el t"&amp;"écnico asignado al archivo central, controlan permanentemente el ingreso de personal no autorizado al área de archivo central, además, aplican de manera permanente el procedimiento para la consulta y préstamo de documentos del archivo central (PD-GDC-05)
"&amp;"- El jefe de archivo, programa de manera anual eliminaciones documentales de acuerdo al procedimiento (PD-GDC-03)
- El jefe de archivo, programa de acuerdo con la capacidad de las instalaciones del archivo central, transferencias documentales teniendo en "&amp;"cuenta el procedimiento (PD-GDC-04)
- El jefe de archivo solicita y verifica de manera semestral, los inventarios documentales (FO-GDC-04) de las dependencias")</f>
        <v>- El jefe de archivo, programa de manera anual las visitas de asesoría a los archivos de gestión de las dependencias, con el fin de realizar seguimiento al cumplimiento normativo en materia de Gestión Documental y de atención al Ciudadano
- El jefe y el técnico asignado al archivo central, controlan permanentemente el ingreso de personal no autorizado al área de archivo central, además, aplican de manera permanente el procedimiento para la consulta y préstamo de documentos del archivo central (PD-GDC-05)
- El jefe de archivo, programa de manera anual eliminaciones documentales de acuerdo al procedimiento (PD-GDC-03)
- El jefe de archivo, programa de acuerdo con la capacidad de las instalaciones del archivo central, transferencias documentales teniendo en cuenta el procedimiento (PD-GDC-04)
- El jefe de archivo solicita y verifica de manera semestral, los inventarios documentales (FO-GDC-04) de las dependencias</v>
      </c>
      <c r="N152" s="65" t="str">
        <f ca="1">IFERROR(__xludf.DUMMYFUNCTION("""COMPUTED_VALUE"""),"Muy baja")</f>
        <v>Muy baja</v>
      </c>
      <c r="O152" s="65" t="str">
        <f ca="1">IFERROR(__xludf.DUMMYFUNCTION("""COMPUTED_VALUE"""),"Menor")</f>
        <v>Menor</v>
      </c>
      <c r="P152" s="65" t="str">
        <f ca="1">IFERROR(__xludf.DUMMYFUNCTION("""COMPUTED_VALUE"""),"Baja")</f>
        <v>Baja</v>
      </c>
      <c r="Q152" s="91" t="str">
        <f ca="1">IFERROR(__xludf.DUMMYFUNCTION("""COMPUTED_VALUE"""),"Aceptar")</f>
        <v>Aceptar</v>
      </c>
      <c r="R152" s="20" t="str">
        <f ca="1">IFERROR(__xludf.DUMMYFUNCTION("""COMPUTED_VALUE"""),"N/A")</f>
        <v>N/A</v>
      </c>
      <c r="S152" s="40" t="str">
        <f ca="1">IFERROR(__xludf.DUMMYFUNCTION("""COMPUTED_VALUE"""),"N/A")</f>
        <v>N/A</v>
      </c>
      <c r="T152" s="14" t="str">
        <f ca="1">IFERROR(__xludf.DUMMYFUNCTION("""COMPUTED_VALUE"""),"N/A")</f>
        <v>N/A</v>
      </c>
      <c r="U152" s="55" t="str">
        <f ca="1">IFERROR(__xludf.DUMMYFUNCTION("""COMPUTED_VALUE"""),"N/A")</f>
        <v>N/A</v>
      </c>
      <c r="V152" s="92" t="str">
        <f ca="1">IFERROR(__xludf.DUMMYFUNCTION("""COMPUTED_VALUE"""),"Informar al Comité de gestión y desempeño y a la oficina de Control Interno de Gestión, para que se tomen las medidas al respecto")</f>
        <v>Informar al Comité de gestión y desempeño y a la oficina de Control Interno de Gestión, para que se tomen las medidas al respecto</v>
      </c>
      <c r="W152" s="97" t="str">
        <f ca="1">IFERROR(__xludf.DUMMYFUNCTION("""COMPUTED_VALUE"""),"- Actas de comité
- Comunicación electrónica al jefe de la dependencia donde se detecta la materialización del riesgo
- Comunicación electrónica a la Oficina de Control Interno de Gestión")</f>
        <v>- Actas de comité
- Comunicación electrónica al jefe de la dependencia donde se detecta la materialización del riesgo
- Comunicación electrónica a la Oficina de Control Interno de Gestión</v>
      </c>
      <c r="X152" s="97" t="str">
        <f ca="1">IFERROR(__xludf.DUMMYFUNCTION("""COMPUTED_VALUE"""),"Jefe de la Oficina de Archivo")</f>
        <v>Jefe de la Oficina de Archivo</v>
      </c>
      <c r="Y152" s="97" t="str">
        <f ca="1">IFERROR(__xludf.DUMMYFUNCTION("""COMPUTED_VALUE"""),"15 días hábiles")</f>
        <v>15 días hábiles</v>
      </c>
      <c r="Z152" s="15" t="str">
        <f ca="1">IFERROR(__xludf.DUMMYFUNCTION("""COMPUTED_VALUE"""),"30 de abril")</f>
        <v>30 de abril</v>
      </c>
      <c r="AA152" s="17" t="str">
        <f ca="1">IFERROR(__xludf.DUMMYFUNCTION("""COMPUTED_VALUE"""),"febrero")</f>
        <v>febrero</v>
      </c>
      <c r="AB152" s="17" t="str">
        <f ca="1">IFERROR(__xludf.DUMMYFUNCTION("""COMPUTED_VALUE"""),"No")</f>
        <v>No</v>
      </c>
      <c r="AC152" s="15" t="str">
        <f ca="1">IFERROR(__xludf.DUMMYFUNCTION("""COMPUTED_VALUE"""),"En el mes de febrero de 2026 se expidió el Acta 001 de 2026, para la realización de viistas de Archivo a las diferentes dependencias académico administrativas, con el fin de asegurar el cumplimiento de la Ley General de Archivos (Ley 594 de 2000) y del Ac"&amp;"uerdo Único de la función archivística 001 de 2024, tratando temas como: marco normativo, organización de archivos tanto físicos como electrónicos, diligenciamiento de formatos (FUID - Formato Único de Inventario Documental, rótulos de carpetas y cajas), "&amp;"directrices de correspondencia y atención al ciudadano.")</f>
        <v>En el mes de febrero de 2026 se expidió el Acta 001 de 2026, para la realización de viistas de Archivo a las diferentes dependencias académico administrativas, con el fin de asegurar el cumplimiento de la Ley General de Archivos (Ley 594 de 2000) y del Acuerdo Único de la función archivística 001 de 2024, tratando temas como: marco normativo, organización de archivos tanto físicos como electrónicos, diligenciamiento de formatos (FUID - Formato Único de Inventario Documental, rótulos de carpetas y cajas), directrices de correspondencia y atención al ciudadano.</v>
      </c>
      <c r="AD152" s="17" t="str">
        <f ca="1">IFERROR(__xludf.DUMMYFUNCTION("""COMPUTED_VALUE"""),"Jefatura Archivo")</f>
        <v>Jefatura Archivo</v>
      </c>
      <c r="AE152" s="18" t="str">
        <f ca="1">IFERROR(__xludf.DUMMYFUNCTION("""COMPUTED_VALUE"""),"https://drive.google.com/drive/folders/1P5QPkuJMZNn25lRdqm6byzH0osruiIqI?usp=drive_link")</f>
        <v>https://drive.google.com/drive/folders/1P5QPkuJMZNn25lRdqm6byzH0osruiIqI?usp=drive_link</v>
      </c>
      <c r="AF152" s="15" t="str">
        <f ca="1">IFERROR(__xludf.DUMMYFUNCTION("""COMPUTED_VALUE"""),"No")</f>
        <v>No</v>
      </c>
      <c r="AG152" s="15" t="str">
        <f ca="1">IFERROR(__xludf.DUMMYFUNCTION("""COMPUTED_VALUE"""),"En proceso")</f>
        <v>En proceso</v>
      </c>
      <c r="AH152" s="15" t="str">
        <f ca="1">IFERROR(__xludf.DUMMYFUNCTION("""COMPUTED_VALUE"""),"C1-C5: Se evidencian soportes relacionados con visitas de archivo, consultas documentales, convocatorias y actas; sin embargo, los enlaces incluidos en el documento PTEP no permiten acceso para verificar la información reportada. Adicionalmente, las evide"&amp;"ncias no se encuentran organizadas por cada control establecido en la matriz, lo que dificulta su trazabilidad y validación. Se recomienda estructurar carpetas independientes para cada control, relacionando claramente los soportes correspondientes.
Mater"&amp;"ialización del riesgo: El riesgo no se materializó durante el periodo evaluado.
Conclusión: Aunque se aportan evidencias relacionadas con actividades de gestión documental, se requiere fortalecer la organización documental y la accesibilidad de los sopor"&amp;"tes, con el fin de facilitar la verificación del cumplimiento de cada control definido en la matriz.")</f>
        <v>C1-C5: Se evidencian soportes relacionados con visitas de archivo, consultas documentales, convocatorias y actas; sin embargo, los enlaces incluidos en el documento PTEP no permiten acceso para verificar la información reportada. Adicionalmente, las evidencias no se encuentran organizadas por cada control establecido en la matriz, lo que dificulta su trazabilidad y validación. Se recomienda estructurar carpetas independientes para cada control, relacionando claramente los soportes correspondientes.
Materialización del riesgo: El riesgo no se materializó durante el periodo evaluado.
Conclusión: Aunque se aportan evidencias relacionadas con actividades de gestión documental, se requiere fortalecer la organización documental y la accesibilidad de los soportes, con el fin de facilitar la verificación del cumplimiento de cada control definido en la matriz.</v>
      </c>
      <c r="AI152" s="24" t="str">
        <f ca="1">IFERROR(__xludf.DUMMYFUNCTION("""COMPUTED_VALUE"""),"30 de abril")</f>
        <v>30 de abril</v>
      </c>
      <c r="AJ152" s="17" t="str">
        <f ca="1">IFERROR(__xludf.DUMMYFUNCTION("""COMPUTED_VALUE"""),"Si")</f>
        <v>Si</v>
      </c>
      <c r="AK152" s="17" t="str">
        <f ca="1">IFERROR(__xludf.DUMMYFUNCTION("""COMPUTED_VALUE"""),"Si")</f>
        <v>Si</v>
      </c>
      <c r="AL152" s="17" t="str">
        <f ca="1">IFERROR(__xludf.DUMMYFUNCTION("""COMPUTED_VALUE"""),"Si")</f>
        <v>Si</v>
      </c>
      <c r="AM152" s="17" t="str">
        <f ca="1">IFERROR(__xludf.DUMMYFUNCTION("""COMPUTED_VALUE"""),"Si")</f>
        <v>Si</v>
      </c>
      <c r="AN152" s="17" t="str">
        <f ca="1">IFERROR(__xludf.DUMMYFUNCTION("""COMPUTED_VALUE"""),"Si")</f>
        <v>Si</v>
      </c>
      <c r="AO152" s="17" t="str">
        <f ca="1">IFERROR(__xludf.DUMMYFUNCTION("""COMPUTED_VALUE"""),"Si")</f>
        <v>Si</v>
      </c>
      <c r="AP152" s="17" t="str">
        <f ca="1">IFERROR(__xludf.DUMMYFUNCTION("""COMPUTED_VALUE"""),"Si")</f>
        <v>Si</v>
      </c>
      <c r="AQ152" s="17" t="str">
        <f ca="1">IFERROR(__xludf.DUMMYFUNCTION("""COMPUTED_VALUE"""),"No")</f>
        <v>No</v>
      </c>
      <c r="AR152" s="17" t="str">
        <f ca="1">IFERROR(__xludf.DUMMYFUNCTION("""COMPUTED_VALUE"""),"No")</f>
        <v>No</v>
      </c>
      <c r="AS152" s="15" t="str">
        <f ca="1">IFERROR(__xludf.DUMMYFUNCTION("""COMPUTED_VALUE"""),"No aplica")</f>
        <v>No aplica</v>
      </c>
      <c r="AT152" s="15" t="str">
        <f ca="1">IFERROR(__xludf.DUMMYFUNCTION("""COMPUTED_VALUE"""),"Recomendación:
1. Fortalecer la descripción del reporte registrando el resultado de la aplicación de los controles y de las acciones asociadas al tratamiento, así mismo, indicando si se materializó o no el riesgo, y las acciones realizadas en caso de mate"&amp;"rialización.
")</f>
        <v xml:space="preserve">Recomendación:
1. Fortalecer la descripción del reporte registrando el resultado de la aplicación de los controles y de las acciones asociadas al tratamiento, así mismo, indicando si se materializó o no el riesgo, y las acciones realizadas en caso de materialización.
</v>
      </c>
      <c r="AU152" s="10"/>
    </row>
    <row r="153" spans="1:47" x14ac:dyDescent="0.25">
      <c r="A153" s="25"/>
      <c r="B153" s="86"/>
      <c r="C153" s="86"/>
      <c r="D153" s="89"/>
      <c r="E153" s="64"/>
      <c r="F153" s="64"/>
      <c r="G153" s="64"/>
      <c r="H153" s="64"/>
      <c r="I153" s="64"/>
      <c r="J153" s="64"/>
      <c r="K153" s="64"/>
      <c r="L153" s="64"/>
      <c r="M153" s="64"/>
      <c r="N153" s="64"/>
      <c r="O153" s="64"/>
      <c r="P153" s="64"/>
      <c r="Q153" s="83"/>
      <c r="R153" s="20" t="str">
        <f ca="1">IFERROR(__xludf.DUMMYFUNCTION("""COMPUTED_VALUE"""),"")</f>
        <v/>
      </c>
      <c r="S153" s="42" t="str">
        <f ca="1">IFERROR(__xludf.DUMMYFUNCTION("""COMPUTED_VALUE"""),"")</f>
        <v/>
      </c>
      <c r="T153" s="34"/>
      <c r="U153" s="20"/>
      <c r="V153" s="89"/>
      <c r="W153" s="89"/>
      <c r="X153" s="89"/>
      <c r="Y153" s="89"/>
      <c r="Z153" s="15" t="str">
        <f ca="1">IFERROR(__xludf.DUMMYFUNCTION("""COMPUTED_VALUE"""),"30 de agosto")</f>
        <v>30 de agosto</v>
      </c>
      <c r="AA153" s="17"/>
      <c r="AB153" s="17"/>
      <c r="AC153" s="15"/>
      <c r="AD153" s="17"/>
      <c r="AE153" s="18" t="str">
        <f ca="1">IFERROR(__xludf.DUMMYFUNCTION("""COMPUTED_VALUE"""),"Evidencia")</f>
        <v>Evidencia</v>
      </c>
      <c r="AF153" s="15"/>
      <c r="AG153" s="15"/>
      <c r="AH153" s="15"/>
      <c r="AI153" s="24" t="str">
        <f ca="1">IFERROR(__xludf.DUMMYFUNCTION("""COMPUTED_VALUE"""),"31 de agosto")</f>
        <v>31 de agosto</v>
      </c>
      <c r="AJ153" s="17"/>
      <c r="AK153" s="17"/>
      <c r="AL153" s="17"/>
      <c r="AM153" s="17"/>
      <c r="AN153" s="17"/>
      <c r="AO153" s="17"/>
      <c r="AP153" s="17"/>
      <c r="AQ153" s="17"/>
      <c r="AR153" s="17"/>
      <c r="AS153" s="15"/>
      <c r="AT153" s="15"/>
      <c r="AU153" s="10"/>
    </row>
    <row r="154" spans="1:47" x14ac:dyDescent="0.25">
      <c r="A154" s="25"/>
      <c r="B154" s="86"/>
      <c r="C154" s="86"/>
      <c r="D154" s="76"/>
      <c r="E154" s="61"/>
      <c r="F154" s="61"/>
      <c r="G154" s="61"/>
      <c r="H154" s="61"/>
      <c r="I154" s="61"/>
      <c r="J154" s="61"/>
      <c r="K154" s="61"/>
      <c r="L154" s="61"/>
      <c r="M154" s="61"/>
      <c r="N154" s="61"/>
      <c r="O154" s="61"/>
      <c r="P154" s="61"/>
      <c r="Q154" s="84"/>
      <c r="R154" s="26" t="str">
        <f ca="1">IFERROR(__xludf.DUMMYFUNCTION("""COMPUTED_VALUE"""),"")</f>
        <v/>
      </c>
      <c r="S154" s="43" t="str">
        <f ca="1">IFERROR(__xludf.DUMMYFUNCTION("""COMPUTED_VALUE"""),"")</f>
        <v/>
      </c>
      <c r="T154" s="38"/>
      <c r="U154" s="26"/>
      <c r="V154" s="76"/>
      <c r="W154" s="76"/>
      <c r="X154" s="76"/>
      <c r="Y154" s="76"/>
      <c r="Z154" s="15" t="str">
        <f ca="1">IFERROR(__xludf.DUMMYFUNCTION("""COMPUTED_VALUE"""),"30 de diciembre")</f>
        <v>30 de diciembre</v>
      </c>
      <c r="AA154" s="17"/>
      <c r="AB154" s="17"/>
      <c r="AC154" s="15"/>
      <c r="AD154" s="17"/>
      <c r="AE154" s="18" t="str">
        <f ca="1">IFERROR(__xludf.DUMMYFUNCTION("""COMPUTED_VALUE"""),"Evidencia")</f>
        <v>Evidencia</v>
      </c>
      <c r="AF154" s="15"/>
      <c r="AG154" s="15"/>
      <c r="AH154" s="15"/>
      <c r="AI154" s="24" t="str">
        <f ca="1">IFERROR(__xludf.DUMMYFUNCTION("""COMPUTED_VALUE"""),"31 de diciembre")</f>
        <v>31 de diciembre</v>
      </c>
      <c r="AJ154" s="17"/>
      <c r="AK154" s="17"/>
      <c r="AL154" s="17"/>
      <c r="AM154" s="17"/>
      <c r="AN154" s="17"/>
      <c r="AO154" s="17"/>
      <c r="AP154" s="17"/>
      <c r="AQ154" s="17"/>
      <c r="AR154" s="17"/>
      <c r="AS154" s="15"/>
      <c r="AT154" s="15"/>
      <c r="AU154" s="10"/>
    </row>
    <row r="155" spans="1:47" ht="180" x14ac:dyDescent="0.25">
      <c r="A155" s="25"/>
      <c r="B155" s="90" t="s">
        <v>73</v>
      </c>
      <c r="C155" s="119" t="str">
        <f ca="1">IFERROR(__xludf.DUMMYFUNCTION("IMPORTRANGE(""https://docs.google.com/spreadsheets/d/1GpgmS0C71ecBZJR0hpfpUUOEucHp1vlNhHZXjSp6C9A/edit?gid=2098233099#gid=2098233099"",""Matriz_riesgos!C11:AT19"")"),"Fortalecer el proceso jurídico y normativo, mediante el acompañamiento y asesoría a las directivas de la Universidad de los Llanos, velando por la defensa de los intereses comunes en cumplimiento de los fines esenciales del Estado. ")</f>
        <v xml:space="preserve">Fortalecer el proceso jurídico y normativo, mediante el acompañamiento y asesoría a las directivas de la Universidad de los Llanos, velando por la defensa de los intereses comunes en cumplimiento de los fines esenciales del Estado. </v>
      </c>
      <c r="D155" s="88" t="str">
        <f ca="1">IFERROR(__xludf.DUMMYFUNCTION("""COMPUTED_VALUE"""),"Posibilidad  de afectación reputacional por incremento de acciones de tutela y de incumplimiento de requerimientos, debido a la falta de respuesta o respuesta extemporánea a derechos de petición por parte de las dependencias responsables, así como a la re"&amp;"misión incompleta o tardía.")</f>
        <v>Posibilidad  de afectación reputacional por incremento de acciones de tutela y de incumplimiento de requerimientos, debido a la falta de respuesta o respuesta extemporánea a derechos de petición por parte de las dependencias responsables, así como a la remisión incompleta o tardía.</v>
      </c>
      <c r="E155" s="63" t="str">
        <f ca="1">IFERROR(__xludf.DUMMYFUNCTION("""COMPUTED_VALUE"""),"Oficina jurídica")</f>
        <v>Oficina jurídica</v>
      </c>
      <c r="F155" s="63" t="str">
        <f ca="1">IFERROR(__xludf.DUMMYFUNCTION("""COMPUTED_VALUE"""),"Gestión")</f>
        <v>Gestión</v>
      </c>
      <c r="G155" s="63" t="str">
        <f ca="1">IFERROR(__xludf.DUMMYFUNCTION("""COMPUTED_VALUE"""),"Falta de un seguimiento y control efectivo por parte de la Dependencia responsable y/o competente  en emitir la respuesta a la solicitud. Desconocimiento de la normativa vigente que regula todos los aspectos relacionados con el Derecho de Peticiòn,  por p"&amp;"arte de las  dependencias responsableRemisión tardía o incompleta de la información y/o soportes para dar respuesta a la solicitud, cuando involucra informaciòn que es competencia de varias Dependencias.  ")</f>
        <v xml:space="preserve">Falta de un seguimiento y control efectivo por parte de la Dependencia responsable y/o competente  en emitir la respuesta a la solicitud. Desconocimiento de la normativa vigente que regula todos los aspectos relacionados con el Derecho de Peticiòn,  por parte de las  dependencias responsableRemisión tardía o incompleta de la información y/o soportes para dar respuesta a la solicitud, cuando involucra informaciòn que es competencia de varias Dependencias.  </v>
      </c>
      <c r="H155" s="63" t="str">
        <f ca="1">IFERROR(__xludf.DUMMYFUNCTION("""COMPUTED_VALUE"""),"1.Fallos de acciones en tutela  en contra de la Universidad, mediante los cuales ordenan dar respuesta de fondo, de manera clara, congruente y dentro del término establecido en la Ley. .
2.Investigaciones y posibles sanciones disciplinarias a los servidor"&amp;"es responsables.")</f>
        <v>1.Fallos de acciones en tutela  en contra de la Universidad, mediante los cuales ordenan dar respuesta de fondo, de manera clara, congruente y dentro del término establecido en la Ley. .
2.Investigaciones y posibles sanciones disciplinarias a los servidores responsables.</v>
      </c>
      <c r="I155" s="65" t="str">
        <f ca="1">IFERROR(__xludf.DUMMYFUNCTION("""COMPUTED_VALUE"""),"JUR_01")</f>
        <v>JUR_01</v>
      </c>
      <c r="J155" s="65" t="str">
        <f ca="1">IFERROR(__xludf.DUMMYFUNCTION("""COMPUTED_VALUE"""),"Media")</f>
        <v>Media</v>
      </c>
      <c r="K155" s="65" t="str">
        <f ca="1">IFERROR(__xludf.DUMMYFUNCTION("""COMPUTED_VALUE"""),"Mayor")</f>
        <v>Mayor</v>
      </c>
      <c r="L155" s="65" t="str">
        <f ca="1">IFERROR(__xludf.DUMMYFUNCTION("""COMPUTED_VALUE"""),"Extrema")</f>
        <v>Extrema</v>
      </c>
      <c r="M155" s="63" t="str">
        <f ca="1">IFERROR(__xludf.DUMMYFUNCTION("""COMPUTED_VALUE"""),"C1: Los profesionales de apoyo de la Oficina Jurídica realizan diariamente la verificación del estado de las solicitudes y requerimientos juridicos recibidos por medio fisico o electronico, registrando la información en la matriz de seguimiento, la cual c"&amp;"onstituye el medio de verificación del control, con el fin de asegurar el control y la atención oportuna de los requerimientos.
C2: El profesional de apoyo de defensa judicial realiza seguimiento mensual al estado de los requerimientos jurídicos mediante "&amp;"la verificación del cumplimiento de los tiempos de respuesta registrados en la matriz de seguimiento, generando un informe de actividades, mediante oficio del seguimiento dirigido a la asesora jurídica, en el que se evidencie el nivel de cumplimiento y se"&amp;" definan alertas y acciones de mejora
  ")</f>
        <v xml:space="preserve">C1: Los profesionales de apoyo de la Oficina Jurídica realizan diariamente la verificación del estado de las solicitudes y requerimientos juridicos recibidos por medio fisico o electronico, registrando la información en la matriz de seguimiento, la cual constituye el medio de verificación del control, con el fin de asegurar el control y la atención oportuna de los requerimientos.
C2: El profesional de apoyo de defensa judicial realiza seguimiento mensual al estado de los requerimientos jurídicos mediante la verificación del cumplimiento de los tiempos de respuesta registrados en la matriz de seguimiento, generando un informe de actividades, mediante oficio del seguimiento dirigido a la asesora jurídica, en el que se evidencie el nivel de cumplimiento y se definan alertas y acciones de mejora
  </v>
      </c>
      <c r="N155" s="65" t="str">
        <f ca="1">IFERROR(__xludf.DUMMYFUNCTION("""COMPUTED_VALUE"""),"Baja")</f>
        <v>Baja</v>
      </c>
      <c r="O155" s="65" t="str">
        <f ca="1">IFERROR(__xludf.DUMMYFUNCTION("""COMPUTED_VALUE"""),"Mayor")</f>
        <v>Mayor</v>
      </c>
      <c r="P155" s="65" t="str">
        <f ca="1">IFERROR(__xludf.DUMMYFUNCTION("""COMPUTED_VALUE"""),"Alta")</f>
        <v>Alta</v>
      </c>
      <c r="Q155" s="91" t="str">
        <f ca="1">IFERROR(__xludf.DUMMYFUNCTION("""COMPUTED_VALUE"""),"Reducir")</f>
        <v>Reducir</v>
      </c>
      <c r="R155" s="20" t="str">
        <f ca="1">IFERROR(__xludf.DUMMYFUNCTION("""COMPUTED_VALUE"""),"1) Remitir semestralmente un oficio dirigido a la comunidad en general, entiéndase, Universidad de los Llanos, recordando los términos de respuesta del Derecho de Petición e importancia del respectivo seguimiento por cada Dependencia.")</f>
        <v>1) Remitir semestralmente un oficio dirigido a la comunidad en general, entiéndase, Universidad de los Llanos, recordando los términos de respuesta del Derecho de Petición e importancia del respectivo seguimiento por cada Dependencia.</v>
      </c>
      <c r="S155" s="40" t="str">
        <f ca="1">IFERROR(__xludf.DUMMYFUNCTION("""COMPUTED_VALUE"""),"semestral")</f>
        <v>semestral</v>
      </c>
      <c r="T155" s="14" t="str">
        <f ca="1">IFERROR(__xludf.DUMMYFUNCTION("""COMPUTED_VALUE"""),"Asesora de Jurídica")</f>
        <v>Asesora de Jurídica</v>
      </c>
      <c r="U155" s="55" t="str">
        <f ca="1">IFERROR(__xludf.DUMMYFUNCTION("""COMPUTED_VALUE"""),"dos (2) oficios al año y correo de envío. ")</f>
        <v xml:space="preserve">dos (2) oficios al año y correo de envío. </v>
      </c>
      <c r="V155" s="92" t="str">
        <f ca="1">IFERROR(__xludf.DUMMYFUNCTION("""COMPUTED_VALUE"""),"Realizar los traslados necesarios a los entes de control internos o externos de las situaciones que generen alguna presunta falta")</f>
        <v>Realizar los traslados necesarios a los entes de control internos o externos de las situaciones que generen alguna presunta falta</v>
      </c>
      <c r="W155" s="97" t="str">
        <f ca="1">IFERROR(__xludf.DUMMYFUNCTION("""COMPUTED_VALUE"""),"Oficio y soporte de correo de envio")</f>
        <v>Oficio y soporte de correo de envio</v>
      </c>
      <c r="X155" s="97" t="str">
        <f ca="1">IFERROR(__xludf.DUMMYFUNCTION("""COMPUTED_VALUE"""),"Asesora Jurídica")</f>
        <v>Asesora Jurídica</v>
      </c>
      <c r="Y155" s="97" t="str">
        <f ca="1">IFERROR(__xludf.DUMMYFUNCTION("""COMPUTED_VALUE"""),"En el menor tiempo posible,  una vez se materialice el riesgo y se haya ordenado por la autoridad competente remitir a la Oficina de Control Interno Disciplinario o a otra Entidad disciplinar")</f>
        <v>En el menor tiempo posible,  una vez se materialice el riesgo y se haya ordenado por la autoridad competente remitir a la Oficina de Control Interno Disciplinario o a otra Entidad disciplinar</v>
      </c>
      <c r="Z155" s="15" t="str">
        <f ca="1">IFERROR(__xludf.DUMMYFUNCTION("""COMPUTED_VALUE"""),"30 de abril")</f>
        <v>30 de abril</v>
      </c>
      <c r="AA155" s="17" t="str">
        <f ca="1">IFERROR(__xludf.DUMMYFUNCTION("""COMPUTED_VALUE"""),"Ene-Abr")</f>
        <v>Ene-Abr</v>
      </c>
      <c r="AB155" s="17" t="str">
        <f ca="1">IFERROR(__xludf.DUMMYFUNCTION("""COMPUTED_VALUE"""),"No")</f>
        <v>No</v>
      </c>
      <c r="AC155" s="15" t="str">
        <f ca="1">IFERROR(__xludf.DUMMYFUNCTION("""COMPUTED_VALUE"""),"Con el fin de evitar la materialzación del riesgo se realizo los controles establecidos. De la siguiente manera:
C1: Los profesionales de apoyo de la Oficina Jurídica realizaron diariamente la asignación de tutelas, derechos de petición, requerimientos,"&amp;" asesorías y conceptos jurídicos. Estas actividades fueron registradas en una matriz de seguimiento en Excel, en la cual se consigna la fecha de recibido, fecha de vencimiento, responsable de la respuesta y el enlace correspondiente de respuesta.
Este mec"&amp;"anismo permite llevar un control permanente y efectuar la verificación del estado de las asignaciones, con el propósito de garantizar su adecuada gestión y atención oportuna.
C2: La profesional de apoyo en defensa judicial realizó seguimiento al estado de"&amp;" los requerimientos jurídicos mediante la verificación del cumplimiento de los tiempos de respuesta registrados en la matriz de seguimiento.
Dicho seguimiento es reportado mensualmente a la Asesora Jurídica mediante oficio, evidenciándose el cumplimiento "&amp;"de las asignaciones por parte de cada profesional de apoyo.
Sobre las acciones asociadas al tratamiento: La Asesora Jurídica realizó una capacitación el 21 de abril del presente año, en el auditorio Eduardo Carranza, dirigida a la comunidad universitaria"&amp;". Esta actividad estuvo orientada al cumplimiento de los términos, con el fin de garantizar respuestas oportunas.")</f>
        <v>Con el fin de evitar la materialzación del riesgo se realizo los controles establecidos. De la siguiente manera:
C1: Los profesionales de apoyo de la Oficina Jurídica realizaron diariamente la asignación de tutelas, derechos de petición, requerimientos, asesorías y conceptos jurídicos. Estas actividades fueron registradas en una matriz de seguimiento en Excel, en la cual se consigna la fecha de recibido, fecha de vencimiento, responsable de la respuesta y el enlace correspondiente de respuesta.
Este mecanismo permite llevar un control permanente y efectuar la verificación del estado de las asignaciones, con el propósito de garantizar su adecuada gestión y atención oportuna.
C2: La profesional de apoyo en defensa judicial realizó seguimiento al estado de los requerimientos jurídicos mediante la verificación del cumplimiento de los tiempos de respuesta registrados en la matriz de seguimiento.
Dicho seguimiento es reportado mensualmente a la Asesora Jurídica mediante oficio, evidenciándose el cumplimiento de las asignaciones por parte de cada profesional de apoyo.
Sobre las acciones asociadas al tratamiento: La Asesora Jurídica realizó una capacitación el 21 de abril del presente año, en el auditorio Eduardo Carranza, dirigida a la comunidad universitaria. Esta actividad estuvo orientada al cumplimiento de los términos, con el fin de garantizar respuestas oportunas.</v>
      </c>
      <c r="AD155" s="17" t="str">
        <f ca="1">IFERROR(__xludf.DUMMYFUNCTION("""COMPUTED_VALUE"""),"Diana Milena Salas Leal- Asesora Jurídica")</f>
        <v>Diana Milena Salas Leal- Asesora Jurídica</v>
      </c>
      <c r="AE155" s="18" t="str">
        <f ca="1">IFERROR(__xludf.DUMMYFUNCTION("""COMPUTED_VALUE"""),"Evidencia")</f>
        <v>Evidencia</v>
      </c>
      <c r="AF155" s="15" t="str">
        <f ca="1">IFERROR(__xludf.DUMMYFUNCTION("""COMPUTED_VALUE"""),"Si")</f>
        <v>Si</v>
      </c>
      <c r="AG155" s="15" t="str">
        <f ca="1">IFERROR(__xludf.DUMMYFUNCTION("""COMPUTED_VALUE"""),"Ejecutada")</f>
        <v>Ejecutada</v>
      </c>
      <c r="AH155" s="15" t="str">
        <f ca="1">IFERROR(__xludf.DUMMYFUNCTION("""COMPUTED_VALUE"""),"C1: Los profesionales de apoyo de la Oficina Jurídica realizaron diariamente la verificación y seguimiento de tutelas, derechos de petición y demás requerimientos jurídicos, registrando la información en la matriz de seguimiento institucional para control"&amp;"ar tiempos de respuesta y responsables.
C2: La profesional de apoyo de defensa judicial efectuó seguimiento mensual al cumplimiento de los tiempos de respuesta, reportando los resultados mediante informe dirigido a la Asesora Jurídica.
Acciones asociadas "&amp;"al tratamiento del riesgo:
La Asesora Jurídica realizó capacitación dirigida a la comunidad universitaria sobre cumplimiento de términos y adecuada atención de derechos de petición. Como evidencia se cuenta con presentación, registro fotográfico y listado"&amp;" de asistencia.
Conclusión:
Los controles y acciones de tratamiento fueron ejecutados adecuadamente, permitiendo mantener el riesgo bajo control durante el periodo evaluado.")</f>
        <v>C1: Los profesionales de apoyo de la Oficina Jurídica realizaron diariamente la verificación y seguimiento de tutelas, derechos de petición y demás requerimientos jurídicos, registrando la información en la matriz de seguimiento institucional para controlar tiempos de respuesta y responsables.
C2: La profesional de apoyo de defensa judicial efectuó seguimiento mensual al cumplimiento de los tiempos de respuesta, reportando los resultados mediante informe dirigido a la Asesora Jurídica.
Acciones asociadas al tratamiento del riesgo:
La Asesora Jurídica realizó capacitación dirigida a la comunidad universitaria sobre cumplimiento de términos y adecuada atención de derechos de petición. Como evidencia se cuenta con presentación, registro fotográfico y listado de asistencia.
Conclusión:
Los controles y acciones de tratamiento fueron ejecutados adecuadamente, permitiendo mantener el riesgo bajo control durante el periodo evaluado.</v>
      </c>
      <c r="AI155" s="24" t="str">
        <f ca="1">IFERROR(__xludf.DUMMYFUNCTION("""COMPUTED_VALUE"""),"30 de abril")</f>
        <v>30 de abril</v>
      </c>
      <c r="AJ155" s="17" t="str">
        <f ca="1">IFERROR(__xludf.DUMMYFUNCTION("""COMPUTED_VALUE"""),"Si")</f>
        <v>Si</v>
      </c>
      <c r="AK155" s="17" t="str">
        <f ca="1">IFERROR(__xludf.DUMMYFUNCTION("""COMPUTED_VALUE"""),"Si")</f>
        <v>Si</v>
      </c>
      <c r="AL155" s="17" t="str">
        <f ca="1">IFERROR(__xludf.DUMMYFUNCTION("""COMPUTED_VALUE"""),"Si")</f>
        <v>Si</v>
      </c>
      <c r="AM155" s="17" t="str">
        <f ca="1">IFERROR(__xludf.DUMMYFUNCTION("""COMPUTED_VALUE"""),"Si")</f>
        <v>Si</v>
      </c>
      <c r="AN155" s="17" t="str">
        <f ca="1">IFERROR(__xludf.DUMMYFUNCTION("""COMPUTED_VALUE"""),"Si")</f>
        <v>Si</v>
      </c>
      <c r="AO155" s="17" t="str">
        <f ca="1">IFERROR(__xludf.DUMMYFUNCTION("""COMPUTED_VALUE"""),"Si")</f>
        <v>Si</v>
      </c>
      <c r="AP155" s="17" t="str">
        <f ca="1">IFERROR(__xludf.DUMMYFUNCTION("""COMPUTED_VALUE"""),"Si")</f>
        <v>Si</v>
      </c>
      <c r="AQ155" s="17" t="str">
        <f ca="1">IFERROR(__xludf.DUMMYFUNCTION("""COMPUTED_VALUE"""),"No")</f>
        <v>No</v>
      </c>
      <c r="AR155" s="17" t="str">
        <f ca="1">IFERROR(__xludf.DUMMYFUNCTION("""COMPUTED_VALUE"""),"No")</f>
        <v>No</v>
      </c>
      <c r="AS155" s="15" t="str">
        <f ca="1">IFERROR(__xludf.DUMMYFUNCTION("""COMPUTED_VALUE"""),"No aplica")</f>
        <v>No aplica</v>
      </c>
      <c r="AT155" s="15" t="str">
        <f ca="1">IFERROR(__xludf.DUMMYFUNCTION("""COMPUTED_VALUE"""),"Recomendación:
1. Asegurar la ejecución de las acciones asociadas al tratamiento, considerando la periodicidad establecida.
")</f>
        <v xml:space="preserve">Recomendación:
1. Asegurar la ejecución de las acciones asociadas al tratamiento, considerando la periodicidad establecida.
</v>
      </c>
      <c r="AU155" s="10"/>
    </row>
    <row r="156" spans="1:47" ht="84" x14ac:dyDescent="0.25">
      <c r="A156" s="25"/>
      <c r="B156" s="86"/>
      <c r="C156" s="86"/>
      <c r="D156" s="89"/>
      <c r="E156" s="64"/>
      <c r="F156" s="64"/>
      <c r="G156" s="64"/>
      <c r="H156" s="64"/>
      <c r="I156" s="64"/>
      <c r="J156" s="64"/>
      <c r="K156" s="64"/>
      <c r="L156" s="64"/>
      <c r="M156" s="64"/>
      <c r="N156" s="64"/>
      <c r="O156" s="64"/>
      <c r="P156" s="64"/>
      <c r="Q156" s="83"/>
      <c r="R156" s="20" t="str">
        <f ca="1">IFERROR(__xludf.DUMMYFUNCTION("""COMPUTED_VALUE"""),"2)Realizar capacitaciones dirigidas a la comunidad universitaria, orientadas al cumplimiento de los términos en la atención de los derechos de petición, con el fin de emitir respuesta de fondo, clara y congruente y dentro del término de Ley (ANUAL).
")</f>
        <v xml:space="preserve">2)Realizar capacitaciones dirigidas a la comunidad universitaria, orientadas al cumplimiento de los términos en la atención de los derechos de petición, con el fin de emitir respuesta de fondo, clara y congruente y dentro del término de Ley (ANUAL).
</v>
      </c>
      <c r="S156" s="42" t="str">
        <f ca="1">IFERROR(__xludf.DUMMYFUNCTION("""COMPUTED_VALUE"""),"Anual")</f>
        <v>Anual</v>
      </c>
      <c r="T156" s="23" t="str">
        <f ca="1">IFERROR(__xludf.DUMMYFUNCTION("""COMPUTED_VALUE"""),"Asesora de Jurídica")</f>
        <v>Asesora de Jurídica</v>
      </c>
      <c r="U156" s="42" t="str">
        <f ca="1">IFERROR(__xludf.DUMMYFUNCTION("""COMPUTED_VALUE"""),"Se evidencia con el registro fotográfico y listado de asistencia de la capacitación, una al año. ")</f>
        <v xml:space="preserve">Se evidencia con el registro fotográfico y listado de asistencia de la capacitación, una al año. </v>
      </c>
      <c r="V156" s="89"/>
      <c r="W156" s="89"/>
      <c r="X156" s="89"/>
      <c r="Y156" s="89"/>
      <c r="Z156" s="15" t="str">
        <f ca="1">IFERROR(__xludf.DUMMYFUNCTION("""COMPUTED_VALUE"""),"30 de agosto")</f>
        <v>30 de agosto</v>
      </c>
      <c r="AA156" s="17"/>
      <c r="AB156" s="17"/>
      <c r="AC156" s="15"/>
      <c r="AD156" s="17"/>
      <c r="AE156" s="18" t="str">
        <f ca="1">IFERROR(__xludf.DUMMYFUNCTION("""COMPUTED_VALUE"""),"Evidencia")</f>
        <v>Evidencia</v>
      </c>
      <c r="AF156" s="15"/>
      <c r="AG156" s="15"/>
      <c r="AH156" s="15"/>
      <c r="AI156" s="24" t="str">
        <f ca="1">IFERROR(__xludf.DUMMYFUNCTION("""COMPUTED_VALUE"""),"31 de agosto")</f>
        <v>31 de agosto</v>
      </c>
      <c r="AJ156" s="17"/>
      <c r="AK156" s="17"/>
      <c r="AL156" s="17"/>
      <c r="AM156" s="17"/>
      <c r="AN156" s="17"/>
      <c r="AO156" s="17"/>
      <c r="AP156" s="17"/>
      <c r="AQ156" s="17"/>
      <c r="AR156" s="17"/>
      <c r="AS156" s="15"/>
      <c r="AT156" s="15"/>
      <c r="AU156" s="10"/>
    </row>
    <row r="157" spans="1:47" x14ac:dyDescent="0.25">
      <c r="A157" s="25"/>
      <c r="B157" s="86"/>
      <c r="C157" s="86"/>
      <c r="D157" s="76"/>
      <c r="E157" s="61"/>
      <c r="F157" s="61"/>
      <c r="G157" s="61"/>
      <c r="H157" s="61"/>
      <c r="I157" s="61"/>
      <c r="J157" s="61"/>
      <c r="K157" s="61"/>
      <c r="L157" s="61"/>
      <c r="M157" s="61"/>
      <c r="N157" s="61"/>
      <c r="O157" s="61"/>
      <c r="P157" s="61"/>
      <c r="Q157" s="84"/>
      <c r="R157" s="26" t="str">
        <f ca="1">IFERROR(__xludf.DUMMYFUNCTION("""COMPUTED_VALUE"""),"")</f>
        <v/>
      </c>
      <c r="S157" s="43" t="str">
        <f ca="1">IFERROR(__xludf.DUMMYFUNCTION("""COMPUTED_VALUE"""),"")</f>
        <v/>
      </c>
      <c r="T157" s="38"/>
      <c r="U157" s="26"/>
      <c r="V157" s="76"/>
      <c r="W157" s="76"/>
      <c r="X157" s="76"/>
      <c r="Y157" s="76"/>
      <c r="Z157" s="15" t="str">
        <f ca="1">IFERROR(__xludf.DUMMYFUNCTION("""COMPUTED_VALUE"""),"30 de diciembre")</f>
        <v>30 de diciembre</v>
      </c>
      <c r="AA157" s="17"/>
      <c r="AB157" s="17"/>
      <c r="AC157" s="15"/>
      <c r="AD157" s="17"/>
      <c r="AE157" s="18" t="str">
        <f ca="1">IFERROR(__xludf.DUMMYFUNCTION("""COMPUTED_VALUE"""),"Evidencia")</f>
        <v>Evidencia</v>
      </c>
      <c r="AF157" s="15"/>
      <c r="AG157" s="15"/>
      <c r="AH157" s="15"/>
      <c r="AI157" s="24" t="str">
        <f ca="1">IFERROR(__xludf.DUMMYFUNCTION("""COMPUTED_VALUE"""),"31 de diciembre")</f>
        <v>31 de diciembre</v>
      </c>
      <c r="AJ157" s="17"/>
      <c r="AK157" s="17"/>
      <c r="AL157" s="17"/>
      <c r="AM157" s="17"/>
      <c r="AN157" s="17"/>
      <c r="AO157" s="17"/>
      <c r="AP157" s="17"/>
      <c r="AQ157" s="17"/>
      <c r="AR157" s="17"/>
      <c r="AS157" s="15"/>
      <c r="AT157" s="15"/>
      <c r="AU157" s="10"/>
    </row>
    <row r="158" spans="1:47" ht="132" x14ac:dyDescent="0.25">
      <c r="A158" s="25"/>
      <c r="B158" s="86"/>
      <c r="C158" s="86"/>
      <c r="D158" s="63" t="str">
        <f ca="1">IFERROR(__xludf.DUMMYFUNCTION("""COMPUTED_VALUE"""),"Posibilidad de afectación económica y/o reputacional de la entidad, ocasionada por debilidades en la ejecución, seguimiento y liquidación de los convenios, debido a la falta de diligencia y cumplimiento de las obligaciones de seguimiento por parte de los "&amp;"supervisores.")</f>
        <v>Posibilidad de afectación económica y/o reputacional de la entidad, ocasionada por debilidades en la ejecución, seguimiento y liquidación de los convenios, debido a la falta de diligencia y cumplimiento de las obligaciones de seguimiento por parte de los supervisores.</v>
      </c>
      <c r="E158" s="63" t="str">
        <f ca="1">IFERROR(__xludf.DUMMYFUNCTION("""COMPUTED_VALUE"""),"Área de convenios")</f>
        <v>Área de convenios</v>
      </c>
      <c r="F158" s="63" t="str">
        <f ca="1">IFERROR(__xludf.DUMMYFUNCTION("""COMPUTED_VALUE"""),"Gestión")</f>
        <v>Gestión</v>
      </c>
      <c r="G158" s="63" t="str">
        <f ca="1">IFERROR(__xludf.DUMMYFUNCTION("""COMPUTED_VALUE"""),"-Desconocimiento de los procedimientos, obligaciones y lineamientos establecidos en el manual de supervisión por parte de los supervisores de convenios.
-Falta de reporte oportuno de los informes de avance de los convenios por parte de los supervisores, a"&amp;" través de los canales institucionales establecidos (correo electrónico y plataforma SIAU-CONVENIOS)")</f>
        <v>-Desconocimiento de los procedimientos, obligaciones y lineamientos establecidos en el manual de supervisión por parte de los supervisores de convenios.
-Falta de reporte oportuno de los informes de avance de los convenios por parte de los supervisores, a través de los canales institucionales establecidos (correo electrónico y plataforma SIAU-CONVENIOS)</v>
      </c>
      <c r="H158" s="63" t="str">
        <f ca="1">IFERROR(__xludf.DUMMYFUNCTION("""COMPUTED_VALUE"""),"1. Debilidades en el seguimiento de los convenios respecto a la ejecución de los mismos por parte de los supervisores. 
2.No conformidades en auditoría interna por parte de control interno de gestión.
3. Hallazgos de los entes de control externos.
4. p"&amp;"uede acarrear responsabilidades disciplinarias y/o fiscales para los supervisores de los convenios. ")</f>
        <v xml:space="preserve">1. Debilidades en el seguimiento de los convenios respecto a la ejecución de los mismos por parte de los supervisores. 
2.No conformidades en auditoría interna por parte de control interno de gestión.
3. Hallazgos de los entes de control externos.
4. puede acarrear responsabilidades disciplinarias y/o fiscales para los supervisores de los convenios. </v>
      </c>
      <c r="I158" s="65" t="str">
        <f ca="1">IFERROR(__xludf.DUMMYFUNCTION("""COMPUTED_VALUE"""),"JUR_02")</f>
        <v>JUR_02</v>
      </c>
      <c r="J158" s="65" t="str">
        <f ca="1">IFERROR(__xludf.DUMMYFUNCTION("""COMPUTED_VALUE"""),"Media")</f>
        <v>Media</v>
      </c>
      <c r="K158" s="65" t="str">
        <f ca="1">IFERROR(__xludf.DUMMYFUNCTION("""COMPUTED_VALUE"""),"Insignificante")</f>
        <v>Insignificante</v>
      </c>
      <c r="L158" s="65" t="str">
        <f ca="1">IFERROR(__xludf.DUMMYFUNCTION("""COMPUTED_VALUE"""),"Baja")</f>
        <v>Baja</v>
      </c>
      <c r="M158" s="63" t="str">
        <f ca="1">IFERROR(__xludf.DUMMYFUNCTION("""COMPUTED_VALUE"""),"C1. 1. El Profesional de apoyo del área de convenios capacitará una vez al año, a los supervisores de convenios en el contenido y aplicación del Manual de Supervisión- Resolución Rectoral 1092 de 2021 (Por medio de la cual se adopta el manual de supervisi"&amp;"ón e interventoría de los contratos y convenios suscritos por la Universidad de los Llanos, y se deroga la Resolución Rectoral No. 1833 de 2014”, con el propósito de que cada supervisor conozca claramente sus responsabilidades y ejecute el seguimiento de "&amp;"manera correcta.
C2. 2. El Profesional de apoyo del área de convenios solicitará mensualmente a cada supervisor el informe de avance de los convenios a su cargo, mediante memorando enviado por correo electrónico institucional, con el fin de verificar que "&amp;"la ejecución de los convenios se está llevando a cabo conforme a lo pactado.
 ")</f>
        <v xml:space="preserve">C1. 1. El Profesional de apoyo del área de convenios capacitará una vez al año, a los supervisores de convenios en el contenido y aplicación del Manual de Supervisión- Resolución Rectoral 1092 de 2021 (Por medio de la cual se adopta el manual de supervisión e interventoría de los contratos y convenios suscritos por la Universidad de los Llanos, y se deroga la Resolución Rectoral No. 1833 de 2014”, con el propósito de que cada supervisor conozca claramente sus responsabilidades y ejecute el seguimiento de manera correcta.
C2. 2. El Profesional de apoyo del área de convenios solicitará mensualmente a cada supervisor el informe de avance de los convenios a su cargo, mediante memorando enviado por correo electrónico institucional, con el fin de verificar que la ejecución de los convenios se está llevando a cabo conforme a lo pactado.
 </v>
      </c>
      <c r="N158" s="65" t="str">
        <f ca="1">IFERROR(__xludf.DUMMYFUNCTION("""COMPUTED_VALUE"""),"Baja")</f>
        <v>Baja</v>
      </c>
      <c r="O158" s="65" t="str">
        <f ca="1">IFERROR(__xludf.DUMMYFUNCTION("""COMPUTED_VALUE"""),"Insignificante")</f>
        <v>Insignificante</v>
      </c>
      <c r="P158" s="65" t="str">
        <f ca="1">IFERROR(__xludf.DUMMYFUNCTION("""COMPUTED_VALUE"""),"Baja")</f>
        <v>Baja</v>
      </c>
      <c r="Q158" s="91" t="str">
        <f ca="1">IFERROR(__xludf.DUMMYFUNCTION("""COMPUTED_VALUE"""),"Aceptar")</f>
        <v>Aceptar</v>
      </c>
      <c r="R158" s="20" t="str">
        <f ca="1">IFERROR(__xludf.DUMMYFUNCTION("""COMPUTED_VALUE"""),"N/A")</f>
        <v>N/A</v>
      </c>
      <c r="S158" s="40" t="str">
        <f ca="1">IFERROR(__xludf.DUMMYFUNCTION("""COMPUTED_VALUE"""),"N/A")</f>
        <v>N/A</v>
      </c>
      <c r="T158" s="32" t="str">
        <f ca="1">IFERROR(__xludf.DUMMYFUNCTION("""COMPUTED_VALUE"""),"N/A")</f>
        <v>N/A</v>
      </c>
      <c r="U158" s="41" t="str">
        <f ca="1">IFERROR(__xludf.DUMMYFUNCTION("""COMPUTED_VALUE"""),"N/A")</f>
        <v>N/A</v>
      </c>
      <c r="V158" s="92" t="str">
        <f ca="1">IFERROR(__xludf.DUMMYFUNCTION("""COMPUTED_VALUE"""),"1.Realizar una (1) reunión anual con los supervisores de los convenios para tratar temas concernientes a la responsabilidades del supervisor e importancia del informe  que refleje el avance de ejecución financiero, técnico y administrativo, las causas de "&amp;"las dificultades presentadas y la programación de la ejecución de las actividades pendientes.")</f>
        <v>1.Realizar una (1) reunión anual con los supervisores de los convenios para tratar temas concernientes a la responsabilidades del supervisor e importancia del informe  que refleje el avance de ejecución financiero, técnico y administrativo, las causas de las dificultades presentadas y la programación de la ejecución de las actividades pendientes.</v>
      </c>
      <c r="W158" s="97" t="str">
        <f ca="1">IFERROR(__xludf.DUMMYFUNCTION("""COMPUTED_VALUE"""),"Acta de reunión")</f>
        <v>Acta de reunión</v>
      </c>
      <c r="X158" s="97" t="str">
        <f ca="1">IFERROR(__xludf.DUMMYFUNCTION("""COMPUTED_VALUE"""),"Asesora Jurídica")</f>
        <v>Asesora Jurídica</v>
      </c>
      <c r="Y158" s="97" t="str">
        <f ca="1">IFERROR(__xludf.DUMMYFUNCTION("""COMPUTED_VALUE"""),"En el menor tiempo posible,  una vez se materialice el riesgo y se haya ordenado por la autoridad competente remitir a la Oficina de Control Interno Disciplinario u otra Entidad. ")</f>
        <v xml:space="preserve">En el menor tiempo posible,  una vez se materialice el riesgo y se haya ordenado por la autoridad competente remitir a la Oficina de Control Interno Disciplinario u otra Entidad. </v>
      </c>
      <c r="Z158" s="15" t="str">
        <f ca="1">IFERROR(__xludf.DUMMYFUNCTION("""COMPUTED_VALUE"""),"30 de abril")</f>
        <v>30 de abril</v>
      </c>
      <c r="AA158" s="59">
        <f ca="1">IFERROR(__xludf.DUMMYFUNCTION("""COMPUTED_VALUE"""),46142)</f>
        <v>46142</v>
      </c>
      <c r="AB158" s="17" t="str">
        <f ca="1">IFERROR(__xludf.DUMMYFUNCTION("""COMPUTED_VALUE"""),"No")</f>
        <v>No</v>
      </c>
      <c r="AC158" s="15" t="str">
        <f ca="1">IFERROR(__xludf.DUMMYFUNCTION("""COMPUTED_VALUE"""),"Durante este primer monitoreo NO se materializó el riesgo.
Debido a que se acepta el riesgo, para este caso no se presentan acciones de tratamiento, sin embargo se atienden los controles existentes:
Se adjunta carpeta en donde se allegan los memorandos "&amp;"mensuales, y evidencia de envió, emitido desde el área de convenios a los supervisores de convenios. Lo anterior, con el propósito de reiterar el requerimiento de remisión oportuna de los informes mensuales correspondientes a los convenios actualmente vig"&amp;"entes y aquellos que se encuentran pendientes por liquidar, recordando a los supervisores las funciones que les han sido asignadas conforme a la normativa vigente. (C2)
Adicionalmente, se adjunta la lista de asistencia correspondiente a la capacitación im"&amp;"partida a los supervisores y a sus respectivos apoyos profesionales de convenios, en relación con lo dispuesto en la Resolución Rectoral 1092 de 2021. Durante dicha jornada formativa se trataron los conceptos esenciales de la supervisión, las funciones pr"&amp;"opias de esta labor, así como las prohibiciones, inhabilidades e incompatibilidades aplicables, y los requisitos necesarios para la adecuada liquidación de los convenios (C1).
")</f>
        <v xml:space="preserve">Durante este primer monitoreo NO se materializó el riesgo.
Debido a que se acepta el riesgo, para este caso no se presentan acciones de tratamiento, sin embargo se atienden los controles existentes:
Se adjunta carpeta en donde se allegan los memorandos mensuales, y evidencia de envió, emitido desde el área de convenios a los supervisores de convenios. Lo anterior, con el propósito de reiterar el requerimiento de remisión oportuna de los informes mensuales correspondientes a los convenios actualmente vigentes y aquellos que se encuentran pendientes por liquidar, recordando a los supervisores las funciones que les han sido asignadas conforme a la normativa vigente. (C2)
Adicionalmente, se adjunta la lista de asistencia correspondiente a la capacitación impartida a los supervisores y a sus respectivos apoyos profesionales de convenios, en relación con lo dispuesto en la Resolución Rectoral 1092 de 2021. Durante dicha jornada formativa se trataron los conceptos esenciales de la supervisión, las funciones propias de esta labor, así como las prohibiciones, inhabilidades e incompatibilidades aplicables, y los requisitos necesarios para la adecuada liquidación de los convenios (C1).
</v>
      </c>
      <c r="AD158" s="17" t="str">
        <f ca="1">IFERROR(__xludf.DUMMYFUNCTION("""COMPUTED_VALUE"""),"Diana Milena Salas Leal")</f>
        <v>Diana Milena Salas Leal</v>
      </c>
      <c r="AE158" s="18" t="str">
        <f ca="1">IFERROR(__xludf.DUMMYFUNCTION("""COMPUTED_VALUE"""),"Evidencia")</f>
        <v>Evidencia</v>
      </c>
      <c r="AF158" s="15" t="str">
        <f ca="1">IFERROR(__xludf.DUMMYFUNCTION("""COMPUTED_VALUE"""),"Si")</f>
        <v>Si</v>
      </c>
      <c r="AG158" s="15" t="str">
        <f ca="1">IFERROR(__xludf.DUMMYFUNCTION("""COMPUTED_VALUE"""),"Ejecutada")</f>
        <v>Ejecutada</v>
      </c>
      <c r="AH158" s="15" t="str">
        <f ca="1">IFERROR(__xludf.DUMMYFUNCTION("""COMPUTED_VALUE"""),"C1: El área de convenios realizó capacitación dirigida a supervisores y apoyos profesionales sobre la aplicación del Manual de Supervisión adoptado mediante Resolución Rectoral 1092 de 2021, abordando funciones, responsabilidades, prohibiciones y lineamie"&amp;"ntos para la liquidación de convenios. Como evidencia se cuenta con presentación, listado de asistencia y registro fotográfico.
C2: El profesional de apoyo del área de convenios remitió mensualmente memorandos y correos electrónicos institucionales a los "&amp;"supervisores, solicitando la entrega oportuna de los informes de avance de los convenios vigentes y pendientes de liquidación, con el fin de fortalecer el seguimiento y control de la ejecución contractual.
Conclusión:
Los controles definidos fueron ejecut"&amp;"ados conforme a lo programado y cuentan con soportes documentales que evidencian su aplicación, manteniéndose el riesgo bajo control durante el periodo evaluado.")</f>
        <v>C1: El área de convenios realizó capacitación dirigida a supervisores y apoyos profesionales sobre la aplicación del Manual de Supervisión adoptado mediante Resolución Rectoral 1092 de 2021, abordando funciones, responsabilidades, prohibiciones y lineamientos para la liquidación de convenios. Como evidencia se cuenta con presentación, listado de asistencia y registro fotográfico.
C2: El profesional de apoyo del área de convenios remitió mensualmente memorandos y correos electrónicos institucionales a los supervisores, solicitando la entrega oportuna de los informes de avance de los convenios vigentes y pendientes de liquidación, con el fin de fortalecer el seguimiento y control de la ejecución contractual.
Conclusión:
Los controles definidos fueron ejecutados conforme a lo programado y cuentan con soportes documentales que evidencian su aplicación, manteniéndose el riesgo bajo control durante el periodo evaluado.</v>
      </c>
      <c r="AI158" s="24" t="str">
        <f ca="1">IFERROR(__xludf.DUMMYFUNCTION("""COMPUTED_VALUE"""),"30 de abril")</f>
        <v>30 de abril</v>
      </c>
      <c r="AJ158" s="17" t="str">
        <f ca="1">IFERROR(__xludf.DUMMYFUNCTION("""COMPUTED_VALUE"""),"Si")</f>
        <v>Si</v>
      </c>
      <c r="AK158" s="17" t="str">
        <f ca="1">IFERROR(__xludf.DUMMYFUNCTION("""COMPUTED_VALUE"""),"Si")</f>
        <v>Si</v>
      </c>
      <c r="AL158" s="17" t="str">
        <f ca="1">IFERROR(__xludf.DUMMYFUNCTION("""COMPUTED_VALUE"""),"Si")</f>
        <v>Si</v>
      </c>
      <c r="AM158" s="17" t="str">
        <f ca="1">IFERROR(__xludf.DUMMYFUNCTION("""COMPUTED_VALUE"""),"Si")</f>
        <v>Si</v>
      </c>
      <c r="AN158" s="17" t="str">
        <f ca="1">IFERROR(__xludf.DUMMYFUNCTION("""COMPUTED_VALUE"""),"Si")</f>
        <v>Si</v>
      </c>
      <c r="AO158" s="17" t="str">
        <f ca="1">IFERROR(__xludf.DUMMYFUNCTION("""COMPUTED_VALUE"""),"Si")</f>
        <v>Si</v>
      </c>
      <c r="AP158" s="17" t="str">
        <f ca="1">IFERROR(__xludf.DUMMYFUNCTION("""COMPUTED_VALUE"""),"Si")</f>
        <v>Si</v>
      </c>
      <c r="AQ158" s="17" t="str">
        <f ca="1">IFERROR(__xludf.DUMMYFUNCTION("""COMPUTED_VALUE"""),"No")</f>
        <v>No</v>
      </c>
      <c r="AR158" s="17" t="str">
        <f ca="1">IFERROR(__xludf.DUMMYFUNCTION("""COMPUTED_VALUE"""),"No")</f>
        <v>No</v>
      </c>
      <c r="AS158" s="15" t="str">
        <f ca="1">IFERROR(__xludf.DUMMYFUNCTION("""COMPUTED_VALUE"""),"No aplica")</f>
        <v>No aplica</v>
      </c>
      <c r="AT158" s="15" t="str">
        <f ca="1">IFERROR(__xludf.DUMMYFUNCTION("""COMPUTED_VALUE"""),"Ninguna")</f>
        <v>Ninguna</v>
      </c>
      <c r="AU158" s="10"/>
    </row>
    <row r="159" spans="1:47" x14ac:dyDescent="0.25">
      <c r="A159" s="25"/>
      <c r="B159" s="86"/>
      <c r="C159" s="86"/>
      <c r="D159" s="64"/>
      <c r="E159" s="64"/>
      <c r="F159" s="64"/>
      <c r="G159" s="64"/>
      <c r="H159" s="64"/>
      <c r="I159" s="64"/>
      <c r="J159" s="64"/>
      <c r="K159" s="64"/>
      <c r="L159" s="64"/>
      <c r="M159" s="64"/>
      <c r="N159" s="64"/>
      <c r="O159" s="64"/>
      <c r="P159" s="64"/>
      <c r="Q159" s="83"/>
      <c r="R159" s="20" t="str">
        <f ca="1">IFERROR(__xludf.DUMMYFUNCTION("""COMPUTED_VALUE"""),"")</f>
        <v/>
      </c>
      <c r="S159" s="42" t="str">
        <f ca="1">IFERROR(__xludf.DUMMYFUNCTION("""COMPUTED_VALUE"""),"")</f>
        <v/>
      </c>
      <c r="T159" s="34"/>
      <c r="U159" s="20"/>
      <c r="V159" s="89"/>
      <c r="W159" s="89"/>
      <c r="X159" s="89"/>
      <c r="Y159" s="89"/>
      <c r="Z159" s="15" t="str">
        <f ca="1">IFERROR(__xludf.DUMMYFUNCTION("""COMPUTED_VALUE"""),"30 de agosto")</f>
        <v>30 de agosto</v>
      </c>
      <c r="AA159" s="17"/>
      <c r="AB159" s="17"/>
      <c r="AC159" s="15"/>
      <c r="AD159" s="17"/>
      <c r="AE159" s="18" t="str">
        <f ca="1">IFERROR(__xludf.DUMMYFUNCTION("""COMPUTED_VALUE"""),"Evidencia")</f>
        <v>Evidencia</v>
      </c>
      <c r="AF159" s="15"/>
      <c r="AG159" s="15"/>
      <c r="AH159" s="15"/>
      <c r="AI159" s="24" t="str">
        <f ca="1">IFERROR(__xludf.DUMMYFUNCTION("""COMPUTED_VALUE"""),"31 de agosto")</f>
        <v>31 de agosto</v>
      </c>
      <c r="AJ159" s="17"/>
      <c r="AK159" s="17"/>
      <c r="AL159" s="17"/>
      <c r="AM159" s="17"/>
      <c r="AN159" s="17"/>
      <c r="AO159" s="17"/>
      <c r="AP159" s="17"/>
      <c r="AQ159" s="17"/>
      <c r="AR159" s="17"/>
      <c r="AS159" s="15"/>
      <c r="AT159" s="15"/>
      <c r="AU159" s="10"/>
    </row>
    <row r="160" spans="1:47" x14ac:dyDescent="0.25">
      <c r="A160" s="25"/>
      <c r="B160" s="86"/>
      <c r="C160" s="86"/>
      <c r="D160" s="61"/>
      <c r="E160" s="61"/>
      <c r="F160" s="61"/>
      <c r="G160" s="61"/>
      <c r="H160" s="61"/>
      <c r="I160" s="61"/>
      <c r="J160" s="61"/>
      <c r="K160" s="61"/>
      <c r="L160" s="61"/>
      <c r="M160" s="61"/>
      <c r="N160" s="61"/>
      <c r="O160" s="61"/>
      <c r="P160" s="61"/>
      <c r="Q160" s="84"/>
      <c r="R160" s="26" t="str">
        <f ca="1">IFERROR(__xludf.DUMMYFUNCTION("""COMPUTED_VALUE"""),"")</f>
        <v/>
      </c>
      <c r="S160" s="43" t="str">
        <f ca="1">IFERROR(__xludf.DUMMYFUNCTION("""COMPUTED_VALUE"""),"")</f>
        <v/>
      </c>
      <c r="T160" s="38"/>
      <c r="U160" s="26"/>
      <c r="V160" s="76"/>
      <c r="W160" s="76"/>
      <c r="X160" s="76"/>
      <c r="Y160" s="76"/>
      <c r="Z160" s="15" t="str">
        <f ca="1">IFERROR(__xludf.DUMMYFUNCTION("""COMPUTED_VALUE"""),"30 de diciembre")</f>
        <v>30 de diciembre</v>
      </c>
      <c r="AA160" s="17"/>
      <c r="AB160" s="17"/>
      <c r="AC160" s="15"/>
      <c r="AD160" s="17"/>
      <c r="AE160" s="18" t="str">
        <f ca="1">IFERROR(__xludf.DUMMYFUNCTION("""COMPUTED_VALUE"""),"Evidencia")</f>
        <v>Evidencia</v>
      </c>
      <c r="AF160" s="15"/>
      <c r="AG160" s="15"/>
      <c r="AH160" s="15"/>
      <c r="AI160" s="24" t="str">
        <f ca="1">IFERROR(__xludf.DUMMYFUNCTION("""COMPUTED_VALUE"""),"31 de diciembre")</f>
        <v>31 de diciembre</v>
      </c>
      <c r="AJ160" s="17"/>
      <c r="AK160" s="17"/>
      <c r="AL160" s="17"/>
      <c r="AM160" s="17"/>
      <c r="AN160" s="17"/>
      <c r="AO160" s="17"/>
      <c r="AP160" s="17"/>
      <c r="AQ160" s="17"/>
      <c r="AR160" s="17"/>
      <c r="AS160" s="15"/>
      <c r="AT160" s="15"/>
      <c r="AU160" s="10"/>
    </row>
    <row r="161" spans="1:47" ht="180" x14ac:dyDescent="0.25">
      <c r="A161" s="25"/>
      <c r="B161" s="86"/>
      <c r="C161" s="86"/>
      <c r="D161" s="63" t="str">
        <f ca="1">IFERROR(__xludf.DUMMYFUNCTION("""COMPUTED_VALUE"""),"Posibilidad de afectación económica y reputacional de la entidad por pago de condenas derivadas de sentencias, debidamente ejecutoriadas y  en contra del a Universidad, por la configuración de contrato realidad, ocasionada por debilidades en la supervisió"&amp;"n de los contratos de prestación de servicios, debido a la inadecuada verificación de la ejecución contractual y a la posible configuración de elementos propios de una relación laboral (subordinación, prestación personal del servicio y remuneración)")</f>
        <v>Posibilidad de afectación económica y reputacional de la entidad por pago de condenas derivadas de sentencias, debidamente ejecutoriadas y  en contra del a Universidad, por la configuración de contrato realidad, ocasionada por debilidades en la supervisión de los contratos de prestación de servicios, debido a la inadecuada verificación de la ejecución contractual y a la posible configuración de elementos propios de una relación laboral (subordinación, prestación personal del servicio y remuneración)</v>
      </c>
      <c r="E161" s="63" t="str">
        <f ca="1">IFERROR(__xludf.DUMMYFUNCTION("""COMPUTED_VALUE"""),"Oficina jurídica")</f>
        <v>Oficina jurídica</v>
      </c>
      <c r="F161" s="63" t="str">
        <f ca="1">IFERROR(__xludf.DUMMYFUNCTION("""COMPUTED_VALUE"""),"Fiscal")</f>
        <v>Fiscal</v>
      </c>
      <c r="G161" s="63" t="str">
        <f ca="1">IFERROR(__xludf.DUMMYFUNCTION("""COMPUTED_VALUE"""),". Desconocimiento del alcance, objeto y obligaciones contractuales establecidas en los contratos de prestación de servicios por parte del supervisor y contratista.
")</f>
        <v xml:space="preserve">. Desconocimiento del alcance, objeto y obligaciones contractuales establecidas en los contratos de prestación de servicios por parte del supervisor y contratista.
</v>
      </c>
      <c r="H161" s="63" t="str">
        <f ca="1">IFERROR(__xludf.DUMMYFUNCTION("""COMPUTED_VALUE"""),"1.Sentencias judiciales en contra de la entidad por la declaratoria de contrato realidad, que puede conllevar: 
i. Condenas al pago de prestaciones sociales, salarios y demás emolumentos laborales.
ii.indemnizaciones por despido sin justa causa. 
"&amp;"
iii. Reintegro, mediante el cual ordenen el pago de los salarios y emolumentos dejados de percibir. 
iv. Condena en costas procesales.
2.Afectación reputacional institucional por incumplimientos en la gestión contractual.")</f>
        <v>1.Sentencias judiciales en contra de la entidad por la declaratoria de contrato realidad, que puede conllevar: 
i. Condenas al pago de prestaciones sociales, salarios y demás emolumentos laborales.
ii.indemnizaciones por despido sin justa causa. 
iii. Reintegro, mediante el cual ordenen el pago de los salarios y emolumentos dejados de percibir. 
iv. Condena en costas procesales.
2.Afectación reputacional institucional por incumplimientos en la gestión contractual.</v>
      </c>
      <c r="I161" s="65" t="str">
        <f ca="1">IFERROR(__xludf.DUMMYFUNCTION("""COMPUTED_VALUE"""),"JUR_03")</f>
        <v>JUR_03</v>
      </c>
      <c r="J161" s="65" t="str">
        <f ca="1">IFERROR(__xludf.DUMMYFUNCTION("""COMPUTED_VALUE"""),"Baja")</f>
        <v>Baja</v>
      </c>
      <c r="K161" s="65" t="str">
        <f ca="1">IFERROR(__xludf.DUMMYFUNCTION("""COMPUTED_VALUE"""),"Mayor")</f>
        <v>Mayor</v>
      </c>
      <c r="L161" s="65" t="str">
        <f ca="1">IFERROR(__xludf.DUMMYFUNCTION("""COMPUTED_VALUE"""),"Alta")</f>
        <v>Alta</v>
      </c>
      <c r="M161" s="63" t="str">
        <f ca="1">IFERROR(__xludf.DUMMYFUNCTION("""COMPUTED_VALUE"""),"C1: Realizar capacitaciones dirigidas a supervisores y personal administrativo en general, orientadas a explicar la naturaleza y diferencia entre los contratos de prestación de servicios y contrato laboral, 
así, como las obligaciones contractuales, caus"&amp;"ales de terminación del contrato de prestación de servicios y demás aspectos relevantes  con el fin de evitar se configuren un contrato realidad, pero sé dè cabal cumplimiento a las obligaciones contractuales. (ANUAL). ")</f>
        <v xml:space="preserve">C1: Realizar capacitaciones dirigidas a supervisores y personal administrativo en general, orientadas a explicar la naturaleza y diferencia entre los contratos de prestación de servicios y contrato laboral, 
así, como las obligaciones contractuales, causales de terminación del contrato de prestación de servicios y demás aspectos relevantes  con el fin de evitar se configuren un contrato realidad, pero sé dè cabal cumplimiento a las obligaciones contractuales. (ANUAL). </v>
      </c>
      <c r="N161" s="65" t="str">
        <f ca="1">IFERROR(__xludf.DUMMYFUNCTION("""COMPUTED_VALUE"""),"Baja")</f>
        <v>Baja</v>
      </c>
      <c r="O161" s="65" t="str">
        <f ca="1">IFERROR(__xludf.DUMMYFUNCTION("""COMPUTED_VALUE"""),"")</f>
        <v/>
      </c>
      <c r="P161" s="65" t="str">
        <f ca="1">IFERROR(__xludf.DUMMYFUNCTION("""COMPUTED_VALUE"""),"#N/A")</f>
        <v>#N/A</v>
      </c>
      <c r="Q161" s="91" t="str">
        <f ca="1">IFERROR(__xludf.DUMMYFUNCTION("""COMPUTED_VALUE"""),"Reducir")</f>
        <v>Reducir</v>
      </c>
      <c r="R161" s="20" t="str">
        <f ca="1">IFERROR(__xludf.DUMMYFUNCTION("""COMPUTED_VALUE"""),"Realizar capacitaciones dirigidas a los supervisores, orientadas a explicar la naturaleza y diferencia entre los contratos de prestación de servicios y contrato laboral, así, como las obligaciones contractuales, causales de terminación del contrato de pre"&amp;"stación de servicios y demás aspectos relevantes  con el fin de evitar se configuren un contrato realidad, pero sé dè cabal cumplimiento a las obligaciones contractuales. ")</f>
        <v xml:space="preserve">Realizar capacitaciones dirigidas a los supervisores, orientadas a explicar la naturaleza y diferencia entre los contratos de prestación de servicios y contrato laboral, así, como las obligaciones contractuales, causales de terminación del contrato de prestación de servicios y demás aspectos relevantes  con el fin de evitar se configuren un contrato realidad, pero sé dè cabal cumplimiento a las obligaciones contractuales. </v>
      </c>
      <c r="S161" s="40" t="str">
        <f ca="1">IFERROR(__xludf.DUMMYFUNCTION("""COMPUTED_VALUE"""),"Anual")</f>
        <v>Anual</v>
      </c>
      <c r="T161" s="32" t="str">
        <f ca="1">IFERROR(__xludf.DUMMYFUNCTION("""COMPUTED_VALUE"""),"Asesora Jurídica")</f>
        <v>Asesora Jurídica</v>
      </c>
      <c r="U161" s="41" t="str">
        <f ca="1">IFERROR(__xludf.DUMMYFUNCTION("""COMPUTED_VALUE"""),"Acta reunión.")</f>
        <v>Acta reunión.</v>
      </c>
      <c r="V161" s="92" t="str">
        <f ca="1">IFERROR(__xludf.DUMMYFUNCTION("""COMPUTED_VALUE"""),"Tramitar el pago de las sentencias condenatorias y debidamente ejecutoriadas, junto con las Dependencias responsables. 
Mediante informe, consistente en un análisis jurídico  dirigido al Rector, mediante el cual se informe fallos judiciales en contra la "&amp;"Universidad por contrato realidad, en aras de tomar medidas institucionales")</f>
        <v>Tramitar el pago de las sentencias condenatorias y debidamente ejecutoriadas, junto con las Dependencias responsables. 
Mediante informe, consistente en un análisis jurídico  dirigido al Rector, mediante el cual se informe fallos judiciales en contra la Universidad por contrato realidad, en aras de tomar medidas institucionales</v>
      </c>
      <c r="W161" s="97" t="str">
        <f ca="1">IFERROR(__xludf.DUMMYFUNCTION("""COMPUTED_VALUE"""),"-Informe remitido consistente en un análisis jurídico  dirigido al Rector, cuando se presente uno o varios fallos por contrato realidad contra la universidad,  mediante el cual, se identifique las posibles causas jurídicas y/o probatorias que conllevaron "&amp;"a la declaración del contrato realidad. 
Se precisa, que no existiendo sentencias ejecutoriadas por declaración de contrato realidad, no es necesario el informe, dado que lo que se busca es que sea una realidad actual e inminente. ")</f>
        <v xml:space="preserve">-Informe remitido consistente en un análisis jurídico  dirigido al Rector, cuando se presente uno o varios fallos por contrato realidad contra la universidad,  mediante el cual, se identifique las posibles causas jurídicas y/o probatorias que conllevaron a la declaración del contrato realidad. 
Se precisa, que no existiendo sentencias ejecutoriadas por declaración de contrato realidad, no es necesario el informe, dado que lo que se busca es que sea una realidad actual e inminente. </v>
      </c>
      <c r="X161" s="97" t="str">
        <f ca="1">IFERROR(__xludf.DUMMYFUNCTION("""COMPUTED_VALUE"""),"Asesora Jurídica")</f>
        <v>Asesora Jurídica</v>
      </c>
      <c r="Y161" s="97" t="str">
        <f ca="1">IFERROR(__xludf.DUMMYFUNCTION("""COMPUTED_VALUE"""),"En el menor tiempo posible, una vez se materialice el riesgo y se haya ordenado por el Juez competente el pago por concepto de prestaciones  y demàs emolumentos a causa del contrato realidad. ")</f>
        <v xml:space="preserve">En el menor tiempo posible, una vez se materialice el riesgo y se haya ordenado por el Juez competente el pago por concepto de prestaciones  y demàs emolumentos a causa del contrato realidad. </v>
      </c>
      <c r="Z161" s="15" t="str">
        <f ca="1">IFERROR(__xludf.DUMMYFUNCTION("""COMPUTED_VALUE"""),"30 de abril")</f>
        <v>30 de abril</v>
      </c>
      <c r="AA161" s="17" t="str">
        <f ca="1">IFERROR(__xludf.DUMMYFUNCTION("""COMPUTED_VALUE"""),"Anual")</f>
        <v>Anual</v>
      </c>
      <c r="AB161" s="17" t="str">
        <f ca="1">IFERROR(__xludf.DUMMYFUNCTION("""COMPUTED_VALUE"""),"No")</f>
        <v>No</v>
      </c>
      <c r="AC161" s="15" t="str">
        <f ca="1">IFERROR(__xludf.DUMMYFUNCTION("""COMPUTED_VALUE"""),"A la fecha del presente primer monitoreo, no se reporta la ejecución del control ni de las acciones asociadas, en razón a que su periodicidad es anual y actualmente se encuentra dentro del término previsto para su cumplimiento.
En consecuencia, no es p"&amp;"osible aún evaluar el resultado de la aplicación del control. No obstante, se deja constancia de que, a la fecha, no se ha materializado el riesgo identificado. 
Se continuará con el seguimiento correspondiente, a efectos de verificar la ejecución opor"&amp;"tuna del control dentro del periodo establecido. 
Se precisa que, teniendo en cuenta que el riesgo identificado se encuentra asociado a procesos judiciales tramitados ante la jurisdicción de lo contencioso administrativo, cuya naturaleza i"&amp;"mplica términos procesales extensos y actuaciones que se desarrollan en lapsos prolongados, se considera técnicamente adecuado que los controles definidos tengan una periodicidad anual.
Lo anterior, en razón a que la gestión, seguimiento y resultados d"&amp;"e este tipo de procesos no presentan variaciones significativas en periodos cortos, por lo que una evaluación anual permite verificar de manera integral la eficacia de los controles implementados y la evolución del riesgo, sin desconocer el seguimiento pe"&amp;"rmanente que se realiza a cada proceso.
")</f>
        <v xml:space="preserve">A la fecha del presente primer monitoreo, no se reporta la ejecución del control ni de las acciones asociadas, en razón a que su periodicidad es anual y actualmente se encuentra dentro del término previsto para su cumplimiento.
En consecuencia, no es posible aún evaluar el resultado de la aplicación del control. No obstante, se deja constancia de que, a la fecha, no se ha materializado el riesgo identificado. 
Se continuará con el seguimiento correspondiente, a efectos de verificar la ejecución oportuna del control dentro del periodo establecido. 
Se precisa que, teniendo en cuenta que el riesgo identificado se encuentra asociado a procesos judiciales tramitados ante la jurisdicción de lo contencioso administrativo, cuya naturaleza implica términos procesales extensos y actuaciones que se desarrollan en lapsos prolongados, se considera técnicamente adecuado que los controles definidos tengan una periodicidad anual.
Lo anterior, en razón a que la gestión, seguimiento y resultados de este tipo de procesos no presentan variaciones significativas en periodos cortos, por lo que una evaluación anual permite verificar de manera integral la eficacia de los controles implementados y la evolución del riesgo, sin desconocer el seguimiento permanente que se realiza a cada proceso.
</v>
      </c>
      <c r="AD161" s="17" t="str">
        <f ca="1">IFERROR(__xludf.DUMMYFUNCTION("""COMPUTED_VALUE"""),"Diana Milena Salas Leal- Asesora Jurídica")</f>
        <v>Diana Milena Salas Leal- Asesora Jurídica</v>
      </c>
      <c r="AE161" s="18" t="str">
        <f ca="1">IFERROR(__xludf.DUMMYFUNCTION("""COMPUTED_VALUE"""),"Evidencia")</f>
        <v>Evidencia</v>
      </c>
      <c r="AF161" s="15" t="str">
        <f ca="1">IFERROR(__xludf.DUMMYFUNCTION("""COMPUTED_VALUE"""),"Si")</f>
        <v>Si</v>
      </c>
      <c r="AG161" s="15" t="str">
        <f ca="1">IFERROR(__xludf.DUMMYFUNCTION("""COMPUTED_VALUE"""),"En proceso")</f>
        <v>En proceso</v>
      </c>
      <c r="AH161" s="15" t="str">
        <f ca="1">IFERROR(__xludf.DUMMYFUNCTION("""COMPUTED_VALUE"""),"
El control definido corresponde a una actividad de periodicidad anual, por lo cual a la fecha no se ha ejecutado, encontrándose dentro del plazo establecido para su cumplimiento.
Acciones asociadas al tratamiento del riesgo:
La capacitación dirigida a "&amp;"supervisores sobre contratos de prestación de servicios y prevención de contrato realidad se encuentra programada para ejecución dentro de la vigencia.
Conclusión:
El riesgo no se materializó durante el periodo evaluado y se continuará realizando seguimi"&amp;"ento al cumplimiento de los controles programados.")</f>
        <v xml:space="preserve">
El control definido corresponde a una actividad de periodicidad anual, por lo cual a la fecha no se ha ejecutado, encontrándose dentro del plazo establecido para su cumplimiento.
Acciones asociadas al tratamiento del riesgo:
La capacitación dirigida a supervisores sobre contratos de prestación de servicios y prevención de contrato realidad se encuentra programada para ejecución dentro de la vigencia.
Conclusión:
El riesgo no se materializó durante el periodo evaluado y se continuará realizando seguimiento al cumplimiento de los controles programados.</v>
      </c>
      <c r="AI161" s="24" t="str">
        <f ca="1">IFERROR(__xludf.DUMMYFUNCTION("""COMPUTED_VALUE"""),"30 de abril")</f>
        <v>30 de abril</v>
      </c>
      <c r="AJ161" s="17" t="str">
        <f ca="1">IFERROR(__xludf.DUMMYFUNCTION("""COMPUTED_VALUE"""),"Si")</f>
        <v>Si</v>
      </c>
      <c r="AK161" s="17" t="str">
        <f ca="1">IFERROR(__xludf.DUMMYFUNCTION("""COMPUTED_VALUE"""),"Si")</f>
        <v>Si</v>
      </c>
      <c r="AL161" s="17" t="str">
        <f ca="1">IFERROR(__xludf.DUMMYFUNCTION("""COMPUTED_VALUE"""),"Si")</f>
        <v>Si</v>
      </c>
      <c r="AM161" s="17" t="str">
        <f ca="1">IFERROR(__xludf.DUMMYFUNCTION("""COMPUTED_VALUE"""),"Si")</f>
        <v>Si</v>
      </c>
      <c r="AN161" s="17" t="str">
        <f ca="1">IFERROR(__xludf.DUMMYFUNCTION("""COMPUTED_VALUE"""),"No")</f>
        <v>No</v>
      </c>
      <c r="AO161" s="17" t="str">
        <f ca="1">IFERROR(__xludf.DUMMYFUNCTION("""COMPUTED_VALUE"""),"Si")</f>
        <v>Si</v>
      </c>
      <c r="AP161" s="17" t="str">
        <f ca="1">IFERROR(__xludf.DUMMYFUNCTION("""COMPUTED_VALUE"""),"Si")</f>
        <v>Si</v>
      </c>
      <c r="AQ161" s="17" t="str">
        <f ca="1">IFERROR(__xludf.DUMMYFUNCTION("""COMPUTED_VALUE"""),"No")</f>
        <v>No</v>
      </c>
      <c r="AR161" s="17" t="str">
        <f ca="1">IFERROR(__xludf.DUMMYFUNCTION("""COMPUTED_VALUE"""),"No")</f>
        <v>No</v>
      </c>
      <c r="AS161" s="15" t="str">
        <f ca="1">IFERROR(__xludf.DUMMYFUNCTION("""COMPUTED_VALUE"""),"No aplica")</f>
        <v>No aplica</v>
      </c>
      <c r="AT161" s="15" t="str">
        <f ca="1">IFERROR(__xludf.DUMMYFUNCTION("""COMPUTED_VALUE"""),"Recomendación:
1. Fortalecer la descripción del riesgo, considerando la metodología de la Guía para la Administración del Riesgo y el diseño de controles en entidades públicas Versión 7, que propone los elementos para la descripción del riesgo, como son: "&amp;"Impacto+Causa Inmediata+Causa Raíz. Igualmente iniciar la descripción con el término ""Posibilidad de efecto dañoso sobre los recursos de la entidad.."" como lo propone la guía metodológica.
2. Fortalecer la descripción de los controles, considerando la m"&amp;"etodología de la Guía para la Administración del Riesgo y el diseño de controles en entidades públicas Versión 7, que propone los elementos para el diseño del control: Responsable+Acción+Complemento.")</f>
        <v>Recomendación:
1. Fortalecer la descripción del riesgo, considerando la metodología de la Guía para la Administración del Riesgo y el diseño de controles en entidades públicas Versión 7, que propone los elementos para la descripción del riesgo, como son: Impacto+Causa Inmediata+Causa Raíz. Igualmente iniciar la descripción con el término "Posibilidad de efecto dañoso sobre los recursos de la entidad.." como lo propone la guía metodológica.
2. Fortalecer la descripción de los controles, considerando la metodología de la Guía para la Administración del Riesgo y el diseño de controles en entidades públicas Versión 7, que propone los elementos para el diseño del control: Responsable+Acción+Complemento.</v>
      </c>
      <c r="AU161" s="10"/>
    </row>
    <row r="162" spans="1:47" x14ac:dyDescent="0.25">
      <c r="A162" s="25"/>
      <c r="B162" s="86"/>
      <c r="C162" s="86"/>
      <c r="D162" s="64"/>
      <c r="E162" s="64"/>
      <c r="F162" s="64"/>
      <c r="G162" s="64"/>
      <c r="H162" s="64"/>
      <c r="I162" s="64"/>
      <c r="J162" s="64"/>
      <c r="K162" s="64"/>
      <c r="L162" s="64"/>
      <c r="M162" s="64"/>
      <c r="N162" s="64"/>
      <c r="O162" s="64"/>
      <c r="P162" s="64"/>
      <c r="Q162" s="83"/>
      <c r="R162" s="20" t="str">
        <f ca="1">IFERROR(__xludf.DUMMYFUNCTION("""COMPUTED_VALUE"""),"")</f>
        <v/>
      </c>
      <c r="S162" s="42" t="str">
        <f ca="1">IFERROR(__xludf.DUMMYFUNCTION("""COMPUTED_VALUE"""),"")</f>
        <v/>
      </c>
      <c r="T162" s="34"/>
      <c r="U162" s="20"/>
      <c r="V162" s="89"/>
      <c r="W162" s="89"/>
      <c r="X162" s="89"/>
      <c r="Y162" s="89"/>
      <c r="Z162" s="15" t="str">
        <f ca="1">IFERROR(__xludf.DUMMYFUNCTION("""COMPUTED_VALUE"""),"30 de agosto")</f>
        <v>30 de agosto</v>
      </c>
      <c r="AA162" s="17"/>
      <c r="AB162" s="17"/>
      <c r="AC162" s="15"/>
      <c r="AD162" s="17"/>
      <c r="AE162" s="18" t="str">
        <f ca="1">IFERROR(__xludf.DUMMYFUNCTION("""COMPUTED_VALUE"""),"Evidencia")</f>
        <v>Evidencia</v>
      </c>
      <c r="AF162" s="15"/>
      <c r="AG162" s="15"/>
      <c r="AH162" s="15"/>
      <c r="AI162" s="24" t="str">
        <f ca="1">IFERROR(__xludf.DUMMYFUNCTION("""COMPUTED_VALUE"""),"31 de agosto")</f>
        <v>31 de agosto</v>
      </c>
      <c r="AJ162" s="17"/>
      <c r="AK162" s="17"/>
      <c r="AL162" s="17"/>
      <c r="AM162" s="17"/>
      <c r="AN162" s="17"/>
      <c r="AO162" s="17"/>
      <c r="AP162" s="17"/>
      <c r="AQ162" s="17"/>
      <c r="AR162" s="17"/>
      <c r="AS162" s="15"/>
      <c r="AT162" s="15"/>
      <c r="AU162" s="10"/>
    </row>
    <row r="163" spans="1:47" x14ac:dyDescent="0.25">
      <c r="A163" s="25"/>
      <c r="B163" s="86"/>
      <c r="C163" s="86"/>
      <c r="D163" s="61"/>
      <c r="E163" s="61"/>
      <c r="F163" s="61"/>
      <c r="G163" s="61"/>
      <c r="H163" s="61"/>
      <c r="I163" s="61"/>
      <c r="J163" s="61"/>
      <c r="K163" s="61"/>
      <c r="L163" s="61"/>
      <c r="M163" s="61"/>
      <c r="N163" s="61"/>
      <c r="O163" s="61"/>
      <c r="P163" s="61"/>
      <c r="Q163" s="84"/>
      <c r="R163" s="26" t="str">
        <f ca="1">IFERROR(__xludf.DUMMYFUNCTION("""COMPUTED_VALUE"""),"")</f>
        <v/>
      </c>
      <c r="S163" s="43" t="str">
        <f ca="1">IFERROR(__xludf.DUMMYFUNCTION("""COMPUTED_VALUE"""),"")</f>
        <v/>
      </c>
      <c r="T163" s="38"/>
      <c r="U163" s="26"/>
      <c r="V163" s="76"/>
      <c r="W163" s="76"/>
      <c r="X163" s="76"/>
      <c r="Y163" s="76"/>
      <c r="Z163" s="15" t="str">
        <f ca="1">IFERROR(__xludf.DUMMYFUNCTION("""COMPUTED_VALUE"""),"30 de diciembre")</f>
        <v>30 de diciembre</v>
      </c>
      <c r="AA163" s="17"/>
      <c r="AB163" s="17"/>
      <c r="AC163" s="15"/>
      <c r="AD163" s="17"/>
      <c r="AE163" s="18" t="str">
        <f ca="1">IFERROR(__xludf.DUMMYFUNCTION("""COMPUTED_VALUE"""),"Evidencia")</f>
        <v>Evidencia</v>
      </c>
      <c r="AF163" s="15"/>
      <c r="AG163" s="15"/>
      <c r="AH163" s="15"/>
      <c r="AI163" s="24" t="str">
        <f ca="1">IFERROR(__xludf.DUMMYFUNCTION("""COMPUTED_VALUE"""),"31 de diciembre")</f>
        <v>31 de diciembre</v>
      </c>
      <c r="AJ163" s="17"/>
      <c r="AK163" s="17"/>
      <c r="AL163" s="17"/>
      <c r="AM163" s="17"/>
      <c r="AN163" s="17"/>
      <c r="AO163" s="17"/>
      <c r="AP163" s="17"/>
      <c r="AQ163" s="17"/>
      <c r="AR163" s="17"/>
      <c r="AS163" s="15"/>
      <c r="AT163" s="15"/>
      <c r="AU163" s="10"/>
    </row>
    <row r="164" spans="1:47" ht="132" x14ac:dyDescent="0.25">
      <c r="A164" s="25"/>
      <c r="B164" s="90" t="s">
        <v>74</v>
      </c>
      <c r="C164" s="85" t="str">
        <f ca="1">IFERROR(__xludf.DUMMYFUNCTION("IMPORTRANGE(""https://docs.google.com/spreadsheets/d/1MLeYKZoFkU5LBXg_9agqyWvgxXWtPJ7O-s_x41QMnCs/edit?gid=2098233099#gid=2098233099"",""Matriz_riesgos!C11:AT22"")"),"Verificar el cumplimiento de las actividades y lineamientos normativos aplicables a los procesos, de acuerdo al Modelo Estándar de Control Interno (MECI) y a la normatividad interna vigente aplicable. En el evento del incumplimiento de los deberes, la vio"&amp;"lación al régimen de prohibiciones o estar inmerso en una causal de inhabilidad e incompatibilidad, realizar la respectiva investigación, evaluación y sanción. ")</f>
        <v xml:space="preserve">Verificar el cumplimiento de las actividades y lineamientos normativos aplicables a los procesos, de acuerdo al Modelo Estándar de Control Interno (MECI) y a la normatividad interna vigente aplicable. En el evento del incumplimiento de los deberes, la violación al régimen de prohibiciones o estar inmerso en una causal de inhabilidad e incompatibilidad, realizar la respectiva investigación, evaluación y sanción. </v>
      </c>
      <c r="D164" s="63" t="str">
        <f ca="1">IFERROR(__xludf.DUMMYFUNCTION("""COMPUTED_VALUE"""),"Posibilidad de afectación económica y reputacional por incumplimiento de los planes de mejoramiento suscritos ante los entes de Control, por falta de monitoreo y cumplimiento de las acciones.")</f>
        <v>Posibilidad de afectación económica y reputacional por incumplimiento de los planes de mejoramiento suscritos ante los entes de Control, por falta de monitoreo y cumplimiento de las acciones.</v>
      </c>
      <c r="E164" s="63" t="str">
        <f ca="1">IFERROR(__xludf.DUMMYFUNCTION("""COMPUTED_VALUE"""),"Oficina de Control Interno de Gestión")</f>
        <v>Oficina de Control Interno de Gestión</v>
      </c>
      <c r="F164" s="63" t="str">
        <f ca="1">IFERROR(__xludf.DUMMYFUNCTION("""COMPUTED_VALUE"""),"Gestión")</f>
        <v>Gestión</v>
      </c>
      <c r="G164" s="63" t="str">
        <f ca="1">IFERROR(__xludf.DUMMYFUNCTION("""COMPUTED_VALUE"""),"- Falta de Gestión de los Procesos responsables de las actividades suscritas
- Falta de monitoreo y seguimiento al cumplimiento de las acciones por parte de la Oficina de Control Interno de Gestión")</f>
        <v>- Falta de Gestión de los Procesos responsables de las actividades suscritas
- Falta de monitoreo y seguimiento al cumplimiento de las acciones por parte de la Oficina de Control Interno de Gestión</v>
      </c>
      <c r="H164" s="63" t="str">
        <f ca="1">IFERROR(__xludf.DUMMYFUNCTION("""COMPUTED_VALUE"""),"- Investigaciones disciplinarias
-Destitución del Rector 
- Pérdida de credibilidad en la Oficina 
- Carencia de evidencia objetiva en el desempeño de las actividades")</f>
        <v>- Investigaciones disciplinarias
-Destitución del Rector 
- Pérdida de credibilidad en la Oficina 
- Carencia de evidencia objetiva en el desempeño de las actividades</v>
      </c>
      <c r="I164" s="65" t="str">
        <f ca="1">IFERROR(__xludf.DUMMYFUNCTION("""COMPUTED_VALUE"""),"ECS_01")</f>
        <v>ECS_01</v>
      </c>
      <c r="J164" s="65" t="str">
        <f ca="1">IFERROR(__xludf.DUMMYFUNCTION("""COMPUTED_VALUE"""),"Media")</f>
        <v>Media</v>
      </c>
      <c r="K164" s="65" t="str">
        <f ca="1">IFERROR(__xludf.DUMMYFUNCTION("""COMPUTED_VALUE"""),"Mayor")</f>
        <v>Mayor</v>
      </c>
      <c r="L164" s="65" t="str">
        <f ca="1">IFERROR(__xludf.DUMMYFUNCTION("""COMPUTED_VALUE"""),"Extrema")</f>
        <v>Extrema</v>
      </c>
      <c r="M164" s="63" t="str">
        <f ca="1">IFERROR(__xludf.DUMMYFUNCTION("""COMPUTED_VALUE"""),"- La oficina de Control Interno de Gestión, evalúa semestralmente cada uno de los hallazgos identificados por los entes de control, verificando el cumplimiento de las acciones suscritas
  ")</f>
        <v xml:space="preserve">- La oficina de Control Interno de Gestión, evalúa semestralmente cada uno de los hallazgos identificados por los entes de control, verificando el cumplimiento de las acciones suscritas
  </v>
      </c>
      <c r="N164" s="65" t="str">
        <f ca="1">IFERROR(__xludf.DUMMYFUNCTION("""COMPUTED_VALUE"""),"Baja")</f>
        <v>Baja</v>
      </c>
      <c r="O164" s="65" t="str">
        <f ca="1">IFERROR(__xludf.DUMMYFUNCTION("""COMPUTED_VALUE"""),"Mayor")</f>
        <v>Mayor</v>
      </c>
      <c r="P164" s="65" t="str">
        <f ca="1">IFERROR(__xludf.DUMMYFUNCTION("""COMPUTED_VALUE"""),"Alta")</f>
        <v>Alta</v>
      </c>
      <c r="Q164" s="91" t="str">
        <f ca="1">IFERROR(__xludf.DUMMYFUNCTION("""COMPUTED_VALUE"""),"Reducir")</f>
        <v>Reducir</v>
      </c>
      <c r="R164" s="20" t="str">
        <f ca="1">IFERROR(__xludf.DUMMYFUNCTION("""COMPUTED_VALUE"""),"La oficina de Control Interno de Gestión informa a la Rectoría cuando las acciones contempladas en el Plan de mejoramiento no hayan sido ejecutadas.")</f>
        <v>La oficina de Control Interno de Gestión informa a la Rectoría cuando las acciones contempladas en el Plan de mejoramiento no hayan sido ejecutadas.</v>
      </c>
      <c r="S164" s="40" t="str">
        <f ca="1">IFERROR(__xludf.DUMMYFUNCTION("""COMPUTED_VALUE"""),"Cuando se requiera")</f>
        <v>Cuando se requiera</v>
      </c>
      <c r="T164" s="14" t="str">
        <f ca="1">IFERROR(__xludf.DUMMYFUNCTION("""COMPUTED_VALUE"""),"Asesor de Control Interno")</f>
        <v>Asesor de Control Interno</v>
      </c>
      <c r="U164" s="55" t="str">
        <f ca="1">IFERROR(__xludf.DUMMYFUNCTION("""COMPUTED_VALUE"""),"Correo electrónico o acta de reunión en el marco de seguimiento de Comité Directivo")</f>
        <v>Correo electrónico o acta de reunión en el marco de seguimiento de Comité Directivo</v>
      </c>
      <c r="V164" s="92" t="str">
        <f ca="1">IFERROR(__xludf.DUMMYFUNCTION("""COMPUTED_VALUE"""),"Presentar informe de la situación ante el Comité Institucional de Coordinación de Control Interno")</f>
        <v>Presentar informe de la situación ante el Comité Institucional de Coordinación de Control Interno</v>
      </c>
      <c r="W164" s="97" t="str">
        <f ca="1">IFERROR(__xludf.DUMMYFUNCTION("""COMPUTED_VALUE"""),"Acta del Comité Institucional de Coordinación de Control Interno")</f>
        <v>Acta del Comité Institucional de Coordinación de Control Interno</v>
      </c>
      <c r="X164" s="97" t="str">
        <f ca="1">IFERROR(__xludf.DUMMYFUNCTION("""COMPUTED_VALUE"""),"Asesor de Control interno")</f>
        <v>Asesor de Control interno</v>
      </c>
      <c r="Y164" s="97" t="str">
        <f ca="1">IFERROR(__xludf.DUMMYFUNCTION("""COMPUTED_VALUE"""),"30 después después de la materialización")</f>
        <v>30 después después de la materialización</v>
      </c>
      <c r="Z164" s="15" t="str">
        <f ca="1">IFERROR(__xludf.DUMMYFUNCTION("""COMPUTED_VALUE"""),"30 de abril")</f>
        <v>30 de abril</v>
      </c>
      <c r="AA164" s="17" t="str">
        <f ca="1">IFERROR(__xludf.DUMMYFUNCTION("""COMPUTED_VALUE"""),"Enero a abril de 2026")</f>
        <v>Enero a abril de 2026</v>
      </c>
      <c r="AB164" s="17" t="str">
        <f ca="1">IFERROR(__xludf.DUMMYFUNCTION("""COMPUTED_VALUE"""),"No")</f>
        <v>No</v>
      </c>
      <c r="AC164" s="15" t="str">
        <f ca="1">IFERROR(__xludf.DUMMYFUNCTION("""COMPUTED_VALUE"""),"Ejecución del control: Durante el primer cuatrimestre de 2025, la oficina de Control Interno, evaluó el cumplimiento de las acciones contempladas en el Plan de mejoramiento suscrito ante la Contraloria General y Departamental, mediante los reportes realiz"&amp;"ados con corte al 31 de diciembre de 2025.  Así mismo, durante el primer cuatrimestre del 2026, la oficina de Control Interno, evaluó el cumplimiento de las acciones contempladas en el Plan de mejoramiento suscrito ante la Contraloria General y/o Departam"&amp;"ental, de las acciones con fecha de cumplimiento dentro del mencionado periodo, conforme los correos electrónicos que se anexan como evidencia.
Con relación a las acciones asociadas al tratamiento, durante el primer cuatrimestre 2025, no se presentó la n"&amp;"ecesidad de informar a la Rectoría sobre las acciones no ejecutadas, toda vez que las acciones de los planes de mejoramiento institucional (CGR y CDM), vienen reportando avance y cumplimiento dentro de los términos establecidos.
Como resultado de los con"&amp;"troles ejectudados, se evitó la materialización del riesgo.")</f>
        <v>Ejecución del control: Durante el primer cuatrimestre de 2025, la oficina de Control Interno, evaluó el cumplimiento de las acciones contempladas en el Plan de mejoramiento suscrito ante la Contraloria General y Departamental, mediante los reportes realizados con corte al 31 de diciembre de 2025.  Así mismo, durante el primer cuatrimestre del 2026, la oficina de Control Interno, evaluó el cumplimiento de las acciones contempladas en el Plan de mejoramiento suscrito ante la Contraloria General y/o Departamental, de las acciones con fecha de cumplimiento dentro del mencionado periodo, conforme los correos electrónicos que se anexan como evidencia.
Con relación a las acciones asociadas al tratamiento, durante el primer cuatrimestre 2025, no se presentó la necesidad de informar a la Rectoría sobre las acciones no ejecutadas, toda vez que las acciones de los planes de mejoramiento institucional (CGR y CDM), vienen reportando avance y cumplimiento dentro de los términos establecidos.
Como resultado de los controles ejectudados, se evitó la materialización del riesgo.</v>
      </c>
      <c r="AD164" s="17" t="str">
        <f ca="1">IFERROR(__xludf.DUMMYFUNCTION("""COMPUTED_VALUE"""),"Asesor de Control Interno de Gestión")</f>
        <v>Asesor de Control Interno de Gestión</v>
      </c>
      <c r="AE164" s="18" t="str">
        <f ca="1">IFERROR(__xludf.DUMMYFUNCTION("""COMPUTED_VALUE"""),"Evidencia")</f>
        <v>Evidencia</v>
      </c>
      <c r="AF164" s="15" t="str">
        <f ca="1">IFERROR(__xludf.DUMMYFUNCTION("""COMPUTED_VALUE"""),"Si")</f>
        <v>Si</v>
      </c>
      <c r="AG164" s="15" t="str">
        <f ca="1">IFERROR(__xludf.DUMMYFUNCTION("""COMPUTED_VALUE"""),"Ejecutada")</f>
        <v>Ejecutada</v>
      </c>
      <c r="AH164" s="15" t="str">
        <f ca="1">IFERROR(__xludf.DUMMYFUNCTION("""COMPUTED_VALUE"""),"C1: Se verificó la evaluación semestral de los hallazgos y del cumplimiento de las acciones de los planes de mejoramiento suscritos ante la Contraloría General y Departamental, evidenciando seguimiento a las acciones con corte a diciembre de 2025 y a aque"&amp;"llas con vencimiento durante el periodo evaluado.
Materialización del riesgo: El riesgo no se materializó durante el periodo evaluado.
Conclusión: El control se ejecuta conforme a lo establecido, evidenciando seguimiento al cumplimiento de las acciones "&amp;"de los planes de mejoramiento. El riesgo se mantiene bajo control y cuenta con soportes documentales que respaldan su ejecución.")</f>
        <v>C1: Se verificó la evaluación semestral de los hallazgos y del cumplimiento de las acciones de los planes de mejoramiento suscritos ante la Contraloría General y Departamental, evidenciando seguimiento a las acciones con corte a diciembre de 2025 y a aquellas con vencimiento durante el periodo evaluado.
Materialización del riesgo: El riesgo no se materializó durante el periodo evaluado.
Conclusión: El control se ejecuta conforme a lo establecido, evidenciando seguimiento al cumplimiento de las acciones de los planes de mejoramiento. El riesgo se mantiene bajo control y cuenta con soportes documentales que respaldan su ejecución.</v>
      </c>
      <c r="AI164" s="15" t="str">
        <f ca="1">IFERROR(__xludf.DUMMYFUNCTION("""COMPUTED_VALUE"""),"30 de abril")</f>
        <v>30 de abril</v>
      </c>
      <c r="AJ164" s="17" t="str">
        <f ca="1">IFERROR(__xludf.DUMMYFUNCTION("""COMPUTED_VALUE"""),"Si")</f>
        <v>Si</v>
      </c>
      <c r="AK164" s="17" t="str">
        <f ca="1">IFERROR(__xludf.DUMMYFUNCTION("""COMPUTED_VALUE"""),"Si")</f>
        <v>Si</v>
      </c>
      <c r="AL164" s="17" t="str">
        <f ca="1">IFERROR(__xludf.DUMMYFUNCTION("""COMPUTED_VALUE"""),"Si")</f>
        <v>Si</v>
      </c>
      <c r="AM164" s="17" t="str">
        <f ca="1">IFERROR(__xludf.DUMMYFUNCTION("""COMPUTED_VALUE"""),"Si")</f>
        <v>Si</v>
      </c>
      <c r="AN164" s="17" t="str">
        <f ca="1">IFERROR(__xludf.DUMMYFUNCTION("""COMPUTED_VALUE"""),"Si")</f>
        <v>Si</v>
      </c>
      <c r="AO164" s="17" t="str">
        <f ca="1">IFERROR(__xludf.DUMMYFUNCTION("""COMPUTED_VALUE"""),"Si")</f>
        <v>Si</v>
      </c>
      <c r="AP164" s="17" t="str">
        <f ca="1">IFERROR(__xludf.DUMMYFUNCTION("""COMPUTED_VALUE"""),"Si")</f>
        <v>Si</v>
      </c>
      <c r="AQ164" s="17" t="str">
        <f ca="1">IFERROR(__xludf.DUMMYFUNCTION("""COMPUTED_VALUE"""),"No")</f>
        <v>No</v>
      </c>
      <c r="AR164" s="17" t="str">
        <f ca="1">IFERROR(__xludf.DUMMYFUNCTION("""COMPUTED_VALUE"""),"No")</f>
        <v>No</v>
      </c>
      <c r="AS164" s="15" t="str">
        <f ca="1">IFERROR(__xludf.DUMMYFUNCTION("""COMPUTED_VALUE"""),"No aplica")</f>
        <v>No aplica</v>
      </c>
      <c r="AT164" s="15" t="str">
        <f ca="1">IFERROR(__xludf.DUMMYFUNCTION("""COMPUTED_VALUE"""),"Ninguna")</f>
        <v>Ninguna</v>
      </c>
      <c r="AU164" s="10"/>
    </row>
    <row r="165" spans="1:47" x14ac:dyDescent="0.25">
      <c r="A165" s="25"/>
      <c r="B165" s="86"/>
      <c r="C165" s="86"/>
      <c r="D165" s="64"/>
      <c r="E165" s="64"/>
      <c r="F165" s="64"/>
      <c r="G165" s="64"/>
      <c r="H165" s="64"/>
      <c r="I165" s="64"/>
      <c r="J165" s="64"/>
      <c r="K165" s="64"/>
      <c r="L165" s="64"/>
      <c r="M165" s="64"/>
      <c r="N165" s="64"/>
      <c r="O165" s="64"/>
      <c r="P165" s="64"/>
      <c r="Q165" s="83"/>
      <c r="R165" s="20" t="str">
        <f ca="1">IFERROR(__xludf.DUMMYFUNCTION("""COMPUTED_VALUE"""),"")</f>
        <v/>
      </c>
      <c r="S165" s="42" t="str">
        <f ca="1">IFERROR(__xludf.DUMMYFUNCTION("""COMPUTED_VALUE"""),"")</f>
        <v/>
      </c>
      <c r="T165" s="34"/>
      <c r="U165" s="20"/>
      <c r="V165" s="89"/>
      <c r="W165" s="89"/>
      <c r="X165" s="89"/>
      <c r="Y165" s="89"/>
      <c r="Z165" s="15" t="str">
        <f ca="1">IFERROR(__xludf.DUMMYFUNCTION("""COMPUTED_VALUE"""),"30 de agosto")</f>
        <v>30 de agosto</v>
      </c>
      <c r="AA165" s="17"/>
      <c r="AB165" s="17"/>
      <c r="AC165" s="15"/>
      <c r="AD165" s="17"/>
      <c r="AE165" s="18" t="str">
        <f ca="1">IFERROR(__xludf.DUMMYFUNCTION("""COMPUTED_VALUE"""),"Evidencia")</f>
        <v>Evidencia</v>
      </c>
      <c r="AF165" s="15"/>
      <c r="AG165" s="15"/>
      <c r="AH165" s="15"/>
      <c r="AI165" s="24" t="str">
        <f ca="1">IFERROR(__xludf.DUMMYFUNCTION("""COMPUTED_VALUE"""),"31 de agosto")</f>
        <v>31 de agosto</v>
      </c>
      <c r="AJ165" s="17"/>
      <c r="AK165" s="17"/>
      <c r="AL165" s="17"/>
      <c r="AM165" s="17"/>
      <c r="AN165" s="17"/>
      <c r="AO165" s="17"/>
      <c r="AP165" s="17"/>
      <c r="AQ165" s="17"/>
      <c r="AR165" s="17"/>
      <c r="AS165" s="15"/>
      <c r="AT165" s="15"/>
      <c r="AU165" s="10"/>
    </row>
    <row r="166" spans="1:47" x14ac:dyDescent="0.25">
      <c r="A166" s="25"/>
      <c r="B166" s="86"/>
      <c r="C166" s="86"/>
      <c r="D166" s="61"/>
      <c r="E166" s="61"/>
      <c r="F166" s="61"/>
      <c r="G166" s="61"/>
      <c r="H166" s="61"/>
      <c r="I166" s="61"/>
      <c r="J166" s="61"/>
      <c r="K166" s="61"/>
      <c r="L166" s="61"/>
      <c r="M166" s="61"/>
      <c r="N166" s="61"/>
      <c r="O166" s="61"/>
      <c r="P166" s="61"/>
      <c r="Q166" s="84"/>
      <c r="R166" s="26" t="str">
        <f ca="1">IFERROR(__xludf.DUMMYFUNCTION("""COMPUTED_VALUE"""),"")</f>
        <v/>
      </c>
      <c r="S166" s="43" t="str">
        <f ca="1">IFERROR(__xludf.DUMMYFUNCTION("""COMPUTED_VALUE"""),"")</f>
        <v/>
      </c>
      <c r="T166" s="38"/>
      <c r="U166" s="26"/>
      <c r="V166" s="76"/>
      <c r="W166" s="76"/>
      <c r="X166" s="76"/>
      <c r="Y166" s="76"/>
      <c r="Z166" s="15" t="str">
        <f ca="1">IFERROR(__xludf.DUMMYFUNCTION("""COMPUTED_VALUE"""),"30 de diciembre")</f>
        <v>30 de diciembre</v>
      </c>
      <c r="AA166" s="17"/>
      <c r="AB166" s="17"/>
      <c r="AC166" s="15"/>
      <c r="AD166" s="17"/>
      <c r="AE166" s="18" t="str">
        <f ca="1">IFERROR(__xludf.DUMMYFUNCTION("""COMPUTED_VALUE"""),"Evidencia")</f>
        <v>Evidencia</v>
      </c>
      <c r="AF166" s="15"/>
      <c r="AG166" s="15"/>
      <c r="AH166" s="15"/>
      <c r="AI166" s="24" t="str">
        <f ca="1">IFERROR(__xludf.DUMMYFUNCTION("""COMPUTED_VALUE"""),"31 de diciembre")</f>
        <v>31 de diciembre</v>
      </c>
      <c r="AJ166" s="17"/>
      <c r="AK166" s="17"/>
      <c r="AL166" s="17"/>
      <c r="AM166" s="17"/>
      <c r="AN166" s="17"/>
      <c r="AO166" s="17"/>
      <c r="AP166" s="17"/>
      <c r="AQ166" s="17"/>
      <c r="AR166" s="17"/>
      <c r="AS166" s="15"/>
      <c r="AT166" s="15"/>
      <c r="AU166" s="10"/>
    </row>
    <row r="167" spans="1:47" ht="96" x14ac:dyDescent="0.25">
      <c r="A167" s="25"/>
      <c r="B167" s="86"/>
      <c r="C167" s="86"/>
      <c r="D167" s="88" t="str">
        <f ca="1">IFERROR(__xludf.DUMMYFUNCTION("""COMPUTED_VALUE"""),"Afectación reputacional, debido a la omisión en el reporte de actos de corrupción, para favorecer a un funcionario o a un tercero o aceptar dádivas para beneficio a nombre propio o de otros.                     ")</f>
        <v xml:space="preserve">Afectación reputacional, debido a la omisión en el reporte de actos de corrupción, para favorecer a un funcionario o a un tercero o aceptar dádivas para beneficio a nombre propio o de otros.                     </v>
      </c>
      <c r="E167" s="63" t="str">
        <f ca="1">IFERROR(__xludf.DUMMYFUNCTION("""COMPUTED_VALUE"""),"Oficina de Control Interno de Gestión")</f>
        <v>Oficina de Control Interno de Gestión</v>
      </c>
      <c r="F167" s="63" t="str">
        <f ca="1">IFERROR(__xludf.DUMMYFUNCTION("""COMPUTED_VALUE"""),"Corrupción")</f>
        <v>Corrupción</v>
      </c>
      <c r="G167" s="63" t="str">
        <f ca="1">IFERROR(__xludf.DUMMYFUNCTION("""COMPUTED_VALUE"""),"- Omitir reportes de actos de corrupción para favorecer a un funcionario o a un tercero.
- Aceptar dádivas para beneficio a nombre propio o de otros. ")</f>
        <v xml:space="preserve">- Omitir reportes de actos de corrupción para favorecer a un funcionario o a un tercero.
- Aceptar dádivas para beneficio a nombre propio o de otros. </v>
      </c>
      <c r="H167" s="63" t="str">
        <f ca="1">IFERROR(__xludf.DUMMYFUNCTION("""COMPUTED_VALUE"""),"- Sanciones disciplinarias
- Sanciones fiscales 
- Afectación en la imagen de la Oficina")</f>
        <v>- Sanciones disciplinarias
- Sanciones fiscales 
- Afectación en la imagen de la Oficina</v>
      </c>
      <c r="I167" s="65" t="str">
        <f ca="1">IFERROR(__xludf.DUMMYFUNCTION("""COMPUTED_VALUE"""),"ECS_02")</f>
        <v>ECS_02</v>
      </c>
      <c r="J167" s="65" t="str">
        <f ca="1">IFERROR(__xludf.DUMMYFUNCTION("""COMPUTED_VALUE"""),"Media")</f>
        <v>Media</v>
      </c>
      <c r="K167" s="65" t="str">
        <f ca="1">IFERROR(__xludf.DUMMYFUNCTION("""COMPUTED_VALUE"""),"Catastrófico")</f>
        <v>Catastrófico</v>
      </c>
      <c r="L167" s="65" t="str">
        <f ca="1">IFERROR(__xludf.DUMMYFUNCTION("""COMPUTED_VALUE"""),"Extrema")</f>
        <v>Extrema</v>
      </c>
      <c r="M167" s="63" t="str">
        <f ca="1">IFERROR(__xludf.DUMMYFUNCTION("""COMPUTED_VALUE"""),"-El Asesor de Control Interno de Gestión, verifica la suscripción de la Declaración de Independencia y Compromiso Ético, por parte de cada Auditor, de acuerdo con la forma de vinculación (si el auditor se vincula mediante prestación de servicios, debe sus"&amp;"cribir la declaración de independencia y compromiso ético por cada contrato suscrito; si el auditor es personal de planta, debe suscribir la declaración para la vigencial del Programa Anual de Auditoria)
 ")</f>
        <v xml:space="preserve">-El Asesor de Control Interno de Gestión, verifica la suscripción de la Declaración de Independencia y Compromiso Ético, por parte de cada Auditor, de acuerdo con la forma de vinculación (si el auditor se vincula mediante prestación de servicios, debe suscribir la declaración de independencia y compromiso ético por cada contrato suscrito; si el auditor es personal de planta, debe suscribir la declaración para la vigencial del Programa Anual de Auditoria)
 </v>
      </c>
      <c r="N167" s="65" t="str">
        <f ca="1">IFERROR(__xludf.DUMMYFUNCTION("""COMPUTED_VALUE"""),"Baja")</f>
        <v>Baja</v>
      </c>
      <c r="O167" s="65" t="str">
        <f ca="1">IFERROR(__xludf.DUMMYFUNCTION("""COMPUTED_VALUE"""),"Catastrófico")</f>
        <v>Catastrófico</v>
      </c>
      <c r="P167" s="65" t="str">
        <f ca="1">IFERROR(__xludf.DUMMYFUNCTION("""COMPUTED_VALUE"""),"Extrema")</f>
        <v>Extrema</v>
      </c>
      <c r="Q167" s="91" t="str">
        <f ca="1">IFERROR(__xludf.DUMMYFUNCTION("""COMPUTED_VALUE"""),"Reducir")</f>
        <v>Reducir</v>
      </c>
      <c r="R167" s="20" t="str">
        <f ca="1">IFERROR(__xludf.DUMMYFUNCTION("""COMPUTED_VALUE"""),"El Asesor de Control Interno de Gestión, revisa y aprueba los informes generados por la Oficina de Control Interno")</f>
        <v>El Asesor de Control Interno de Gestión, revisa y aprueba los informes generados por la Oficina de Control Interno</v>
      </c>
      <c r="S167" s="40" t="str">
        <f ca="1">IFERROR(__xludf.DUMMYFUNCTION("""COMPUTED_VALUE"""),"Cuando se requiera")</f>
        <v>Cuando se requiera</v>
      </c>
      <c r="T167" s="32" t="str">
        <f ca="1">IFERROR(__xludf.DUMMYFUNCTION("""COMPUTED_VALUE"""),"Asesor de Control Interno de Gestión")</f>
        <v>Asesor de Control Interno de Gestión</v>
      </c>
      <c r="U167" s="41" t="str">
        <f ca="1">IFERROR(__xludf.DUMMYFUNCTION("""COMPUTED_VALUE"""),"Informes aprobados")</f>
        <v>Informes aprobados</v>
      </c>
      <c r="V167" s="92" t="str">
        <f ca="1">IFERROR(__xludf.DUMMYFUNCTION("""COMPUTED_VALUE"""),"Poner en conocimiento el hecho materializado al Comité Insttitucional de Control Interno y a la oficina de Control Interno Disciplinario, para la toma de acciones pertinentes.")</f>
        <v>Poner en conocimiento el hecho materializado al Comité Insttitucional de Control Interno y a la oficina de Control Interno Disciplinario, para la toma de acciones pertinentes.</v>
      </c>
      <c r="W167" s="97" t="str">
        <f ca="1">IFERROR(__xludf.DUMMYFUNCTION("""COMPUTED_VALUE"""),"Soporte de la comunicación")</f>
        <v>Soporte de la comunicación</v>
      </c>
      <c r="X167" s="97" t="str">
        <f ca="1">IFERROR(__xludf.DUMMYFUNCTION("""COMPUTED_VALUE"""),"Asesora de Control Interno de Gestión")</f>
        <v>Asesora de Control Interno de Gestión</v>
      </c>
      <c r="Y167" s="97" t="str">
        <f ca="1">IFERROR(__xludf.DUMMYFUNCTION("""COMPUTED_VALUE"""),"Inmediato")</f>
        <v>Inmediato</v>
      </c>
      <c r="Z167" s="15" t="str">
        <f ca="1">IFERROR(__xludf.DUMMYFUNCTION("""COMPUTED_VALUE"""),"30 de abril")</f>
        <v>30 de abril</v>
      </c>
      <c r="AA167" s="17" t="str">
        <f ca="1">IFERROR(__xludf.DUMMYFUNCTION("""COMPUTED_VALUE"""),"Enero a abril de 2026")</f>
        <v>Enero a abril de 2026</v>
      </c>
      <c r="AB167" s="17" t="str">
        <f ca="1">IFERROR(__xludf.DUMMYFUNCTION("""COMPUTED_VALUE"""),"No")</f>
        <v>No</v>
      </c>
      <c r="AC167" s="15" t="str">
        <f ca="1">IFERROR(__xludf.DUMMYFUNCTION("""COMPUTED_VALUE"""),"""Ejecución del control: Durante el primer cuatrimestre de 2026, se firmaron 5 Declaraciones de independencia y compromiso ético por parte de los auditores internos que participan en la ejecución de la auditorias internas de tercera línea, de acuerdo con "&amp;"al programa anual de auditorias establecido para la vigencia 2026 (se anexan los soportes correspondientes). 
Con relación a las acciones asociadas al tratamiento, el Asesor de Control Interno de Gesión, revisó y arobó los informes de las auditorias de t"&amp;"ercera línea realizadas a los procesos Gestión Financiera y Gestión Jurídica, conforme al avance en la ejecución del Plan Anual de Auditorias 2026, cual se anexa como evidencia.
Como resultado de los controles ejectudados, se evitó la materialización del"&amp;" riesgo.""")</f>
        <v>"Ejecución del control: Durante el primer cuatrimestre de 2026, se firmaron 5 Declaraciones de independencia y compromiso ético por parte de los auditores internos que participan en la ejecución de la auditorias internas de tercera línea, de acuerdo con al programa anual de auditorias establecido para la vigencia 2026 (se anexan los soportes correspondientes). 
Con relación a las acciones asociadas al tratamiento, el Asesor de Control Interno de Gesión, revisó y arobó los informes de las auditorias de tercera línea realizadas a los procesos Gestión Financiera y Gestión Jurídica, conforme al avance en la ejecución del Plan Anual de Auditorias 2026, cual se anexa como evidencia.
Como resultado de los controles ejectudados, se evitó la materialización del riesgo."</v>
      </c>
      <c r="AD167" s="17" t="str">
        <f ca="1">IFERROR(__xludf.DUMMYFUNCTION("""COMPUTED_VALUE"""),"Asesor de Control Interno de Gestión")</f>
        <v>Asesor de Control Interno de Gestión</v>
      </c>
      <c r="AE167" s="18" t="str">
        <f ca="1">IFERROR(__xludf.DUMMYFUNCTION("""COMPUTED_VALUE"""),"Evidencia")</f>
        <v>Evidencia</v>
      </c>
      <c r="AF167" s="15" t="str">
        <f ca="1">IFERROR(__xludf.DUMMYFUNCTION("""COMPUTED_VALUE"""),"Si")</f>
        <v>Si</v>
      </c>
      <c r="AG167" s="15" t="str">
        <f ca="1">IFERROR(__xludf.DUMMYFUNCTION("""COMPUTED_VALUE"""),"Ejecutada")</f>
        <v>Ejecutada</v>
      </c>
      <c r="AH167" s="15" t="str">
        <f ca="1">IFERROR(__xludf.DUMMYFUNCTION("""COMPUTED_VALUE"""),"C1: Se verificó la suscripción de las declaraciones de independencia y compromiso ético por parte de los auditores internos, evidenciando su cumplimiento conforme al Programa Anual de Auditorías 2026.
Materialización del riesgo: El riesgo no se materiali"&amp;"zó durante el periodo evaluado.
Conclusión: El control se ejecuta conforme a lo establecido y contribuye a la mitigación del riesgo. Se cuenta con soportes documentales que respaldan su ejecución, manteniéndose el riesgo bajo control.")</f>
        <v>C1: Se verificó la suscripción de las declaraciones de independencia y compromiso ético por parte de los auditores internos, evidenciando su cumplimiento conforme al Programa Anual de Auditorías 2026.
Materialización del riesgo: El riesgo no se materializó durante el periodo evaluado.
Conclusión: El control se ejecuta conforme a lo establecido y contribuye a la mitigación del riesgo. Se cuenta con soportes documentales que respaldan su ejecución, manteniéndose el riesgo bajo control.</v>
      </c>
      <c r="AI167" s="15" t="str">
        <f ca="1">IFERROR(__xludf.DUMMYFUNCTION("""COMPUTED_VALUE"""),"30 de abril")</f>
        <v>30 de abril</v>
      </c>
      <c r="AJ167" s="17" t="str">
        <f ca="1">IFERROR(__xludf.DUMMYFUNCTION("""COMPUTED_VALUE"""),"Si")</f>
        <v>Si</v>
      </c>
      <c r="AK167" s="17" t="str">
        <f ca="1">IFERROR(__xludf.DUMMYFUNCTION("""COMPUTED_VALUE"""),"Si")</f>
        <v>Si</v>
      </c>
      <c r="AL167" s="17" t="str">
        <f ca="1">IFERROR(__xludf.DUMMYFUNCTION("""COMPUTED_VALUE"""),"Si")</f>
        <v>Si</v>
      </c>
      <c r="AM167" s="17" t="str">
        <f ca="1">IFERROR(__xludf.DUMMYFUNCTION("""COMPUTED_VALUE"""),"Si")</f>
        <v>Si</v>
      </c>
      <c r="AN167" s="17" t="str">
        <f ca="1">IFERROR(__xludf.DUMMYFUNCTION("""COMPUTED_VALUE"""),"Si")</f>
        <v>Si</v>
      </c>
      <c r="AO167" s="17" t="str">
        <f ca="1">IFERROR(__xludf.DUMMYFUNCTION("""COMPUTED_VALUE"""),"Si")</f>
        <v>Si</v>
      </c>
      <c r="AP167" s="17" t="str">
        <f ca="1">IFERROR(__xludf.DUMMYFUNCTION("""COMPUTED_VALUE"""),"Si")</f>
        <v>Si</v>
      </c>
      <c r="AQ167" s="17" t="str">
        <f ca="1">IFERROR(__xludf.DUMMYFUNCTION("""COMPUTED_VALUE"""),"No")</f>
        <v>No</v>
      </c>
      <c r="AR167" s="17" t="str">
        <f ca="1">IFERROR(__xludf.DUMMYFUNCTION("""COMPUTED_VALUE"""),"No")</f>
        <v>No</v>
      </c>
      <c r="AS167" s="15" t="str">
        <f ca="1">IFERROR(__xludf.DUMMYFUNCTION("""COMPUTED_VALUE"""),"No aplica")</f>
        <v>No aplica</v>
      </c>
      <c r="AT167" s="15" t="str">
        <f ca="1">IFERROR(__xludf.DUMMYFUNCTION("""COMPUTED_VALUE"""),"Ninguna")</f>
        <v>Ninguna</v>
      </c>
      <c r="AU167" s="10"/>
    </row>
    <row r="168" spans="1:47" x14ac:dyDescent="0.25">
      <c r="A168" s="25"/>
      <c r="B168" s="86"/>
      <c r="C168" s="86"/>
      <c r="D168" s="89"/>
      <c r="E168" s="64"/>
      <c r="F168" s="64"/>
      <c r="G168" s="64"/>
      <c r="H168" s="64"/>
      <c r="I168" s="64"/>
      <c r="J168" s="64"/>
      <c r="K168" s="64"/>
      <c r="L168" s="64"/>
      <c r="M168" s="64"/>
      <c r="N168" s="64"/>
      <c r="O168" s="64"/>
      <c r="P168" s="64"/>
      <c r="Q168" s="83"/>
      <c r="R168" s="20" t="str">
        <f ca="1">IFERROR(__xludf.DUMMYFUNCTION("""COMPUTED_VALUE"""),"")</f>
        <v/>
      </c>
      <c r="S168" s="42" t="str">
        <f ca="1">IFERROR(__xludf.DUMMYFUNCTION("""COMPUTED_VALUE"""),"")</f>
        <v/>
      </c>
      <c r="T168" s="34"/>
      <c r="U168" s="20"/>
      <c r="V168" s="89"/>
      <c r="W168" s="89"/>
      <c r="X168" s="89"/>
      <c r="Y168" s="89"/>
      <c r="Z168" s="15" t="str">
        <f ca="1">IFERROR(__xludf.DUMMYFUNCTION("""COMPUTED_VALUE"""),"30 de agosto")</f>
        <v>30 de agosto</v>
      </c>
      <c r="AA168" s="17"/>
      <c r="AB168" s="17"/>
      <c r="AC168" s="15"/>
      <c r="AD168" s="17"/>
      <c r="AE168" s="18" t="str">
        <f ca="1">IFERROR(__xludf.DUMMYFUNCTION("""COMPUTED_VALUE"""),"Evidencia")</f>
        <v>Evidencia</v>
      </c>
      <c r="AF168" s="15"/>
      <c r="AG168" s="15"/>
      <c r="AH168" s="15"/>
      <c r="AI168" s="24" t="str">
        <f ca="1">IFERROR(__xludf.DUMMYFUNCTION("""COMPUTED_VALUE"""),"31 de agosto")</f>
        <v>31 de agosto</v>
      </c>
      <c r="AJ168" s="17"/>
      <c r="AK168" s="17"/>
      <c r="AL168" s="17"/>
      <c r="AM168" s="17"/>
      <c r="AN168" s="17"/>
      <c r="AO168" s="17"/>
      <c r="AP168" s="17"/>
      <c r="AQ168" s="17"/>
      <c r="AR168" s="17"/>
      <c r="AS168" s="15"/>
      <c r="AT168" s="15"/>
      <c r="AU168" s="10"/>
    </row>
    <row r="169" spans="1:47" x14ac:dyDescent="0.25">
      <c r="A169" s="25"/>
      <c r="B169" s="86"/>
      <c r="C169" s="86"/>
      <c r="D169" s="76"/>
      <c r="E169" s="61"/>
      <c r="F169" s="61"/>
      <c r="G169" s="61"/>
      <c r="H169" s="61"/>
      <c r="I169" s="61"/>
      <c r="J169" s="61"/>
      <c r="K169" s="61"/>
      <c r="L169" s="61"/>
      <c r="M169" s="61"/>
      <c r="N169" s="61"/>
      <c r="O169" s="61"/>
      <c r="P169" s="61"/>
      <c r="Q169" s="84"/>
      <c r="R169" s="26" t="str">
        <f ca="1">IFERROR(__xludf.DUMMYFUNCTION("""COMPUTED_VALUE"""),"")</f>
        <v/>
      </c>
      <c r="S169" s="43" t="str">
        <f ca="1">IFERROR(__xludf.DUMMYFUNCTION("""COMPUTED_VALUE"""),"")</f>
        <v/>
      </c>
      <c r="T169" s="38"/>
      <c r="U169" s="26"/>
      <c r="V169" s="76"/>
      <c r="W169" s="76"/>
      <c r="X169" s="76"/>
      <c r="Y169" s="76"/>
      <c r="Z169" s="15" t="str">
        <f ca="1">IFERROR(__xludf.DUMMYFUNCTION("""COMPUTED_VALUE"""),"30 de diciembre")</f>
        <v>30 de diciembre</v>
      </c>
      <c r="AA169" s="17"/>
      <c r="AB169" s="17"/>
      <c r="AC169" s="15"/>
      <c r="AD169" s="17"/>
      <c r="AE169" s="18" t="str">
        <f ca="1">IFERROR(__xludf.DUMMYFUNCTION("""COMPUTED_VALUE"""),"Evidencia")</f>
        <v>Evidencia</v>
      </c>
      <c r="AF169" s="15"/>
      <c r="AG169" s="15"/>
      <c r="AH169" s="15"/>
      <c r="AI169" s="24" t="str">
        <f ca="1">IFERROR(__xludf.DUMMYFUNCTION("""COMPUTED_VALUE"""),"31 de diciembre")</f>
        <v>31 de diciembre</v>
      </c>
      <c r="AJ169" s="17"/>
      <c r="AK169" s="17"/>
      <c r="AL169" s="17"/>
      <c r="AM169" s="17"/>
      <c r="AN169" s="17"/>
      <c r="AO169" s="17"/>
      <c r="AP169" s="17"/>
      <c r="AQ169" s="17"/>
      <c r="AR169" s="17"/>
      <c r="AS169" s="15"/>
      <c r="AT169" s="15"/>
      <c r="AU169" s="10"/>
    </row>
    <row r="170" spans="1:47" ht="336" x14ac:dyDescent="0.25">
      <c r="A170" s="25"/>
      <c r="B170" s="86"/>
      <c r="C170" s="86"/>
      <c r="D170" s="63" t="str">
        <f ca="1">IFERROR(__xludf.DUMMYFUNCTION("""COMPUTED_VALUE"""),"Posibilidad de efecto dañoso sobre los recursos públicos, por omisión o entrega defectuosa de los informes de ley a cargo de la Oficina de Control Interno de Gestión, debido a deficiencias en el monitoreo y seguimiento oportuno o  fallas tecnológicas en l"&amp;"os aplicativos establecidos para rendir los informes")</f>
        <v>Posibilidad de efecto dañoso sobre los recursos públicos, por omisión o entrega defectuosa de los informes de ley a cargo de la Oficina de Control Interno de Gestión, debido a deficiencias en el monitoreo y seguimiento oportuno o  fallas tecnológicas en los aplicativos establecidos para rendir los informes</v>
      </c>
      <c r="E170" s="63" t="str">
        <f ca="1">IFERROR(__xludf.DUMMYFUNCTION("""COMPUTED_VALUE"""),"Oficina de Control Interno de Gestión")</f>
        <v>Oficina de Control Interno de Gestión</v>
      </c>
      <c r="F170" s="63" t="str">
        <f ca="1">IFERROR(__xludf.DUMMYFUNCTION("""COMPUTED_VALUE"""),"Fiscal")</f>
        <v>Fiscal</v>
      </c>
      <c r="G170" s="63" t="str">
        <f ca="1">IFERROR(__xludf.DUMMYFUNCTION("""COMPUTED_VALUE"""),"- Omisión o entrega defectuosa de los informes de ley a cargo de la Oficina de Control Interno de Gestión
- Deficiencias en el monitoreo y seguimiento oportuno - Fallas tecnológicas en los aplicativos establecidos para rendir los informes")</f>
        <v>- Omisión o entrega defectuosa de los informes de ley a cargo de la Oficina de Control Interno de Gestión
- Deficiencias en el monitoreo y seguimiento oportuno - Fallas tecnológicas en los aplicativos establecidos para rendir los informes</v>
      </c>
      <c r="H170" s="63" t="str">
        <f ca="1">IFERROR(__xludf.DUMMYFUNCTION("""COMPUTED_VALUE"""),"- Procesos disciplinarios
- Multas o sanciones
-Afectación a la imagén institucional")</f>
        <v>- Procesos disciplinarios
- Multas o sanciones
-Afectación a la imagén institucional</v>
      </c>
      <c r="I170" s="65" t="str">
        <f ca="1">IFERROR(__xludf.DUMMYFUNCTION("""COMPUTED_VALUE"""),"ECS_03")</f>
        <v>ECS_03</v>
      </c>
      <c r="J170" s="65" t="str">
        <f ca="1">IFERROR(__xludf.DUMMYFUNCTION("""COMPUTED_VALUE"""),"Media")</f>
        <v>Media</v>
      </c>
      <c r="K170" s="65" t="str">
        <f ca="1">IFERROR(__xludf.DUMMYFUNCTION("""COMPUTED_VALUE"""),"Moderado")</f>
        <v>Moderado</v>
      </c>
      <c r="L170" s="65" t="str">
        <f ca="1">IFERROR(__xludf.DUMMYFUNCTION("""COMPUTED_VALUE"""),"Alta")</f>
        <v>Alta</v>
      </c>
      <c r="M170" s="63" t="str">
        <f ca="1">IFERROR(__xludf.DUMMYFUNCTION("""COMPUTED_VALUE"""),"El Asesor de Control Interno de Gestión, incluye en el Programa Anual de Auditoria, los informes de Ley a presentar durante la vigencia.
El Asesor de Control Interno de Gestión, realiza seguimiento al cumplimiento oportuno de acuerdo con los plazos establ"&amp;"ecidos para los reportes.
El Asesor de Control Interno de Gestión, revisa y aprueba los informes y/o reportes de ley a entes de control, validando la calidad y veracidad de la información.
")</f>
        <v xml:space="preserve">El Asesor de Control Interno de Gestión, incluye en el Programa Anual de Auditoria, los informes de Ley a presentar durante la vigencia.
El Asesor de Control Interno de Gestión, realiza seguimiento al cumplimiento oportuno de acuerdo con los plazos establecidos para los reportes.
El Asesor de Control Interno de Gestión, revisa y aprueba los informes y/o reportes de ley a entes de control, validando la calidad y veracidad de la información.
</v>
      </c>
      <c r="N170" s="65" t="str">
        <f ca="1">IFERROR(__xludf.DUMMYFUNCTION("""COMPUTED_VALUE"""),"Muy baja")</f>
        <v>Muy baja</v>
      </c>
      <c r="O170" s="65" t="str">
        <f ca="1">IFERROR(__xludf.DUMMYFUNCTION("""COMPUTED_VALUE"""),"Moderado")</f>
        <v>Moderado</v>
      </c>
      <c r="P170" s="65" t="str">
        <f ca="1">IFERROR(__xludf.DUMMYFUNCTION("""COMPUTED_VALUE"""),"Media")</f>
        <v>Media</v>
      </c>
      <c r="Q170" s="91" t="str">
        <f ca="1">IFERROR(__xludf.DUMMYFUNCTION("""COMPUTED_VALUE"""),"Reducir")</f>
        <v>Reducir</v>
      </c>
      <c r="R170" s="20" t="str">
        <f ca="1">IFERROR(__xludf.DUMMYFUNCTION("""COMPUTED_VALUE"""),"- La Oficina de Control Interno solicita con antelación la información pertinente para la entrega oportuna por parte de las distintas dependencias")</f>
        <v>- La Oficina de Control Interno solicita con antelación la información pertinente para la entrega oportuna por parte de las distintas dependencias</v>
      </c>
      <c r="S170" s="40" t="str">
        <f ca="1">IFERROR(__xludf.DUMMYFUNCTION("""COMPUTED_VALUE"""),"De acuerdo a cada informe de Ley")</f>
        <v>De acuerdo a cada informe de Ley</v>
      </c>
      <c r="T170" s="32" t="str">
        <f ca="1">IFERROR(__xludf.DUMMYFUNCTION("""COMPUTED_VALUE"""),"Asesora de Control Interno")</f>
        <v>Asesora de Control Interno</v>
      </c>
      <c r="U170" s="41" t="str">
        <f ca="1">IFERROR(__xludf.DUMMYFUNCTION("""COMPUTED_VALUE"""),"Informes de Ley presentados")</f>
        <v>Informes de Ley presentados</v>
      </c>
      <c r="V170" s="92" t="str">
        <f ca="1">IFERROR(__xludf.DUMMYFUNCTION("""COMPUTED_VALUE"""),"Presentar informe de la situación ante el Comité Institucional de Coordinación de Control Interno")</f>
        <v>Presentar informe de la situación ante el Comité Institucional de Coordinación de Control Interno</v>
      </c>
      <c r="W170" s="97" t="str">
        <f ca="1">IFERROR(__xludf.DUMMYFUNCTION("""COMPUTED_VALUE"""),"Acta del comité")</f>
        <v>Acta del comité</v>
      </c>
      <c r="X170" s="97" t="str">
        <f ca="1">IFERROR(__xludf.DUMMYFUNCTION("""COMPUTED_VALUE"""),"Asesor de Control interno")</f>
        <v>Asesor de Control interno</v>
      </c>
      <c r="Y170" s="97" t="str">
        <f ca="1">IFERROR(__xludf.DUMMYFUNCTION("""COMPUTED_VALUE"""),"Dentro de los 30 días siguientes a la materialización del riesgo")</f>
        <v>Dentro de los 30 días siguientes a la materialización del riesgo</v>
      </c>
      <c r="Z170" s="15" t="str">
        <f ca="1">IFERROR(__xludf.DUMMYFUNCTION("""COMPUTED_VALUE"""),"30 de abril")</f>
        <v>30 de abril</v>
      </c>
      <c r="AA170" s="17" t="str">
        <f ca="1">IFERROR(__xludf.DUMMYFUNCTION("""COMPUTED_VALUE"""),"Enero a abril de 2026")</f>
        <v>Enero a abril de 2026</v>
      </c>
      <c r="AB170" s="17" t="str">
        <f ca="1">IFERROR(__xludf.DUMMYFUNCTION("""COMPUTED_VALUE"""),"No")</f>
        <v>No</v>
      </c>
      <c r="AC170" s="15" t="str">
        <f ca="1">IFERROR(__xludf.DUMMYFUNCTION("""COMPUTED_VALUE"""),"Ejecución del Control:
C1: La oficina de Control Interno verificó los informes de Ley a presentar durante la vigencia 2026, los cuales se encuentran en el programa anual de auditoria y que fue comunicado a todas las dependencias mediante correo electrónic"&amp;"o de fecha 26/12/2025.    
C2: Con relación a la acción asociada al tratamiento, durante el periodo reportado, la Oficina de Control Interno solicitó con antelación la información pertinente para la entrega oportuna por parte de las distintas dependencia"&amp;"s, asegurando el reporte de los informes de ley dentro del término establecido. Se anexa el plan de auditoria 2025 el cual incluye el seguimiento a los informes de ley reportados, así mismo, se anexa muestra de los correos recordatorios de los informes de"&amp;" Ley a cargo de las dependencias. De igual manera, desde el mes marzo se estableció un enlace drive donde los procesos pueden consultar los informes de ley a presentar en cada periodo, enlace que es relacionado en los correos de recordatorio.
C3: Durante"&amp;" el primer cuatrimestre de la vigencia 2026, el Asesor de Control Intrno, revisó, aprobó y presentó los siguientes informes de ley a cargo de la oficina de Control Interno:
Informe Evaluación Control Interno Contable        
Informe Formulario Único Repor"&amp;"te de Avances de la Gestión - FURAG        
Informe derechos de Autor y Software        
Informe de seguimiento racionalización de tramites  (Aplicativo Suit)        
Apoyar en el seguimiento y evaluación cuatrimestral a la estrategia de participación ciu"&amp;"dadana de acuerdo al instrumento y periodicidad establecida.         
Informe de evaluación independiente del estado del Sistema de Control Interno        
Informe de seguimiento a las peticiones, quejas, reclamos, sugerencias y denuncias        
Seguimie"&amp;"nto y rendición avance plan de mejoramiento Contraloría General de la República        
Seguimiento y rendición avance plan de mejoramiento Contraloría Departamental del Meta        
Apoyar en el seguimiento a los planes de mejoramiento del proceso de acr"&amp;"editación.         
Informe de seguimiento al Sistema Único de Gestión e Información Litigiosa del Estado - EKOGUI        
Informe de cumplimiento de criterios de publicación - transparencia y acceso a la información - ITA        
Informe de austeridad en"&amp;" el gasto         
Informe de evaluacion de la audiencia publica de rendicion de cuentas        
Los soportes de los informes de ley presentados se incluyen en la matriz del Plan Anual de Auditoria, el cual se anexa.
Como resultado de los controles ejectu"&amp;"dados, se evitó la materialización del riesgo.")</f>
        <v>Ejecución del Control:
C1: La oficina de Control Interno verificó los informes de Ley a presentar durante la vigencia 2026, los cuales se encuentran en el programa anual de auditoria y que fue comunicado a todas las dependencias mediante correo electrónico de fecha 26/12/2025.    
C2: Con relación a la acción asociada al tratamiento, durante el periodo reportado, la Oficina de Control Interno solicitó con antelación la información pertinente para la entrega oportuna por parte de las distintas dependencias, asegurando el reporte de los informes de ley dentro del término establecido. Se anexa el plan de auditoria 2025 el cual incluye el seguimiento a los informes de ley reportados, así mismo, se anexa muestra de los correos recordatorios de los informes de Ley a cargo de las dependencias. De igual manera, desde el mes marzo se estableció un enlace drive donde los procesos pueden consultar los informes de ley a presentar en cada periodo, enlace que es relacionado en los correos de recordatorio.
C3: Durante el primer cuatrimestre de la vigencia 2026, el Asesor de Control Intrno, revisó, aprobó y presentó los siguientes informes de ley a cargo de la oficina de Control Interno:
Informe Evaluación Control Interno Contable        
Informe Formulario Único Reporte de Avances de la Gestión - FURAG        
Informe derechos de Autor y Software        
Informe de seguimiento racionalización de tramites  (Aplicativo Suit)        
Apoyar en el seguimiento y evaluación cuatrimestral a la estrategia de participación ciudadana de acuerdo al instrumento y periodicidad establecida.         
Informe de evaluación independiente del estado del Sistema de Control Interno        
Informe de seguimiento a las peticiones, quejas, reclamos, sugerencias y denuncias        
Seguimiento y rendición avance plan de mejoramiento Contraloría General de la República        
Seguimiento y rendición avance plan de mejoramiento Contraloría Departamental del Meta        
Apoyar en el seguimiento a los planes de mejoramiento del proceso de acreditación.         
Informe de seguimiento al Sistema Único de Gestión e Información Litigiosa del Estado - EKOGUI        
Informe de cumplimiento de criterios de publicación - transparencia y acceso a la información - ITA        
Informe de austeridad en el gasto         
Informe de evaluacion de la audiencia publica de rendicion de cuentas        
Los soportes de los informes de ley presentados se incluyen en la matriz del Plan Anual de Auditoria, el cual se anexa.
Como resultado de los controles ejectudados, se evitó la materialización del riesgo.</v>
      </c>
      <c r="AD170" s="17" t="str">
        <f ca="1">IFERROR(__xludf.DUMMYFUNCTION("""COMPUTED_VALUE"""),"Asesor de Control Interno de Gestión")</f>
        <v>Asesor de Control Interno de Gestión</v>
      </c>
      <c r="AE170" s="18" t="str">
        <f ca="1">IFERROR(__xludf.DUMMYFUNCTION("""COMPUTED_VALUE"""),"Evidencia")</f>
        <v>Evidencia</v>
      </c>
      <c r="AF170" s="15" t="str">
        <f ca="1">IFERROR(__xludf.DUMMYFUNCTION("""COMPUTED_VALUE"""),"Si")</f>
        <v>Si</v>
      </c>
      <c r="AG170" s="15" t="str">
        <f ca="1">IFERROR(__xludf.DUMMYFUNCTION("""COMPUTED_VALUE"""),"Ejecutada")</f>
        <v>Ejecutada</v>
      </c>
      <c r="AH170" s="15" t="str">
        <f ca="1">IFERROR(__xludf.DUMMYFUNCTION("""COMPUTED_VALUE"""),"C1: Se verificó la inclusión y socialización de los informes de ley en el Programa Anual de Auditoría 2026, evidenciando su comunicación a las dependencias.
C2: Se evidenció el seguimiento al cumplimiento oportuno de los informes de ley, mediante solicit"&amp;"ud anticipada de información y envío de recordatorios a las dependencias, así como la disposición de herramientas de consulta.
C3: Se verificó la revisión, aprobación y presentación de los informes de ley durante el periodo evaluado, conforme a los plazo"&amp;"s establecidos.
Materialización del riesgo: El riesgo no se materializó durante el periodo evaluado.
Conclusión: Los controles se ejecutan conforme a lo establecido y contribuyen a la mitigación del riesgo, el cual se mantiene bajo control. Se cuenta co"&amp;"n soportes documentales que respaldan su ejecución.")</f>
        <v>C1: Se verificó la inclusión y socialización de los informes de ley en el Programa Anual de Auditoría 2026, evidenciando su comunicación a las dependencias.
C2: Se evidenció el seguimiento al cumplimiento oportuno de los informes de ley, mediante solicitud anticipada de información y envío de recordatorios a las dependencias, así como la disposición de herramientas de consulta.
C3: Se verificó la revisión, aprobación y presentación de los informes de ley durante el periodo evaluado, conforme a los plazos establecidos.
Materialización del riesgo: El riesgo no se materializó durante el periodo evaluado.
Conclusión: Los controles se ejecutan conforme a lo establecido y contribuyen a la mitigación del riesgo, el cual se mantiene bajo control. Se cuenta con soportes documentales que respaldan su ejecución.</v>
      </c>
      <c r="AI170" s="15" t="str">
        <f ca="1">IFERROR(__xludf.DUMMYFUNCTION("""COMPUTED_VALUE"""),"30 de abril")</f>
        <v>30 de abril</v>
      </c>
      <c r="AJ170" s="17" t="str">
        <f ca="1">IFERROR(__xludf.DUMMYFUNCTION("""COMPUTED_VALUE"""),"Si")</f>
        <v>Si</v>
      </c>
      <c r="AK170" s="17" t="str">
        <f ca="1">IFERROR(__xludf.DUMMYFUNCTION("""COMPUTED_VALUE"""),"Si")</f>
        <v>Si</v>
      </c>
      <c r="AL170" s="17" t="str">
        <f ca="1">IFERROR(__xludf.DUMMYFUNCTION("""COMPUTED_VALUE"""),"Si")</f>
        <v>Si</v>
      </c>
      <c r="AM170" s="17" t="str">
        <f ca="1">IFERROR(__xludf.DUMMYFUNCTION("""COMPUTED_VALUE"""),"Si")</f>
        <v>Si</v>
      </c>
      <c r="AN170" s="17" t="str">
        <f ca="1">IFERROR(__xludf.DUMMYFUNCTION("""COMPUTED_VALUE"""),"Si")</f>
        <v>Si</v>
      </c>
      <c r="AO170" s="17" t="str">
        <f ca="1">IFERROR(__xludf.DUMMYFUNCTION("""COMPUTED_VALUE"""),"Si")</f>
        <v>Si</v>
      </c>
      <c r="AP170" s="17" t="str">
        <f ca="1">IFERROR(__xludf.DUMMYFUNCTION("""COMPUTED_VALUE"""),"Si")</f>
        <v>Si</v>
      </c>
      <c r="AQ170" s="17" t="str">
        <f ca="1">IFERROR(__xludf.DUMMYFUNCTION("""COMPUTED_VALUE"""),"No")</f>
        <v>No</v>
      </c>
      <c r="AR170" s="17" t="str">
        <f ca="1">IFERROR(__xludf.DUMMYFUNCTION("""COMPUTED_VALUE"""),"No")</f>
        <v>No</v>
      </c>
      <c r="AS170" s="15" t="str">
        <f ca="1">IFERROR(__xludf.DUMMYFUNCTION("""COMPUTED_VALUE"""),"No aplica")</f>
        <v>No aplica</v>
      </c>
      <c r="AT170" s="15" t="str">
        <f ca="1">IFERROR(__xludf.DUMMYFUNCTION("""COMPUTED_VALUE"""),"Ninguna")</f>
        <v>Ninguna</v>
      </c>
      <c r="AU170" s="10"/>
    </row>
    <row r="171" spans="1:47" x14ac:dyDescent="0.25">
      <c r="A171" s="25"/>
      <c r="B171" s="86"/>
      <c r="C171" s="86"/>
      <c r="D171" s="64"/>
      <c r="E171" s="64"/>
      <c r="F171" s="64"/>
      <c r="G171" s="64"/>
      <c r="H171" s="64"/>
      <c r="I171" s="64"/>
      <c r="J171" s="64"/>
      <c r="K171" s="64"/>
      <c r="L171" s="64"/>
      <c r="M171" s="64"/>
      <c r="N171" s="64"/>
      <c r="O171" s="64"/>
      <c r="P171" s="64"/>
      <c r="Q171" s="83"/>
      <c r="R171" s="20" t="str">
        <f ca="1">IFERROR(__xludf.DUMMYFUNCTION("""COMPUTED_VALUE"""),"")</f>
        <v/>
      </c>
      <c r="S171" s="42" t="str">
        <f ca="1">IFERROR(__xludf.DUMMYFUNCTION("""COMPUTED_VALUE"""),"")</f>
        <v/>
      </c>
      <c r="T171" s="34"/>
      <c r="U171" s="20"/>
      <c r="V171" s="89"/>
      <c r="W171" s="89"/>
      <c r="X171" s="89"/>
      <c r="Y171" s="89"/>
      <c r="Z171" s="15" t="str">
        <f ca="1">IFERROR(__xludf.DUMMYFUNCTION("""COMPUTED_VALUE"""),"30 de agosto")</f>
        <v>30 de agosto</v>
      </c>
      <c r="AA171" s="17"/>
      <c r="AB171" s="17"/>
      <c r="AC171" s="15"/>
      <c r="AD171" s="17"/>
      <c r="AE171" s="18" t="str">
        <f ca="1">IFERROR(__xludf.DUMMYFUNCTION("""COMPUTED_VALUE"""),"Evidencia")</f>
        <v>Evidencia</v>
      </c>
      <c r="AF171" s="15"/>
      <c r="AG171" s="15"/>
      <c r="AH171" s="15"/>
      <c r="AI171" s="24" t="str">
        <f ca="1">IFERROR(__xludf.DUMMYFUNCTION("""COMPUTED_VALUE"""),"31 de agosto")</f>
        <v>31 de agosto</v>
      </c>
      <c r="AJ171" s="17"/>
      <c r="AK171" s="17"/>
      <c r="AL171" s="17"/>
      <c r="AM171" s="17"/>
      <c r="AN171" s="17"/>
      <c r="AO171" s="17"/>
      <c r="AP171" s="17"/>
      <c r="AQ171" s="17"/>
      <c r="AR171" s="17"/>
      <c r="AS171" s="15"/>
      <c r="AT171" s="15"/>
      <c r="AU171" s="10"/>
    </row>
    <row r="172" spans="1:47" x14ac:dyDescent="0.25">
      <c r="A172" s="25"/>
      <c r="B172" s="86"/>
      <c r="C172" s="86"/>
      <c r="D172" s="61"/>
      <c r="E172" s="61"/>
      <c r="F172" s="61"/>
      <c r="G172" s="61"/>
      <c r="H172" s="61"/>
      <c r="I172" s="61"/>
      <c r="J172" s="61"/>
      <c r="K172" s="61"/>
      <c r="L172" s="61"/>
      <c r="M172" s="61"/>
      <c r="N172" s="61"/>
      <c r="O172" s="61"/>
      <c r="P172" s="61"/>
      <c r="Q172" s="84"/>
      <c r="R172" s="26" t="str">
        <f ca="1">IFERROR(__xludf.DUMMYFUNCTION("""COMPUTED_VALUE"""),"")</f>
        <v/>
      </c>
      <c r="S172" s="43" t="str">
        <f ca="1">IFERROR(__xludf.DUMMYFUNCTION("""COMPUTED_VALUE"""),"")</f>
        <v/>
      </c>
      <c r="T172" s="38"/>
      <c r="U172" s="26"/>
      <c r="V172" s="76"/>
      <c r="W172" s="76"/>
      <c r="X172" s="76"/>
      <c r="Y172" s="76"/>
      <c r="Z172" s="15" t="str">
        <f ca="1">IFERROR(__xludf.DUMMYFUNCTION("""COMPUTED_VALUE"""),"30 de diciembre")</f>
        <v>30 de diciembre</v>
      </c>
      <c r="AA172" s="17"/>
      <c r="AB172" s="17"/>
      <c r="AC172" s="15"/>
      <c r="AD172" s="17"/>
      <c r="AE172" s="18" t="str">
        <f ca="1">IFERROR(__xludf.DUMMYFUNCTION("""COMPUTED_VALUE"""),"Evidencia")</f>
        <v>Evidencia</v>
      </c>
      <c r="AF172" s="15"/>
      <c r="AG172" s="15"/>
      <c r="AH172" s="15"/>
      <c r="AI172" s="24" t="str">
        <f ca="1">IFERROR(__xludf.DUMMYFUNCTION("""COMPUTED_VALUE"""),"31 de diciembre")</f>
        <v>31 de diciembre</v>
      </c>
      <c r="AJ172" s="17"/>
      <c r="AK172" s="17"/>
      <c r="AL172" s="17"/>
      <c r="AM172" s="17"/>
      <c r="AN172" s="17"/>
      <c r="AO172" s="17"/>
      <c r="AP172" s="17"/>
      <c r="AQ172" s="17"/>
      <c r="AR172" s="17"/>
      <c r="AS172" s="15"/>
      <c r="AT172" s="15"/>
      <c r="AU172" s="10"/>
    </row>
    <row r="173" spans="1:47" ht="156" x14ac:dyDescent="0.25">
      <c r="A173" s="25"/>
      <c r="B173" s="86"/>
      <c r="C173" s="86"/>
      <c r="D173" s="63" t="str">
        <f ca="1">IFERROR(__xludf.DUMMYFUNCTION("""COMPUTED_VALUE"""),"Posibilidad de afectación reputacional por incumplimiento del programa anual de auditorias de la tercera línea de defensa por insuficiencia de recurso humano, técnico y financiero debido a fallas en la planificación del programa.")</f>
        <v>Posibilidad de afectación reputacional por incumplimiento del programa anual de auditorias de la tercera línea de defensa por insuficiencia de recurso humano, técnico y financiero debido a fallas en la planificación del programa.</v>
      </c>
      <c r="E173" s="63" t="str">
        <f ca="1">IFERROR(__xludf.DUMMYFUNCTION("""COMPUTED_VALUE"""),"Oficina de Control Interno de Gestión")</f>
        <v>Oficina de Control Interno de Gestión</v>
      </c>
      <c r="F173" s="63" t="str">
        <f ca="1">IFERROR(__xludf.DUMMYFUNCTION("""COMPUTED_VALUE"""),"Gestión")</f>
        <v>Gestión</v>
      </c>
      <c r="G173" s="63" t="str">
        <f ca="1">IFERROR(__xludf.DUMMYFUNCTION("""COMPUTED_VALUE"""),"- Fallas en la planificación del programa anual de auditorias
- Falta de recurso humano, técnico y financiero")</f>
        <v>- Fallas en la planificación del programa anual de auditorias
- Falta de recurso humano, técnico y financiero</v>
      </c>
      <c r="H173" s="63" t="str">
        <f ca="1">IFERROR(__xludf.DUMMYFUNCTION("""COMPUTED_VALUE"""),"- Investigaciones disciplinarias
- Pèrdida de credibilidad en la Oficina 
- Carencia de evidencia objetiva en el desempeño de las actividades")</f>
        <v>- Investigaciones disciplinarias
- Pèrdida de credibilidad en la Oficina 
- Carencia de evidencia objetiva en el desempeño de las actividades</v>
      </c>
      <c r="I173" s="65" t="str">
        <f ca="1">IFERROR(__xludf.DUMMYFUNCTION("""COMPUTED_VALUE"""),"ECS_04")</f>
        <v>ECS_04</v>
      </c>
      <c r="J173" s="65" t="str">
        <f ca="1">IFERROR(__xludf.DUMMYFUNCTION("""COMPUTED_VALUE"""),"Baja")</f>
        <v>Baja</v>
      </c>
      <c r="K173" s="65" t="str">
        <f ca="1">IFERROR(__xludf.DUMMYFUNCTION("""COMPUTED_VALUE"""),"Mayor")</f>
        <v>Mayor</v>
      </c>
      <c r="L173" s="65" t="str">
        <f ca="1">IFERROR(__xludf.DUMMYFUNCTION("""COMPUTED_VALUE"""),"Alta")</f>
        <v>Alta</v>
      </c>
      <c r="M173" s="63" t="str">
        <f ca="1">IFERROR(__xludf.DUMMYFUNCTION("""COMPUTED_VALUE"""),"- La oficina de Control Interno elabora el programa anual de auditoria para la vigencia siguiente, identificando los recursos necesarios para su ejecución y lo presenta al Comité Institucional de Coordinación de Control Interno durante el último bimestre "&amp;"de la vigencia actaul,  para su aprobación.
- La oficina de Control Interno verifica la ejecución del programa anual de auditoria aprobado para la vigencia y registra el avance en la matriz correspondiente.
 ")</f>
        <v xml:space="preserve">- La oficina de Control Interno elabora el programa anual de auditoria para la vigencia siguiente, identificando los recursos necesarios para su ejecución y lo presenta al Comité Institucional de Coordinación de Control Interno durante el último bimestre de la vigencia actaul,  para su aprobación.
- La oficina de Control Interno verifica la ejecución del programa anual de auditoria aprobado para la vigencia y registra el avance en la matriz correspondiente.
 </v>
      </c>
      <c r="N173" s="65" t="str">
        <f ca="1">IFERROR(__xludf.DUMMYFUNCTION("""COMPUTED_VALUE"""),"Muy baja")</f>
        <v>Muy baja</v>
      </c>
      <c r="O173" s="65" t="str">
        <f ca="1">IFERROR(__xludf.DUMMYFUNCTION("""COMPUTED_VALUE"""),"Mayor")</f>
        <v>Mayor</v>
      </c>
      <c r="P173" s="65" t="str">
        <f ca="1">IFERROR(__xludf.DUMMYFUNCTION("""COMPUTED_VALUE"""),"Alta")</f>
        <v>Alta</v>
      </c>
      <c r="Q173" s="91" t="str">
        <f ca="1">IFERROR(__xludf.DUMMYFUNCTION("""COMPUTED_VALUE"""),"Reducir")</f>
        <v>Reducir</v>
      </c>
      <c r="R173" s="20" t="str">
        <f ca="1">IFERROR(__xludf.DUMMYFUNCTION("""COMPUTED_VALUE"""),"- La Oficina de Control Interno verifica con antelación los recursos disponibles para el desarrollo del programa anual de auditorias")</f>
        <v>- La Oficina de Control Interno verifica con antelación los recursos disponibles para el desarrollo del programa anual de auditorias</v>
      </c>
      <c r="S173" s="40" t="str">
        <f ca="1">IFERROR(__xludf.DUMMYFUNCTION("""COMPUTED_VALUE"""),"Anualmente")</f>
        <v>Anualmente</v>
      </c>
      <c r="T173" s="32" t="str">
        <f ca="1">IFERROR(__xludf.DUMMYFUNCTION("""COMPUTED_VALUE"""),"Asesora de Control Interno")</f>
        <v>Asesora de Control Interno</v>
      </c>
      <c r="U173" s="41" t="str">
        <f ca="1">IFERROR(__xludf.DUMMYFUNCTION("""COMPUTED_VALUE"""),"Plan Anual de Auditorias")</f>
        <v>Plan Anual de Auditorias</v>
      </c>
      <c r="V173" s="92" t="str">
        <f ca="1">IFERROR(__xludf.DUMMYFUNCTION("""COMPUTED_VALUE"""),"Presentar informe de la situación ante el Comité Institucional de Coordinación de Control Interno")</f>
        <v>Presentar informe de la situación ante el Comité Institucional de Coordinación de Control Interno</v>
      </c>
      <c r="W173" s="97" t="str">
        <f ca="1">IFERROR(__xludf.DUMMYFUNCTION("""COMPUTED_VALUE"""),"Acta del comité")</f>
        <v>Acta del comité</v>
      </c>
      <c r="X173" s="97" t="str">
        <f ca="1">IFERROR(__xludf.DUMMYFUNCTION("""COMPUTED_VALUE"""),"Asesor de Control interno")</f>
        <v>Asesor de Control interno</v>
      </c>
      <c r="Y173" s="97" t="str">
        <f ca="1">IFERROR(__xludf.DUMMYFUNCTION("""COMPUTED_VALUE"""),"Dentro de los 30 días siguientes a la materialización del riesgo")</f>
        <v>Dentro de los 30 días siguientes a la materialización del riesgo</v>
      </c>
      <c r="Z173" s="15" t="str">
        <f ca="1">IFERROR(__xludf.DUMMYFUNCTION("""COMPUTED_VALUE"""),"30 de abril")</f>
        <v>30 de abril</v>
      </c>
      <c r="AA173" s="17" t="str">
        <f ca="1">IFERROR(__xludf.DUMMYFUNCTION("""COMPUTED_VALUE"""),"Enero a abril de 2026")</f>
        <v>Enero a abril de 2026</v>
      </c>
      <c r="AB173" s="17" t="str">
        <f ca="1">IFERROR(__xludf.DUMMYFUNCTION("""COMPUTED_VALUE"""),"No")</f>
        <v>No</v>
      </c>
      <c r="AC173" s="15" t="str">
        <f ca="1">IFERROR(__xludf.DUMMYFUNCTION("""COMPUTED_VALUE"""),"Ejecución del Control:
C1: La oficina de Control Interno elaboró el programa anual de auditorias para la vigencia 2026,el cual fue aprobado por el Comité Institucional de Coordinación de Control Interno en el comité realizado el día 18 de diciembre de 202"&amp;"5, el cual contempló inicialmente 11 auditorias correspondientes a la tercera línea de defensa y 10 auditorias internas para la segunda línea de defensa. Se anexa comunicaicón del plan de auditoria aprobado para la vigencia 2026, el Acta de aprobación rep"&amp;"osa en el archivo de gestión de la oficina de Control Interno.
C2: El Asesor de Contro Interno, verificó el cumplimiento del Plan Anual de Auditoria, en el cual se va registrando en la coloumna ""Evidencia"", los resultados del avance de la ejecución. 
"&amp;"Con relación a la acción asociada al tratamiento,  la Oficina de Control Interno verificó con antelación la información pertinente para el programa anual de auditorias, incluyendo los recursos humanos y técnicos requeridos..
Como resultado de los control"&amp;"es ejectudados, se evitó la materialización del riesgo.")</f>
        <v>Ejecución del Control:
C1: La oficina de Control Interno elaboró el programa anual de auditorias para la vigencia 2026,el cual fue aprobado por el Comité Institucional de Coordinación de Control Interno en el comité realizado el día 18 de diciembre de 2025, el cual contempló inicialmente 11 auditorias correspondientes a la tercera línea de defensa y 10 auditorias internas para la segunda línea de defensa. Se anexa comunicaicón del plan de auditoria aprobado para la vigencia 2026, el Acta de aprobación reposa en el archivo de gestión de la oficina de Control Interno.
C2: El Asesor de Contro Interno, verificó el cumplimiento del Plan Anual de Auditoria, en el cual se va registrando en la coloumna "Evidencia", los resultados del avance de la ejecución. 
Con relación a la acción asociada al tratamiento,  la Oficina de Control Interno verificó con antelación la información pertinente para el programa anual de auditorias, incluyendo los recursos humanos y técnicos requeridos..
Como resultado de los controles ejectudados, se evitó la materialización del riesgo.</v>
      </c>
      <c r="AD173" s="17" t="str">
        <f ca="1">IFERROR(__xludf.DUMMYFUNCTION("""COMPUTED_VALUE"""),"Asesor de Control Interno de Gestión")</f>
        <v>Asesor de Control Interno de Gestión</v>
      </c>
      <c r="AE173" s="18" t="str">
        <f ca="1">IFERROR(__xludf.DUMMYFUNCTION("""COMPUTED_VALUE"""),"Evidencia")</f>
        <v>Evidencia</v>
      </c>
      <c r="AF173" s="15" t="str">
        <f ca="1">IFERROR(__xludf.DUMMYFUNCTION("""COMPUTED_VALUE"""),"Si")</f>
        <v>Si</v>
      </c>
      <c r="AG173" s="15" t="str">
        <f ca="1">IFERROR(__xludf.DUMMYFUNCTION("""COMPUTED_VALUE"""),"Ejecutada")</f>
        <v>Ejecutada</v>
      </c>
      <c r="AH173" s="15" t="str">
        <f ca="1">IFERROR(__xludf.DUMMYFUNCTION("""COMPUTED_VALUE"""),"C1: Se verificó la formulación y aprobación del Programa Anual de Auditorías 2026 por el Comité Institucional de Coordinación de Control Interno, evidenciando la planificación de las auditorías y la identificación de recursos requeridos.
C2: Se evidenció"&amp;" el seguimiento a la ejecución del Programa Anual de Auditorías, mediante el registro de avances en la matriz correspondiente.
Materialización del riesgo: El riesgo no se materializó durante el periodo evaluado.
Conclusión: Los controles se ejecutan con"&amp;"forme a lo establecido y contribuyen a la mitigación del riesgo, el cual se mantiene bajo control. Se cuenta con soportes documentales que respaldan su ejecución.")</f>
        <v>C1: Se verificó la formulación y aprobación del Programa Anual de Auditorías 2026 por el Comité Institucional de Coordinación de Control Interno, evidenciando la planificación de las auditorías y la identificación de recursos requeridos.
C2: Se evidenció el seguimiento a la ejecución del Programa Anual de Auditorías, mediante el registro de avances en la matriz correspondiente.
Materialización del riesgo: El riesgo no se materializó durante el periodo evaluado.
Conclusión: Los controles se ejecutan conforme a lo establecido y contribuyen a la mitigación del riesgo, el cual se mantiene bajo control. Se cuenta con soportes documentales que respaldan su ejecución.</v>
      </c>
      <c r="AI173" s="15" t="str">
        <f ca="1">IFERROR(__xludf.DUMMYFUNCTION("""COMPUTED_VALUE"""),"30 de abril")</f>
        <v>30 de abril</v>
      </c>
      <c r="AJ173" s="17" t="str">
        <f ca="1">IFERROR(__xludf.DUMMYFUNCTION("""COMPUTED_VALUE"""),"Si")</f>
        <v>Si</v>
      </c>
      <c r="AK173" s="17" t="str">
        <f ca="1">IFERROR(__xludf.DUMMYFUNCTION("""COMPUTED_VALUE"""),"Si")</f>
        <v>Si</v>
      </c>
      <c r="AL173" s="17" t="str">
        <f ca="1">IFERROR(__xludf.DUMMYFUNCTION("""COMPUTED_VALUE"""),"Si")</f>
        <v>Si</v>
      </c>
      <c r="AM173" s="17" t="str">
        <f ca="1">IFERROR(__xludf.DUMMYFUNCTION("""COMPUTED_VALUE"""),"Si")</f>
        <v>Si</v>
      </c>
      <c r="AN173" s="17" t="str">
        <f ca="1">IFERROR(__xludf.DUMMYFUNCTION("""COMPUTED_VALUE"""),"Si")</f>
        <v>Si</v>
      </c>
      <c r="AO173" s="17" t="str">
        <f ca="1">IFERROR(__xludf.DUMMYFUNCTION("""COMPUTED_VALUE"""),"Si")</f>
        <v>Si</v>
      </c>
      <c r="AP173" s="17" t="str">
        <f ca="1">IFERROR(__xludf.DUMMYFUNCTION("""COMPUTED_VALUE"""),"Si")</f>
        <v>Si</v>
      </c>
      <c r="AQ173" s="17" t="str">
        <f ca="1">IFERROR(__xludf.DUMMYFUNCTION("""COMPUTED_VALUE"""),"No")</f>
        <v>No</v>
      </c>
      <c r="AR173" s="17" t="str">
        <f ca="1">IFERROR(__xludf.DUMMYFUNCTION("""COMPUTED_VALUE"""),"No")</f>
        <v>No</v>
      </c>
      <c r="AS173" s="15" t="str">
        <f ca="1">IFERROR(__xludf.DUMMYFUNCTION("""COMPUTED_VALUE"""),"No aplica")</f>
        <v>No aplica</v>
      </c>
      <c r="AT173" s="15" t="str">
        <f ca="1">IFERROR(__xludf.DUMMYFUNCTION("""COMPUTED_VALUE"""),"Ninguna")</f>
        <v>Ninguna</v>
      </c>
      <c r="AU173" s="10"/>
    </row>
    <row r="174" spans="1:47" x14ac:dyDescent="0.25">
      <c r="A174" s="25"/>
      <c r="B174" s="86"/>
      <c r="C174" s="86"/>
      <c r="D174" s="64"/>
      <c r="E174" s="64"/>
      <c r="F174" s="64"/>
      <c r="G174" s="64"/>
      <c r="H174" s="64"/>
      <c r="I174" s="64"/>
      <c r="J174" s="64"/>
      <c r="K174" s="64"/>
      <c r="L174" s="64"/>
      <c r="M174" s="64"/>
      <c r="N174" s="64"/>
      <c r="O174" s="64"/>
      <c r="P174" s="64"/>
      <c r="Q174" s="83"/>
      <c r="R174" s="20" t="str">
        <f ca="1">IFERROR(__xludf.DUMMYFUNCTION("""COMPUTED_VALUE"""),"")</f>
        <v/>
      </c>
      <c r="S174" s="42" t="str">
        <f ca="1">IFERROR(__xludf.DUMMYFUNCTION("""COMPUTED_VALUE"""),"")</f>
        <v/>
      </c>
      <c r="T174" s="34"/>
      <c r="U174" s="20"/>
      <c r="V174" s="89"/>
      <c r="W174" s="89"/>
      <c r="X174" s="89"/>
      <c r="Y174" s="89"/>
      <c r="Z174" s="15" t="str">
        <f ca="1">IFERROR(__xludf.DUMMYFUNCTION("""COMPUTED_VALUE"""),"30 de agosto")</f>
        <v>30 de agosto</v>
      </c>
      <c r="AA174" s="17"/>
      <c r="AB174" s="17"/>
      <c r="AC174" s="15"/>
      <c r="AD174" s="17"/>
      <c r="AE174" s="18" t="str">
        <f ca="1">IFERROR(__xludf.DUMMYFUNCTION("""COMPUTED_VALUE"""),"Evidencia")</f>
        <v>Evidencia</v>
      </c>
      <c r="AF174" s="15"/>
      <c r="AG174" s="15"/>
      <c r="AH174" s="15"/>
      <c r="AI174" s="24" t="str">
        <f ca="1">IFERROR(__xludf.DUMMYFUNCTION("""COMPUTED_VALUE"""),"31 de agosto")</f>
        <v>31 de agosto</v>
      </c>
      <c r="AJ174" s="17"/>
      <c r="AK174" s="17"/>
      <c r="AL174" s="17"/>
      <c r="AM174" s="17"/>
      <c r="AN174" s="17"/>
      <c r="AO174" s="17"/>
      <c r="AP174" s="17"/>
      <c r="AQ174" s="17"/>
      <c r="AR174" s="17"/>
      <c r="AS174" s="15"/>
      <c r="AT174" s="15"/>
      <c r="AU174" s="10"/>
    </row>
    <row r="175" spans="1:47" x14ac:dyDescent="0.25">
      <c r="A175" s="25"/>
      <c r="B175" s="87"/>
      <c r="C175" s="87"/>
      <c r="D175" s="61"/>
      <c r="E175" s="61"/>
      <c r="F175" s="61"/>
      <c r="G175" s="61"/>
      <c r="H175" s="61"/>
      <c r="I175" s="61"/>
      <c r="J175" s="61"/>
      <c r="K175" s="61"/>
      <c r="L175" s="61"/>
      <c r="M175" s="61"/>
      <c r="N175" s="61"/>
      <c r="O175" s="61"/>
      <c r="P175" s="61"/>
      <c r="Q175" s="84"/>
      <c r="R175" s="26" t="str">
        <f ca="1">IFERROR(__xludf.DUMMYFUNCTION("""COMPUTED_VALUE"""),"")</f>
        <v/>
      </c>
      <c r="S175" s="43" t="str">
        <f ca="1">IFERROR(__xludf.DUMMYFUNCTION("""COMPUTED_VALUE"""),"")</f>
        <v/>
      </c>
      <c r="T175" s="38"/>
      <c r="U175" s="26"/>
      <c r="V175" s="76"/>
      <c r="W175" s="76"/>
      <c r="X175" s="76"/>
      <c r="Y175" s="76"/>
      <c r="Z175" s="15" t="str">
        <f ca="1">IFERROR(__xludf.DUMMYFUNCTION("""COMPUTED_VALUE"""),"30 de diciembre")</f>
        <v>30 de diciembre</v>
      </c>
      <c r="AA175" s="17"/>
      <c r="AB175" s="17"/>
      <c r="AC175" s="15"/>
      <c r="AD175" s="17"/>
      <c r="AE175" s="18" t="str">
        <f ca="1">IFERROR(__xludf.DUMMYFUNCTION("""COMPUTED_VALUE"""),"Evidencia")</f>
        <v>Evidencia</v>
      </c>
      <c r="AF175" s="15"/>
      <c r="AG175" s="15"/>
      <c r="AH175" s="15"/>
      <c r="AI175" s="24" t="str">
        <f ca="1">IFERROR(__xludf.DUMMYFUNCTION("""COMPUTED_VALUE"""),"31 de diciembre")</f>
        <v>31 de diciembre</v>
      </c>
      <c r="AJ175" s="17"/>
      <c r="AK175" s="17"/>
      <c r="AL175" s="17"/>
      <c r="AM175" s="17"/>
      <c r="AN175" s="17"/>
      <c r="AO175" s="17"/>
      <c r="AP175" s="17"/>
      <c r="AQ175" s="17"/>
      <c r="AR175" s="17"/>
      <c r="AS175" s="15"/>
      <c r="AT175" s="15"/>
      <c r="AU175" s="10"/>
    </row>
    <row r="176" spans="1:47" ht="204" x14ac:dyDescent="0.25">
      <c r="A176" s="25"/>
      <c r="B176" s="90" t="s">
        <v>75</v>
      </c>
      <c r="C176" s="85" t="str">
        <f ca="1">IFERROR(__xludf.DUMMYFUNCTION("IMPORTRANGE(""https://docs.google.com/spreadsheets/d/15ZZxjVJpvD_1trsqFp5bwpXtUV5a0WArS0b3ZTQCze0/edit?gid=2098233099#gid=2098233099"",""Matriz_riesgos!C11:AT16"")"),"Establecer objetivo del proceso")</f>
        <v>Establecer objetivo del proceso</v>
      </c>
      <c r="D176" s="88" t="str">
        <f ca="1">IFERROR(__xludf.DUMMYFUNCTION("""COMPUTED_VALUE"""),"Posibilidad de afectación económica y reputacional por favorecimiento a terceros por omisión en la apertura de los procesos disciplinarios ")</f>
        <v xml:space="preserve">Posibilidad de afectación económica y reputacional por favorecimiento a terceros por omisión en la apertura de los procesos disciplinarios </v>
      </c>
      <c r="E176" s="63" t="str">
        <f ca="1">IFERROR(__xludf.DUMMYFUNCTION("""COMPUTED_VALUE"""),"Oficina de Control Interno Disciplinario")</f>
        <v>Oficina de Control Interno Disciplinario</v>
      </c>
      <c r="F176" s="63" t="str">
        <f ca="1">IFERROR(__xludf.DUMMYFUNCTION("""COMPUTED_VALUE"""),"Corrupción")</f>
        <v>Corrupción</v>
      </c>
      <c r="G176" s="63" t="str">
        <f ca="1">IFERROR(__xludf.DUMMYFUNCTION("""COMPUTED_VALUE"""),"- Favorecimiento por parte de algún funcionario para no aperturar un proceso")</f>
        <v>- Favorecimiento por parte de algún funcionario para no aperturar un proceso</v>
      </c>
      <c r="H176" s="63" t="str">
        <f ca="1">IFERROR(__xludf.DUMMYFUNCTION("""COMPUTED_VALUE"""),"- Sanciones disciplinarias
- Sanciones fiscales 
- Afectación en la imagen de la Oficina")</f>
        <v>- Sanciones disciplinarias
- Sanciones fiscales 
- Afectación en la imagen de la Oficina</v>
      </c>
      <c r="I176" s="65" t="str">
        <f ca="1">IFERROR(__xludf.DUMMYFUNCTION("""COMPUTED_VALUE"""),"CDS_01")</f>
        <v>CDS_01</v>
      </c>
      <c r="J176" s="65" t="str">
        <f ca="1">IFERROR(__xludf.DUMMYFUNCTION("""COMPUTED_VALUE"""),"Media")</f>
        <v>Media</v>
      </c>
      <c r="K176" s="65" t="str">
        <f ca="1">IFERROR(__xludf.DUMMYFUNCTION("""COMPUTED_VALUE"""),"Mayor")</f>
        <v>Mayor</v>
      </c>
      <c r="L176" s="65" t="str">
        <f ca="1">IFERROR(__xludf.DUMMYFUNCTION("""COMPUTED_VALUE"""),"Extrema")</f>
        <v>Extrema</v>
      </c>
      <c r="M176" s="63" t="str">
        <f ca="1">IFERROR(__xludf.DUMMYFUNCTION("""COMPUTED_VALUE"""),"- El Asesor de Control Interno Disciplinario aisgna las noticias disciplinarias a los abogados de la Oficina cuando llegan por medio del correo electrónico, con el fin de que cada profesional lleve a cabo el análisis pertinente
- El profesional de la Ofic"&amp;"ina de Control interno Disciplinario, registra en la matriz de seguimiento la investigación disciplinaria o indagación previa, una vez que el profesional designado determina que es necesario aperturar
- El Asesor de Control Interno Disciplinario lidera re"&amp;"unión trimestral con el equipo de trabajo de la Oficina, donde se realiza seguimiento y control de los casos asignados a los profesionales  ")</f>
        <v xml:space="preserve">- El Asesor de Control Interno Disciplinario aisgna las noticias disciplinarias a los abogados de la Oficina cuando llegan por medio del correo electrónico, con el fin de que cada profesional lleve a cabo el análisis pertinente
- El profesional de la Oficina de Control interno Disciplinario, registra en la matriz de seguimiento la investigación disciplinaria o indagación previa, una vez que el profesional designado determina que es necesario aperturar
- El Asesor de Control Interno Disciplinario lidera reunión trimestral con el equipo de trabajo de la Oficina, donde se realiza seguimiento y control de los casos asignados a los profesionales  </v>
      </c>
      <c r="N176" s="65" t="str">
        <f ca="1">IFERROR(__xludf.DUMMYFUNCTION("""COMPUTED_VALUE"""),"Muy baja")</f>
        <v>Muy baja</v>
      </c>
      <c r="O176" s="65" t="str">
        <f ca="1">IFERROR(__xludf.DUMMYFUNCTION("""COMPUTED_VALUE"""),"Mayor")</f>
        <v>Mayor</v>
      </c>
      <c r="P176" s="65" t="str">
        <f ca="1">IFERROR(__xludf.DUMMYFUNCTION("""COMPUTED_VALUE"""),"Alta")</f>
        <v>Alta</v>
      </c>
      <c r="Q176" s="91" t="str">
        <f ca="1">IFERROR(__xludf.DUMMYFUNCTION("""COMPUTED_VALUE"""),"Reducir")</f>
        <v>Reducir</v>
      </c>
      <c r="R176" s="20" t="str">
        <f ca="1">IFERROR(__xludf.DUMMYFUNCTION("""COMPUTED_VALUE"""),"Sensibilizar al equipo de la Oficina de Control Interno Disciplinario sobre sus responsabilidades frente a las actuaciones disciplinarias, y la importancia de dar cumplimiento a las mismas")</f>
        <v>Sensibilizar al equipo de la Oficina de Control Interno Disciplinario sobre sus responsabilidades frente a las actuaciones disciplinarias, y la importancia de dar cumplimiento a las mismas</v>
      </c>
      <c r="S176" s="40" t="str">
        <f ca="1">IFERROR(__xludf.DUMMYFUNCTION("""COMPUTED_VALUE"""),"Trimestralmente")</f>
        <v>Trimestralmente</v>
      </c>
      <c r="T176" s="14" t="str">
        <f ca="1">IFERROR(__xludf.DUMMYFUNCTION("""COMPUTED_VALUE"""),"Asesor de Control Disciplinario")</f>
        <v>Asesor de Control Disciplinario</v>
      </c>
      <c r="U176" s="55" t="str">
        <f ca="1">IFERROR(__xludf.DUMMYFUNCTION("""COMPUTED_VALUE"""),"Acta de reunión")</f>
        <v>Acta de reunión</v>
      </c>
      <c r="V176" s="92" t="str">
        <f ca="1">IFERROR(__xludf.DUMMYFUNCTION("""COMPUTED_VALUE"""),"Aperturar de manera inmediata las investigaciones necesarias o indagaciones previas según el caso")</f>
        <v>Aperturar de manera inmediata las investigaciones necesarias o indagaciones previas según el caso</v>
      </c>
      <c r="W176" s="97" t="str">
        <f ca="1">IFERROR(__xludf.DUMMYFUNCTION("""COMPUTED_VALUE"""),"Acción disciplinaria pertinente")</f>
        <v>Acción disciplinaria pertinente</v>
      </c>
      <c r="X176" s="97" t="str">
        <f ca="1">IFERROR(__xludf.DUMMYFUNCTION("""COMPUTED_VALUE"""),"Asesora de Control Interno Disciplinario")</f>
        <v>Asesora de Control Interno Disciplinario</v>
      </c>
      <c r="Y176" s="97" t="str">
        <f ca="1">IFERROR(__xludf.DUMMYFUNCTION("""COMPUTED_VALUE"""),"Inmediato")</f>
        <v>Inmediato</v>
      </c>
      <c r="Z176" s="15" t="str">
        <f ca="1">IFERROR(__xludf.DUMMYFUNCTION("""COMPUTED_VALUE"""),"30 de abril")</f>
        <v>30 de abril</v>
      </c>
      <c r="AA176" s="17" t="str">
        <f ca="1">IFERROR(__xludf.DUMMYFUNCTION("""COMPUTED_VALUE"""),"Enero a abril de 2026")</f>
        <v>Enero a abril de 2026</v>
      </c>
      <c r="AB176" s="17" t="str">
        <f ca="1">IFERROR(__xludf.DUMMYFUNCTION("""COMPUTED_VALUE"""),"No")</f>
        <v>No</v>
      </c>
      <c r="AC176" s="15" t="str">
        <f ca="1">IFERROR(__xludf.DUMMYFUNCTION("""COMPUTED_VALUE"""),"Durante el período de monitoreo NO se materializó el riesgo de afectación reputacional por presunto favorecimiento a terceros, derivado de omisiones en la apertura de procesos disciplinarios.
Acciones asociadas a la aplicación de controles del riesgo:
- "&amp;"Se realizó una reunión de coordinación el 25 de febrero de 2026 con los profesionales de apoyo y judicantes de la Oficina de Control Disciplinario Interno, en la cual se asignaron tareas específicas orientadas a fortalecer el seguimiento y control de los "&amp;"procesos disciplinarios.
- Se etiquetaron y socializaron las asignaciones pendientes con el profesional responsable, promoviendo la trazabilidad de los casos y la adecuada distribución de las cargas de trabajo.
- Se implementó una estrategia de revisión p"&amp;"eriódica de los términos procesales para verificar la apertura oportuna de indagaciones preliminares, investigaciones formales, emisión de decisiones inhibitorias y remisión de actuaciones a otras instancias cuando corresponda.
Estas acciones contribuyen"&amp;" al cumplimiento de la normativa vigente y aseguran la transparencia y legalidad en la gestión disciplinaria.
Acciones asociadas al tratamiento del riesgo:
-Se fortaleció la cultura institucional de control y responsabilidad a través de la socialización "&amp;"de buenas prácticas y lineamientos en materia disciplinaria.
-Se promovió la articulación entre los distintos roles dentro de la Oficina con el fin de garantizar un tratamiento oportuno y riguroso de las actuaciones, minimizando así la posibilidad de omis"&amp;"iones que puedan derivar en afectaciones reputacionales.")</f>
        <v>Durante el período de monitoreo NO se materializó el riesgo de afectación reputacional por presunto favorecimiento a terceros, derivado de omisiones en la apertura de procesos disciplinarios.
Acciones asociadas a la aplicación de controles del riesgo:
- Se realizó una reunión de coordinación el 25 de febrero de 2026 con los profesionales de apoyo y judicantes de la Oficina de Control Disciplinario Interno, en la cual se asignaron tareas específicas orientadas a fortalecer el seguimiento y control de los procesos disciplinarios.
- Se etiquetaron y socializaron las asignaciones pendientes con el profesional responsable, promoviendo la trazabilidad de los casos y la adecuada distribución de las cargas de trabajo.
- Se implementó una estrategia de revisión periódica de los términos procesales para verificar la apertura oportuna de indagaciones preliminares, investigaciones formales, emisión de decisiones inhibitorias y remisión de actuaciones a otras instancias cuando corresponda.
Estas acciones contribuyen al cumplimiento de la normativa vigente y aseguran la transparencia y legalidad en la gestión disciplinaria.
Acciones asociadas al tratamiento del riesgo:
-Se fortaleció la cultura institucional de control y responsabilidad a través de la socialización de buenas prácticas y lineamientos en materia disciplinaria.
-Se promovió la articulación entre los distintos roles dentro de la Oficina con el fin de garantizar un tratamiento oportuno y riguroso de las actuaciones, minimizando así la posibilidad de omisiones que puedan derivar en afectaciones reputacionales.</v>
      </c>
      <c r="AD176" s="17" t="str">
        <f ca="1">IFERROR(__xludf.DUMMYFUNCTION("""COMPUTED_VALUE"""),"Asesora de Control Interno Disciplinario")</f>
        <v>Asesora de Control Interno Disciplinario</v>
      </c>
      <c r="AE176" s="18" t="str">
        <f ca="1">IFERROR(__xludf.DUMMYFUNCTION("""COMPUTED_VALUE"""),"Evidencia")</f>
        <v>Evidencia</v>
      </c>
      <c r="AF176" s="15" t="str">
        <f ca="1">IFERROR(__xludf.DUMMYFUNCTION("""COMPUTED_VALUE"""),"Si")</f>
        <v>Si</v>
      </c>
      <c r="AG176" s="15" t="str">
        <f ca="1">IFERROR(__xludf.DUMMYFUNCTION("""COMPUTED_VALUE"""),"Ejecutada")</f>
        <v>Ejecutada</v>
      </c>
      <c r="AH176" s="15" t="str">
        <f ca="1">IFERROR(__xludf.DUMMYFUNCTION("""COMPUTED_VALUE"""),"C1–C3: Se verificó la realización de reuniones de control y seguimiento de los casos asignados a los profesionales de la Oficina de Control Interno Disciplinario, evidenciando monitoreo y trazabilidad de las actuaciones adelantadas.
Materialización del r"&amp;"iesgo: El riesgo no se materializó durante el periodo evaluado.
Conclusión: Se evidenció la ejecución de los controles definidos, contribuyendo a la mitigación del riesgo y al seguimiento oportuno de los casos asignados. Se cuenta con soportes documental"&amp;"es que respaldan su ejecución.")</f>
        <v>C1–C3: Se verificó la realización de reuniones de control y seguimiento de los casos asignados a los profesionales de la Oficina de Control Interno Disciplinario, evidenciando monitoreo y trazabilidad de las actuaciones adelantadas.
Materialización del riesgo: El riesgo no se materializó durante el periodo evaluado.
Conclusión: Se evidenció la ejecución de los controles definidos, contribuyendo a la mitigación del riesgo y al seguimiento oportuno de los casos asignados. Se cuenta con soportes documentales que respaldan su ejecución.</v>
      </c>
      <c r="AI176" s="15" t="str">
        <f ca="1">IFERROR(__xludf.DUMMYFUNCTION("""COMPUTED_VALUE"""),"30 de abril")</f>
        <v>30 de abril</v>
      </c>
      <c r="AJ176" s="17" t="str">
        <f ca="1">IFERROR(__xludf.DUMMYFUNCTION("""COMPUTED_VALUE"""),"Si")</f>
        <v>Si</v>
      </c>
      <c r="AK176" s="17" t="str">
        <f ca="1">IFERROR(__xludf.DUMMYFUNCTION("""COMPUTED_VALUE"""),"Si")</f>
        <v>Si</v>
      </c>
      <c r="AL176" s="17" t="str">
        <f ca="1">IFERROR(__xludf.DUMMYFUNCTION("""COMPUTED_VALUE"""),"Si")</f>
        <v>Si</v>
      </c>
      <c r="AM176" s="17" t="str">
        <f ca="1">IFERROR(__xludf.DUMMYFUNCTION("""COMPUTED_VALUE"""),"Si")</f>
        <v>Si</v>
      </c>
      <c r="AN176" s="17" t="str">
        <f ca="1">IFERROR(__xludf.DUMMYFUNCTION("""COMPUTED_VALUE"""),"Si")</f>
        <v>Si</v>
      </c>
      <c r="AO176" s="17" t="str">
        <f ca="1">IFERROR(__xludf.DUMMYFUNCTION("""COMPUTED_VALUE"""),"Si")</f>
        <v>Si</v>
      </c>
      <c r="AP176" s="17" t="str">
        <f ca="1">IFERROR(__xludf.DUMMYFUNCTION("""COMPUTED_VALUE"""),"Si")</f>
        <v>Si</v>
      </c>
      <c r="AQ176" s="17" t="str">
        <f ca="1">IFERROR(__xludf.DUMMYFUNCTION("""COMPUTED_VALUE"""),"No")</f>
        <v>No</v>
      </c>
      <c r="AR176" s="17" t="str">
        <f ca="1">IFERROR(__xludf.DUMMYFUNCTION("""COMPUTED_VALUE"""),"No")</f>
        <v>No</v>
      </c>
      <c r="AS176" s="15" t="str">
        <f ca="1">IFERROR(__xludf.DUMMYFUNCTION("""COMPUTED_VALUE"""),"No aplica")</f>
        <v>No aplica</v>
      </c>
      <c r="AT176" s="15" t="str">
        <f ca="1">IFERROR(__xludf.DUMMYFUNCTION("""COMPUTED_VALUE"""),"Ninguna")</f>
        <v>Ninguna</v>
      </c>
      <c r="AU176" s="10"/>
    </row>
    <row r="177" spans="1:47" x14ac:dyDescent="0.25">
      <c r="A177" s="25"/>
      <c r="B177" s="86"/>
      <c r="C177" s="86"/>
      <c r="D177" s="89"/>
      <c r="E177" s="64"/>
      <c r="F177" s="64"/>
      <c r="G177" s="64"/>
      <c r="H177" s="64"/>
      <c r="I177" s="64"/>
      <c r="J177" s="64"/>
      <c r="K177" s="64"/>
      <c r="L177" s="64"/>
      <c r="M177" s="64"/>
      <c r="N177" s="64"/>
      <c r="O177" s="64"/>
      <c r="P177" s="64"/>
      <c r="Q177" s="83"/>
      <c r="R177" s="20" t="str">
        <f ca="1">IFERROR(__xludf.DUMMYFUNCTION("""COMPUTED_VALUE"""),"")</f>
        <v/>
      </c>
      <c r="S177" s="42" t="str">
        <f ca="1">IFERROR(__xludf.DUMMYFUNCTION("""COMPUTED_VALUE"""),"")</f>
        <v/>
      </c>
      <c r="T177" s="34"/>
      <c r="U177" s="20"/>
      <c r="V177" s="89"/>
      <c r="W177" s="89"/>
      <c r="X177" s="89"/>
      <c r="Y177" s="89"/>
      <c r="Z177" s="15" t="str">
        <f ca="1">IFERROR(__xludf.DUMMYFUNCTION("""COMPUTED_VALUE"""),"30 de agosto")</f>
        <v>30 de agosto</v>
      </c>
      <c r="AA177" s="17"/>
      <c r="AB177" s="17"/>
      <c r="AC177" s="15"/>
      <c r="AD177" s="17"/>
      <c r="AE177" s="18" t="str">
        <f ca="1">IFERROR(__xludf.DUMMYFUNCTION("""COMPUTED_VALUE"""),"Evidencia")</f>
        <v>Evidencia</v>
      </c>
      <c r="AF177" s="15"/>
      <c r="AG177" s="15"/>
      <c r="AH177" s="15"/>
      <c r="AI177" s="24" t="str">
        <f ca="1">IFERROR(__xludf.DUMMYFUNCTION("""COMPUTED_VALUE"""),"31 de agosto")</f>
        <v>31 de agosto</v>
      </c>
      <c r="AJ177" s="17"/>
      <c r="AK177" s="17"/>
      <c r="AL177" s="17"/>
      <c r="AM177" s="17"/>
      <c r="AN177" s="17"/>
      <c r="AO177" s="17"/>
      <c r="AP177" s="17"/>
      <c r="AQ177" s="17"/>
      <c r="AR177" s="17"/>
      <c r="AS177" s="15"/>
      <c r="AT177" s="15"/>
      <c r="AU177" s="10"/>
    </row>
    <row r="178" spans="1:47" x14ac:dyDescent="0.25">
      <c r="A178" s="25"/>
      <c r="B178" s="86"/>
      <c r="C178" s="86"/>
      <c r="D178" s="76"/>
      <c r="E178" s="61"/>
      <c r="F178" s="61"/>
      <c r="G178" s="61"/>
      <c r="H178" s="61"/>
      <c r="I178" s="61"/>
      <c r="J178" s="61"/>
      <c r="K178" s="61"/>
      <c r="L178" s="61"/>
      <c r="M178" s="61"/>
      <c r="N178" s="61"/>
      <c r="O178" s="61"/>
      <c r="P178" s="61"/>
      <c r="Q178" s="84"/>
      <c r="R178" s="26" t="str">
        <f ca="1">IFERROR(__xludf.DUMMYFUNCTION("""COMPUTED_VALUE"""),"")</f>
        <v/>
      </c>
      <c r="S178" s="43" t="str">
        <f ca="1">IFERROR(__xludf.DUMMYFUNCTION("""COMPUTED_VALUE"""),"")</f>
        <v/>
      </c>
      <c r="T178" s="38"/>
      <c r="U178" s="26"/>
      <c r="V178" s="76"/>
      <c r="W178" s="76"/>
      <c r="X178" s="76"/>
      <c r="Y178" s="76"/>
      <c r="Z178" s="15" t="str">
        <f ca="1">IFERROR(__xludf.DUMMYFUNCTION("""COMPUTED_VALUE"""),"30 de diciembre")</f>
        <v>30 de diciembre</v>
      </c>
      <c r="AA178" s="17"/>
      <c r="AB178" s="17"/>
      <c r="AC178" s="15"/>
      <c r="AD178" s="17"/>
      <c r="AE178" s="18" t="str">
        <f ca="1">IFERROR(__xludf.DUMMYFUNCTION("""COMPUTED_VALUE"""),"Evidencia")</f>
        <v>Evidencia</v>
      </c>
      <c r="AF178" s="15"/>
      <c r="AG178" s="15"/>
      <c r="AH178" s="15"/>
      <c r="AI178" s="24" t="str">
        <f ca="1">IFERROR(__xludf.DUMMYFUNCTION("""COMPUTED_VALUE"""),"31 de diciembre")</f>
        <v>31 de diciembre</v>
      </c>
      <c r="AJ178" s="17"/>
      <c r="AK178" s="17"/>
      <c r="AL178" s="17"/>
      <c r="AM178" s="17"/>
      <c r="AN178" s="17"/>
      <c r="AO178" s="17"/>
      <c r="AP178" s="17"/>
      <c r="AQ178" s="17"/>
      <c r="AR178" s="17"/>
      <c r="AS178" s="15"/>
      <c r="AT178" s="15"/>
      <c r="AU178" s="10"/>
    </row>
    <row r="179" spans="1:47" ht="180" x14ac:dyDescent="0.25">
      <c r="A179" s="25"/>
      <c r="B179" s="86"/>
      <c r="C179" s="86"/>
      <c r="D179" s="88" t="str">
        <f ca="1">IFERROR(__xludf.DUMMYFUNCTION("""COMPUTED_VALUE"""),"Posibilidad de afectación reputacional por no aperturar una investigación disciplinaria, omitiendo de manera parcial o total un informe de servidor público o una queja allegada por medio de correo electrónico debido a debilidades en la aplicación de contr"&amp;"oles asociados al monitoreo de los expedientes asignados a los profesionales de la Oficina de Control Internos Disciplinario")</f>
        <v>Posibilidad de afectación reputacional por no aperturar una investigación disciplinaria, omitiendo de manera parcial o total un informe de servidor público o una queja allegada por medio de correo electrónico debido a debilidades en la aplicación de controles asociados al monitoreo de los expedientes asignados a los profesionales de la Oficina de Control Internos Disciplinario</v>
      </c>
      <c r="E179" s="63" t="str">
        <f ca="1">IFERROR(__xludf.DUMMYFUNCTION("""COMPUTED_VALUE"""),"Oficina de Control Interno Disciplinario")</f>
        <v>Oficina de Control Interno Disciplinario</v>
      </c>
      <c r="F179" s="63" t="str">
        <f ca="1">IFERROR(__xludf.DUMMYFUNCTION("""COMPUTED_VALUE"""),"Gestión")</f>
        <v>Gestión</v>
      </c>
      <c r="G179" s="63" t="str">
        <f ca="1">IFERROR(__xludf.DUMMYFUNCTION("""COMPUTED_VALUE"""),"- Debilidades en la aplicación de controles asociados al monitoreo de los expedientes asignados a los profesionales de la Oficina de Control Internos Disciplinario")</f>
        <v>- Debilidades en la aplicación de controles asociados al monitoreo de los expedientes asignados a los profesionales de la Oficina de Control Internos Disciplinario</v>
      </c>
      <c r="H179" s="63" t="str">
        <f ca="1">IFERROR(__xludf.DUMMYFUNCTION("""COMPUTED_VALUE"""),"- Sanciones disciplinarias
- Afectación de la Oficina de Control interno disciplinario")</f>
        <v>- Sanciones disciplinarias
- Afectación de la Oficina de Control interno disciplinario</v>
      </c>
      <c r="I179" s="65" t="str">
        <f ca="1">IFERROR(__xludf.DUMMYFUNCTION("""COMPUTED_VALUE"""),"CDS_02")</f>
        <v>CDS_02</v>
      </c>
      <c r="J179" s="65" t="str">
        <f ca="1">IFERROR(__xludf.DUMMYFUNCTION("""COMPUTED_VALUE"""),"Media")</f>
        <v>Media</v>
      </c>
      <c r="K179" s="65" t="str">
        <f ca="1">IFERROR(__xludf.DUMMYFUNCTION("""COMPUTED_VALUE"""),"Moderado")</f>
        <v>Moderado</v>
      </c>
      <c r="L179" s="65" t="str">
        <f ca="1">IFERROR(__xludf.DUMMYFUNCTION("""COMPUTED_VALUE"""),"Alta")</f>
        <v>Alta</v>
      </c>
      <c r="M179" s="63" t="str">
        <f ca="1">IFERROR(__xludf.DUMMYFUNCTION("""COMPUTED_VALUE"""),"- El Asesor de Control Interno Disciplinario aisgna las noticias disciplinarias a los abogados de la Oficina cuando llegan por medio del correo electrónico, con el fin de que cada profesional lleve a cabo el análisis pertinente
- El profesional de la Ofic"&amp;"ina de Control interno Disciplinario, registra en la matriz de seguimiento la investigación disciplinaria o indagación previa, una vez que el profesional designado determina que es necesario aperturar
- El Asesor de Control Interno Disciplinario lidera re"&amp;"unión trimestral con el equipo de trabajo de la Oficina, donde se realiza seguimiento y control de los casos asignados a los profesionales
 ")</f>
        <v xml:space="preserve">- El Asesor de Control Interno Disciplinario aisgna las noticias disciplinarias a los abogados de la Oficina cuando llegan por medio del correo electrónico, con el fin de que cada profesional lleve a cabo el análisis pertinente
- El profesional de la Oficina de Control interno Disciplinario, registra en la matriz de seguimiento la investigación disciplinaria o indagación previa, una vez que el profesional designado determina que es necesario aperturar
- El Asesor de Control Interno Disciplinario lidera reunión trimestral con el equipo de trabajo de la Oficina, donde se realiza seguimiento y control de los casos asignados a los profesionales
 </v>
      </c>
      <c r="N179" s="65" t="str">
        <f ca="1">IFERROR(__xludf.DUMMYFUNCTION("""COMPUTED_VALUE"""),"Muy baja")</f>
        <v>Muy baja</v>
      </c>
      <c r="O179" s="65" t="str">
        <f ca="1">IFERROR(__xludf.DUMMYFUNCTION("""COMPUTED_VALUE"""),"Moderado")</f>
        <v>Moderado</v>
      </c>
      <c r="P179" s="65" t="str">
        <f ca="1">IFERROR(__xludf.DUMMYFUNCTION("""COMPUTED_VALUE"""),"Media")</f>
        <v>Media</v>
      </c>
      <c r="Q179" s="91" t="str">
        <f ca="1">IFERROR(__xludf.DUMMYFUNCTION("""COMPUTED_VALUE"""),"Reducir")</f>
        <v>Reducir</v>
      </c>
      <c r="R179" s="20" t="str">
        <f ca="1">IFERROR(__xludf.DUMMYFUNCTION("""COMPUTED_VALUE"""),"Sensibilizar al equipo de la Oficina de Control Interno Disciplinario sobre sus responsabilidades frente a las actuaciones disciplinarias, y la importancia de dar cumplimiento a las mismas")</f>
        <v>Sensibilizar al equipo de la Oficina de Control Interno Disciplinario sobre sus responsabilidades frente a las actuaciones disciplinarias, y la importancia de dar cumplimiento a las mismas</v>
      </c>
      <c r="S179" s="40" t="str">
        <f ca="1">IFERROR(__xludf.DUMMYFUNCTION("""COMPUTED_VALUE"""),"Trimestralmente")</f>
        <v>Trimestralmente</v>
      </c>
      <c r="T179" s="32" t="str">
        <f ca="1">IFERROR(__xludf.DUMMYFUNCTION("""COMPUTED_VALUE"""),"Asesor de Control Disciplinario")</f>
        <v>Asesor de Control Disciplinario</v>
      </c>
      <c r="U179" s="41" t="str">
        <f ca="1">IFERROR(__xludf.DUMMYFUNCTION("""COMPUTED_VALUE"""),"Acta de reunión")</f>
        <v>Acta de reunión</v>
      </c>
      <c r="V179" s="92" t="str">
        <f ca="1">IFERROR(__xludf.DUMMYFUNCTION("""COMPUTED_VALUE"""),"Realizar la respectiva evaluación y dar trámite inmendiato al que haya lugar")</f>
        <v>Realizar la respectiva evaluación y dar trámite inmendiato al que haya lugar</v>
      </c>
      <c r="W179" s="97" t="str">
        <f ca="1">IFERROR(__xludf.DUMMYFUNCTION("""COMPUTED_VALUE"""),"Acción disciplinaria pertinente")</f>
        <v>Acción disciplinaria pertinente</v>
      </c>
      <c r="X179" s="97" t="str">
        <f ca="1">IFERROR(__xludf.DUMMYFUNCTION("""COMPUTED_VALUE"""),"Asesora de control disciplinario")</f>
        <v>Asesora de control disciplinario</v>
      </c>
      <c r="Y179" s="97" t="str">
        <f ca="1">IFERROR(__xludf.DUMMYFUNCTION("""COMPUTED_VALUE"""),"Inmediato")</f>
        <v>Inmediato</v>
      </c>
      <c r="Z179" s="15" t="str">
        <f ca="1">IFERROR(__xludf.DUMMYFUNCTION("""COMPUTED_VALUE"""),"30 de abril")</f>
        <v>30 de abril</v>
      </c>
      <c r="AA179" s="17" t="str">
        <f ca="1">IFERROR(__xludf.DUMMYFUNCTION("""COMPUTED_VALUE"""),"Enero a abril de 2026")</f>
        <v>Enero a abril de 2026</v>
      </c>
      <c r="AB179" s="17" t="str">
        <f ca="1">IFERROR(__xludf.DUMMYFUNCTION("""COMPUTED_VALUE"""),"No")</f>
        <v>No</v>
      </c>
      <c r="AC179" s="24" t="str">
        <f ca="1">IFERROR(__xludf.DUMMYFUNCTION("""COMPUTED_VALUE"""),"Durante el período de monitoreo NO se materializó el riesgo de afectación reputacional por la no apertura de una investigación disciplinaria, como consecuencia de la omisión parcial o total de un informe presentado por un servidor público o de una queja r"&amp;"ecibida por correo electrónico, atribuible a negligencia en la gestión.
Acciones asociadas a la aplicación de controles del riesgo:
-Se implementó un proceso de revisión semanal del consolidado de noticias disciplinarias, con el fin de identificar oportu"&amp;"namente informes o quejas que puedan derivar en la apertura de procesos disciplinarios.
-Se fortaleció el diligenciamiento de la matriz de pendientes, herramienta en la cual se registraron un total de trece (13) procesos disciplinarios hasta el mes de abr"&amp;"il de 2026, permitiendo el seguimiento detallado de cada caso.
-El registro sistemático en la matriz de radicados facilitó la evaluación continua del cumplimiento de términos y la gestión oportuna de cada actuación, conforme a los lineamientos procediment"&amp;"ales establecidos por la entidad.
Acciones asociadas al tratamiento del riesgo:
-Se promovió la cultura de responsabilidad frente a la recepción, análisis y trámite de informes y quejas, reforzando los canales de comunicación interna para evitar omisione"&amp;"s.
-Se implementaron controles cruzados entre funcionarios responsables para garantizar la trazabilidad y el tratamiento oportuno de cada situación reportada.")</f>
        <v>Durante el período de monitoreo NO se materializó el riesgo de afectación reputacional por la no apertura de una investigación disciplinaria, como consecuencia de la omisión parcial o total de un informe presentado por un servidor público o de una queja recibida por correo electrónico, atribuible a negligencia en la gestión.
Acciones asociadas a la aplicación de controles del riesgo:
-Se implementó un proceso de revisión semanal del consolidado de noticias disciplinarias, con el fin de identificar oportunamente informes o quejas que puedan derivar en la apertura de procesos disciplinarios.
-Se fortaleció el diligenciamiento de la matriz de pendientes, herramienta en la cual se registraron un total de trece (13) procesos disciplinarios hasta el mes de abril de 2026, permitiendo el seguimiento detallado de cada caso.
-El registro sistemático en la matriz de radicados facilitó la evaluación continua del cumplimiento de términos y la gestión oportuna de cada actuación, conforme a los lineamientos procedimentales establecidos por la entidad.
Acciones asociadas al tratamiento del riesgo:
-Se promovió la cultura de responsabilidad frente a la recepción, análisis y trámite de informes y quejas, reforzando los canales de comunicación interna para evitar omisiones.
-Se implementaron controles cruzados entre funcionarios responsables para garantizar la trazabilidad y el tratamiento oportuno de cada situación reportada.</v>
      </c>
      <c r="AD179" s="17" t="str">
        <f ca="1">IFERROR(__xludf.DUMMYFUNCTION("""COMPUTED_VALUE"""),"Asesora de Control Interno Disciplinario")</f>
        <v>Asesora de Control Interno Disciplinario</v>
      </c>
      <c r="AE179" s="18" t="str">
        <f ca="1">IFERROR(__xludf.DUMMYFUNCTION("""COMPUTED_VALUE"""),"Evidencia")</f>
        <v>Evidencia</v>
      </c>
      <c r="AF179" s="15" t="str">
        <f ca="1">IFERROR(__xludf.DUMMYFUNCTION("""COMPUTED_VALUE"""),"Si")</f>
        <v>Si</v>
      </c>
      <c r="AG179" s="15" t="str">
        <f ca="1">IFERROR(__xludf.DUMMYFUNCTION("""COMPUTED_VALUE"""),"Ejecutada")</f>
        <v>Ejecutada</v>
      </c>
      <c r="AH179" s="15" t="str">
        <f ca="1">IFERROR(__xludf.DUMMYFUNCTION("""COMPUTED_VALUE"""),"C1–C3: Se verificó el radicado y registro de expedientes disciplinarios correspondientes a la vigencia 2026, evidenciando seguimiento y trazabilidad de las actuaciones adelantadas por la Oficina de Control Interno Disciplinario.
Materialización del riesg"&amp;"o: El riesgo no se materializó durante el periodo evaluado.
Conclusión: Se evidenció la ejecución de los controles definidos y el seguimiento a los expedientes disciplinarios, contribuyendo a la mitigación del riesgo. Se cuenta con soportes documentales "&amp;"que respaldan su ejecución.")</f>
        <v>C1–C3: Se verificó el radicado y registro de expedientes disciplinarios correspondientes a la vigencia 2026, evidenciando seguimiento y trazabilidad de las actuaciones adelantadas por la Oficina de Control Interno Disciplinario.
Materialización del riesgo: El riesgo no se materializó durante el periodo evaluado.
Conclusión: Se evidenció la ejecución de los controles definidos y el seguimiento a los expedientes disciplinarios, contribuyendo a la mitigación del riesgo. Se cuenta con soportes documentales que respaldan su ejecución.</v>
      </c>
      <c r="AI179" s="15" t="str">
        <f ca="1">IFERROR(__xludf.DUMMYFUNCTION("""COMPUTED_VALUE"""),"30 de abril")</f>
        <v>30 de abril</v>
      </c>
      <c r="AJ179" s="17" t="str">
        <f ca="1">IFERROR(__xludf.DUMMYFUNCTION("""COMPUTED_VALUE"""),"Si")</f>
        <v>Si</v>
      </c>
      <c r="AK179" s="17" t="str">
        <f ca="1">IFERROR(__xludf.DUMMYFUNCTION("""COMPUTED_VALUE"""),"Si")</f>
        <v>Si</v>
      </c>
      <c r="AL179" s="17" t="str">
        <f ca="1">IFERROR(__xludf.DUMMYFUNCTION("""COMPUTED_VALUE"""),"Si")</f>
        <v>Si</v>
      </c>
      <c r="AM179" s="17" t="str">
        <f ca="1">IFERROR(__xludf.DUMMYFUNCTION("""COMPUTED_VALUE"""),"Si")</f>
        <v>Si</v>
      </c>
      <c r="AN179" s="17" t="str">
        <f ca="1">IFERROR(__xludf.DUMMYFUNCTION("""COMPUTED_VALUE"""),"Si")</f>
        <v>Si</v>
      </c>
      <c r="AO179" s="17" t="str">
        <f ca="1">IFERROR(__xludf.DUMMYFUNCTION("""COMPUTED_VALUE"""),"Si")</f>
        <v>Si</v>
      </c>
      <c r="AP179" s="17" t="str">
        <f ca="1">IFERROR(__xludf.DUMMYFUNCTION("""COMPUTED_VALUE"""),"Si")</f>
        <v>Si</v>
      </c>
      <c r="AQ179" s="17" t="str">
        <f ca="1">IFERROR(__xludf.DUMMYFUNCTION("""COMPUTED_VALUE"""),"No")</f>
        <v>No</v>
      </c>
      <c r="AR179" s="17" t="str">
        <f ca="1">IFERROR(__xludf.DUMMYFUNCTION("""COMPUTED_VALUE"""),"No")</f>
        <v>No</v>
      </c>
      <c r="AS179" s="15" t="str">
        <f ca="1">IFERROR(__xludf.DUMMYFUNCTION("""COMPUTED_VALUE"""),"No aplica")</f>
        <v>No aplica</v>
      </c>
      <c r="AT179" s="15" t="str">
        <f ca="1">IFERROR(__xludf.DUMMYFUNCTION("""COMPUTED_VALUE"""),"Ninguna")</f>
        <v>Ninguna</v>
      </c>
      <c r="AU179" s="10"/>
    </row>
    <row r="180" spans="1:47" x14ac:dyDescent="0.25">
      <c r="A180" s="25"/>
      <c r="B180" s="86"/>
      <c r="C180" s="86"/>
      <c r="D180" s="89"/>
      <c r="E180" s="64"/>
      <c r="F180" s="64"/>
      <c r="G180" s="64"/>
      <c r="H180" s="64"/>
      <c r="I180" s="64"/>
      <c r="J180" s="64"/>
      <c r="K180" s="64"/>
      <c r="L180" s="64"/>
      <c r="M180" s="64"/>
      <c r="N180" s="64"/>
      <c r="O180" s="64"/>
      <c r="P180" s="64"/>
      <c r="Q180" s="83"/>
      <c r="R180" s="20" t="str">
        <f ca="1">IFERROR(__xludf.DUMMYFUNCTION("""COMPUTED_VALUE"""),"")</f>
        <v/>
      </c>
      <c r="S180" s="42" t="str">
        <f ca="1">IFERROR(__xludf.DUMMYFUNCTION("""COMPUTED_VALUE"""),"")</f>
        <v/>
      </c>
      <c r="T180" s="34"/>
      <c r="U180" s="20"/>
      <c r="V180" s="89"/>
      <c r="W180" s="89"/>
      <c r="X180" s="89"/>
      <c r="Y180" s="89"/>
      <c r="Z180" s="15" t="str">
        <f ca="1">IFERROR(__xludf.DUMMYFUNCTION("""COMPUTED_VALUE"""),"30 de agosto")</f>
        <v>30 de agosto</v>
      </c>
      <c r="AA180" s="17"/>
      <c r="AB180" s="17"/>
      <c r="AC180" s="15"/>
      <c r="AD180" s="17"/>
      <c r="AE180" s="18" t="str">
        <f ca="1">IFERROR(__xludf.DUMMYFUNCTION("""COMPUTED_VALUE"""),"Evidencia")</f>
        <v>Evidencia</v>
      </c>
      <c r="AF180" s="15"/>
      <c r="AG180" s="15"/>
      <c r="AH180" s="15"/>
      <c r="AI180" s="24" t="str">
        <f ca="1">IFERROR(__xludf.DUMMYFUNCTION("""COMPUTED_VALUE"""),"31 de agosto")</f>
        <v>31 de agosto</v>
      </c>
      <c r="AJ180" s="17"/>
      <c r="AK180" s="17"/>
      <c r="AL180" s="17"/>
      <c r="AM180" s="17"/>
      <c r="AN180" s="17"/>
      <c r="AO180" s="17"/>
      <c r="AP180" s="17"/>
      <c r="AQ180" s="17"/>
      <c r="AR180" s="17"/>
      <c r="AS180" s="15"/>
      <c r="AT180" s="15"/>
      <c r="AU180" s="10"/>
    </row>
    <row r="181" spans="1:47" x14ac:dyDescent="0.25">
      <c r="A181" s="25"/>
      <c r="B181" s="87"/>
      <c r="C181" s="87"/>
      <c r="D181" s="76"/>
      <c r="E181" s="61"/>
      <c r="F181" s="61"/>
      <c r="G181" s="61"/>
      <c r="H181" s="61"/>
      <c r="I181" s="61"/>
      <c r="J181" s="61"/>
      <c r="K181" s="61"/>
      <c r="L181" s="61"/>
      <c r="M181" s="61"/>
      <c r="N181" s="61"/>
      <c r="O181" s="61"/>
      <c r="P181" s="61"/>
      <c r="Q181" s="84"/>
      <c r="R181" s="26" t="str">
        <f ca="1">IFERROR(__xludf.DUMMYFUNCTION("""COMPUTED_VALUE"""),"")</f>
        <v/>
      </c>
      <c r="S181" s="43" t="str">
        <f ca="1">IFERROR(__xludf.DUMMYFUNCTION("""COMPUTED_VALUE"""),"")</f>
        <v/>
      </c>
      <c r="T181" s="38"/>
      <c r="U181" s="26"/>
      <c r="V181" s="76"/>
      <c r="W181" s="76"/>
      <c r="X181" s="76"/>
      <c r="Y181" s="76"/>
      <c r="Z181" s="15" t="str">
        <f ca="1">IFERROR(__xludf.DUMMYFUNCTION("""COMPUTED_VALUE"""),"30 de diciembre")</f>
        <v>30 de diciembre</v>
      </c>
      <c r="AA181" s="17"/>
      <c r="AB181" s="17"/>
      <c r="AC181" s="15"/>
      <c r="AD181" s="17"/>
      <c r="AE181" s="18" t="str">
        <f ca="1">IFERROR(__xludf.DUMMYFUNCTION("""COMPUTED_VALUE"""),"Evidencia")</f>
        <v>Evidencia</v>
      </c>
      <c r="AF181" s="15"/>
      <c r="AG181" s="15"/>
      <c r="AH181" s="15"/>
      <c r="AI181" s="24" t="str">
        <f ca="1">IFERROR(__xludf.DUMMYFUNCTION("""COMPUTED_VALUE"""),"31 de diciembre")</f>
        <v>31 de diciembre</v>
      </c>
      <c r="AJ181" s="17"/>
      <c r="AK181" s="17"/>
      <c r="AL181" s="17"/>
      <c r="AM181" s="17"/>
      <c r="AN181" s="17"/>
      <c r="AO181" s="17"/>
      <c r="AP181" s="17"/>
      <c r="AQ181" s="17"/>
      <c r="AR181" s="17"/>
      <c r="AS181" s="15"/>
      <c r="AT181" s="15"/>
      <c r="AU181" s="10"/>
    </row>
    <row r="182" spans="1:47" ht="6" customHeight="1" x14ac:dyDescent="0.25">
      <c r="A182" s="1"/>
      <c r="B182" s="1"/>
      <c r="C182" s="1"/>
      <c r="D182" s="1"/>
      <c r="E182" s="1"/>
      <c r="F182" s="1"/>
      <c r="G182" s="1"/>
      <c r="H182" s="1"/>
      <c r="I182" s="1"/>
      <c r="J182" s="1"/>
      <c r="K182" s="1"/>
      <c r="L182" s="1"/>
      <c r="M182" s="2"/>
      <c r="N182" s="1"/>
      <c r="O182" s="1"/>
      <c r="P182" s="1"/>
      <c r="Q182" s="1"/>
      <c r="R182" s="1"/>
      <c r="S182" s="1"/>
      <c r="T182" s="1"/>
      <c r="U182" s="1"/>
      <c r="V182" s="2"/>
      <c r="W182" s="3"/>
      <c r="X182" s="3"/>
      <c r="Y182" s="3"/>
      <c r="Z182" s="1"/>
      <c r="AA182" s="1"/>
      <c r="AB182" s="1"/>
      <c r="AC182" s="1"/>
      <c r="AD182" s="1"/>
      <c r="AE182" s="1"/>
      <c r="AF182" s="1"/>
      <c r="AG182" s="1"/>
      <c r="AH182" s="1"/>
      <c r="AI182" s="1"/>
      <c r="AJ182" s="1"/>
      <c r="AK182" s="1"/>
      <c r="AL182" s="1"/>
      <c r="AM182" s="1"/>
      <c r="AN182" s="1"/>
      <c r="AO182" s="1"/>
      <c r="AP182" s="1"/>
      <c r="AQ182" s="1"/>
      <c r="AR182" s="1"/>
      <c r="AS182" s="1"/>
      <c r="AT182" s="1"/>
      <c r="AU182" s="1"/>
    </row>
  </sheetData>
  <mergeCells count="1106">
    <mergeCell ref="D161:D163"/>
    <mergeCell ref="E161:E163"/>
    <mergeCell ref="B164:B175"/>
    <mergeCell ref="C164:C175"/>
    <mergeCell ref="D164:D166"/>
    <mergeCell ref="E164:E166"/>
    <mergeCell ref="E167:E169"/>
    <mergeCell ref="P176:P178"/>
    <mergeCell ref="Q176:Q178"/>
    <mergeCell ref="I176:I178"/>
    <mergeCell ref="J176:J178"/>
    <mergeCell ref="K176:K178"/>
    <mergeCell ref="L176:L178"/>
    <mergeCell ref="M176:M178"/>
    <mergeCell ref="N176:N178"/>
    <mergeCell ref="O176:O178"/>
    <mergeCell ref="D170:D172"/>
    <mergeCell ref="F170:F172"/>
    <mergeCell ref="G170:G172"/>
    <mergeCell ref="H170:H172"/>
    <mergeCell ref="I170:I172"/>
    <mergeCell ref="J170:J172"/>
    <mergeCell ref="J173:J175"/>
    <mergeCell ref="K173:K175"/>
    <mergeCell ref="L173:L175"/>
    <mergeCell ref="M173:M175"/>
    <mergeCell ref="N173:N175"/>
    <mergeCell ref="O173:O175"/>
    <mergeCell ref="P173:P175"/>
    <mergeCell ref="Q173:Q175"/>
    <mergeCell ref="E170:E172"/>
    <mergeCell ref="D173:D175"/>
    <mergeCell ref="E173:E175"/>
    <mergeCell ref="F173:F175"/>
    <mergeCell ref="G173:G175"/>
    <mergeCell ref="H173:H175"/>
    <mergeCell ref="I173:I175"/>
    <mergeCell ref="L158:L160"/>
    <mergeCell ref="M158:M160"/>
    <mergeCell ref="N158:N160"/>
    <mergeCell ref="D179:D181"/>
    <mergeCell ref="E179:E181"/>
    <mergeCell ref="F179:F181"/>
    <mergeCell ref="G179:G181"/>
    <mergeCell ref="B176:B181"/>
    <mergeCell ref="C176:C181"/>
    <mergeCell ref="D176:D178"/>
    <mergeCell ref="E176:E178"/>
    <mergeCell ref="F176:F178"/>
    <mergeCell ref="G176:G178"/>
    <mergeCell ref="H176:H178"/>
    <mergeCell ref="O179:O181"/>
    <mergeCell ref="P179:P181"/>
    <mergeCell ref="Q179:Q181"/>
    <mergeCell ref="H179:H181"/>
    <mergeCell ref="I179:I181"/>
    <mergeCell ref="J179:J181"/>
    <mergeCell ref="K179:K181"/>
    <mergeCell ref="L179:L181"/>
    <mergeCell ref="M179:M181"/>
    <mergeCell ref="N179:N181"/>
    <mergeCell ref="K170:K172"/>
    <mergeCell ref="L170:L172"/>
    <mergeCell ref="M170:M172"/>
    <mergeCell ref="N170:N172"/>
    <mergeCell ref="O170:O172"/>
    <mergeCell ref="P170:P172"/>
    <mergeCell ref="Q170:Q172"/>
    <mergeCell ref="D167:D169"/>
    <mergeCell ref="J146:J148"/>
    <mergeCell ref="K146:K148"/>
    <mergeCell ref="L146:L148"/>
    <mergeCell ref="M146:M148"/>
    <mergeCell ref="N146:N148"/>
    <mergeCell ref="O146:O148"/>
    <mergeCell ref="P146:P148"/>
    <mergeCell ref="Q146:Q148"/>
    <mergeCell ref="E143:E145"/>
    <mergeCell ref="F143:F145"/>
    <mergeCell ref="E146:E148"/>
    <mergeCell ref="F146:F148"/>
    <mergeCell ref="G146:G148"/>
    <mergeCell ref="H146:H148"/>
    <mergeCell ref="I146:I148"/>
    <mergeCell ref="L149:L151"/>
    <mergeCell ref="M149:M151"/>
    <mergeCell ref="N149:N151"/>
    <mergeCell ref="O149:O151"/>
    <mergeCell ref="P149:P151"/>
    <mergeCell ref="Q149:Q151"/>
    <mergeCell ref="E149:E151"/>
    <mergeCell ref="F149:F151"/>
    <mergeCell ref="G149:G151"/>
    <mergeCell ref="H149:H151"/>
    <mergeCell ref="I149:I151"/>
    <mergeCell ref="J149:J151"/>
    <mergeCell ref="K149:K151"/>
    <mergeCell ref="K140:K142"/>
    <mergeCell ref="L140:L142"/>
    <mergeCell ref="M140:M142"/>
    <mergeCell ref="B137:B145"/>
    <mergeCell ref="C137:C145"/>
    <mergeCell ref="E137:E139"/>
    <mergeCell ref="F137:F139"/>
    <mergeCell ref="G137:G139"/>
    <mergeCell ref="H137:H139"/>
    <mergeCell ref="H140:H142"/>
    <mergeCell ref="N143:N145"/>
    <mergeCell ref="O143:O145"/>
    <mergeCell ref="P143:P145"/>
    <mergeCell ref="Q143:Q145"/>
    <mergeCell ref="G143:G145"/>
    <mergeCell ref="H143:H145"/>
    <mergeCell ref="I143:I145"/>
    <mergeCell ref="J143:J145"/>
    <mergeCell ref="K143:K145"/>
    <mergeCell ref="L143:L145"/>
    <mergeCell ref="M143:M145"/>
    <mergeCell ref="B113:B136"/>
    <mergeCell ref="C113:C136"/>
    <mergeCell ref="D113:D115"/>
    <mergeCell ref="D116:D118"/>
    <mergeCell ref="D119:D121"/>
    <mergeCell ref="D134:D136"/>
    <mergeCell ref="D128:D130"/>
    <mergeCell ref="D131:D133"/>
    <mergeCell ref="E131:E133"/>
    <mergeCell ref="F131:F133"/>
    <mergeCell ref="G131:G133"/>
    <mergeCell ref="H131:H133"/>
    <mergeCell ref="I131:I133"/>
    <mergeCell ref="N131:N133"/>
    <mergeCell ref="N134:N136"/>
    <mergeCell ref="O134:O136"/>
    <mergeCell ref="P134:P136"/>
    <mergeCell ref="J131:J133"/>
    <mergeCell ref="K131:K133"/>
    <mergeCell ref="L131:L133"/>
    <mergeCell ref="M131:M133"/>
    <mergeCell ref="O131:O133"/>
    <mergeCell ref="P131:P133"/>
    <mergeCell ref="L134:L136"/>
    <mergeCell ref="M134:M136"/>
    <mergeCell ref="E134:E136"/>
    <mergeCell ref="F134:F136"/>
    <mergeCell ref="G134:G136"/>
    <mergeCell ref="H134:H136"/>
    <mergeCell ref="I134:I136"/>
    <mergeCell ref="J134:J136"/>
    <mergeCell ref="K134:K136"/>
    <mergeCell ref="D122:D124"/>
    <mergeCell ref="D125:D127"/>
    <mergeCell ref="E125:E127"/>
    <mergeCell ref="F125:F127"/>
    <mergeCell ref="G125:G127"/>
    <mergeCell ref="H125:H127"/>
    <mergeCell ref="I125:I127"/>
    <mergeCell ref="L128:L130"/>
    <mergeCell ref="M128:M130"/>
    <mergeCell ref="N128:N130"/>
    <mergeCell ref="O128:O130"/>
    <mergeCell ref="P128:P130"/>
    <mergeCell ref="Q128:Q130"/>
    <mergeCell ref="E128:E130"/>
    <mergeCell ref="F128:F130"/>
    <mergeCell ref="G128:G130"/>
    <mergeCell ref="H128:H130"/>
    <mergeCell ref="I128:I130"/>
    <mergeCell ref="J128:J130"/>
    <mergeCell ref="K128:K130"/>
    <mergeCell ref="L122:L124"/>
    <mergeCell ref="M122:M124"/>
    <mergeCell ref="N122:N124"/>
    <mergeCell ref="O122:O124"/>
    <mergeCell ref="P122:P124"/>
    <mergeCell ref="Q122:Q124"/>
    <mergeCell ref="E122:E124"/>
    <mergeCell ref="F122:F124"/>
    <mergeCell ref="G122:G124"/>
    <mergeCell ref="H122:H124"/>
    <mergeCell ref="I122:I124"/>
    <mergeCell ref="J122:J124"/>
    <mergeCell ref="K122:K124"/>
    <mergeCell ref="J125:J127"/>
    <mergeCell ref="K125:K127"/>
    <mergeCell ref="L125:L127"/>
    <mergeCell ref="M125:M127"/>
    <mergeCell ref="N125:N127"/>
    <mergeCell ref="O125:O127"/>
    <mergeCell ref="P125:P127"/>
    <mergeCell ref="Q125:Q127"/>
    <mergeCell ref="G113:G115"/>
    <mergeCell ref="H113:H115"/>
    <mergeCell ref="I113:I115"/>
    <mergeCell ref="J113:J115"/>
    <mergeCell ref="K113:K115"/>
    <mergeCell ref="L116:L118"/>
    <mergeCell ref="M116:M118"/>
    <mergeCell ref="N116:N118"/>
    <mergeCell ref="O116:O118"/>
    <mergeCell ref="P116:P118"/>
    <mergeCell ref="Q116:Q118"/>
    <mergeCell ref="E116:E118"/>
    <mergeCell ref="F116:F118"/>
    <mergeCell ref="G116:G118"/>
    <mergeCell ref="H116:H118"/>
    <mergeCell ref="I116:I118"/>
    <mergeCell ref="J116:J118"/>
    <mergeCell ref="K116:K118"/>
    <mergeCell ref="N104:N106"/>
    <mergeCell ref="O104:O106"/>
    <mergeCell ref="P104:P106"/>
    <mergeCell ref="Q104:Q106"/>
    <mergeCell ref="N107:N109"/>
    <mergeCell ref="O107:O109"/>
    <mergeCell ref="P107:P109"/>
    <mergeCell ref="Q107:Q109"/>
    <mergeCell ref="G104:G106"/>
    <mergeCell ref="H104:H106"/>
    <mergeCell ref="I104:I106"/>
    <mergeCell ref="J104:J106"/>
    <mergeCell ref="K104:K106"/>
    <mergeCell ref="L104:L106"/>
    <mergeCell ref="M104:M106"/>
    <mergeCell ref="L110:L112"/>
    <mergeCell ref="M110:M112"/>
    <mergeCell ref="N110:N112"/>
    <mergeCell ref="O110:O112"/>
    <mergeCell ref="P110:P112"/>
    <mergeCell ref="Q110:Q112"/>
    <mergeCell ref="G110:G112"/>
    <mergeCell ref="H110:H112"/>
    <mergeCell ref="I110:I112"/>
    <mergeCell ref="J110:J112"/>
    <mergeCell ref="K110:K112"/>
    <mergeCell ref="B83:B100"/>
    <mergeCell ref="C83:C100"/>
    <mergeCell ref="F83:F85"/>
    <mergeCell ref="G83:G85"/>
    <mergeCell ref="G86:G88"/>
    <mergeCell ref="K101:K103"/>
    <mergeCell ref="L101:L103"/>
    <mergeCell ref="M101:M103"/>
    <mergeCell ref="N101:N103"/>
    <mergeCell ref="O101:O103"/>
    <mergeCell ref="P101:P103"/>
    <mergeCell ref="Q101:Q103"/>
    <mergeCell ref="F98:F100"/>
    <mergeCell ref="G98:G100"/>
    <mergeCell ref="F101:F103"/>
    <mergeCell ref="G101:G103"/>
    <mergeCell ref="H101:H103"/>
    <mergeCell ref="I101:I103"/>
    <mergeCell ref="J101:J103"/>
    <mergeCell ref="B101:B112"/>
    <mergeCell ref="C101:C112"/>
    <mergeCell ref="D101:D103"/>
    <mergeCell ref="E101:E103"/>
    <mergeCell ref="E104:E106"/>
    <mergeCell ref="F104:F106"/>
    <mergeCell ref="F107:F109"/>
    <mergeCell ref="D104:D106"/>
    <mergeCell ref="D110:D112"/>
    <mergeCell ref="K164:K166"/>
    <mergeCell ref="L164:L166"/>
    <mergeCell ref="M164:M166"/>
    <mergeCell ref="N164:N166"/>
    <mergeCell ref="O164:O166"/>
    <mergeCell ref="P164:P166"/>
    <mergeCell ref="Q164:Q166"/>
    <mergeCell ref="F161:F163"/>
    <mergeCell ref="G161:G163"/>
    <mergeCell ref="F164:F166"/>
    <mergeCell ref="G164:G166"/>
    <mergeCell ref="H164:H166"/>
    <mergeCell ref="I164:I166"/>
    <mergeCell ref="J164:J166"/>
    <mergeCell ref="M167:M169"/>
    <mergeCell ref="N167:N169"/>
    <mergeCell ref="O167:O169"/>
    <mergeCell ref="P167:P169"/>
    <mergeCell ref="Q167:Q169"/>
    <mergeCell ref="F167:F169"/>
    <mergeCell ref="G167:G169"/>
    <mergeCell ref="H167:H169"/>
    <mergeCell ref="I167:I169"/>
    <mergeCell ref="J167:J169"/>
    <mergeCell ref="K167:K169"/>
    <mergeCell ref="L167:L169"/>
    <mergeCell ref="Q155:Q157"/>
    <mergeCell ref="Q158:Q160"/>
    <mergeCell ref="J155:J157"/>
    <mergeCell ref="K155:K157"/>
    <mergeCell ref="L155:L157"/>
    <mergeCell ref="M155:M157"/>
    <mergeCell ref="N155:N157"/>
    <mergeCell ref="O155:O157"/>
    <mergeCell ref="P155:P157"/>
    <mergeCell ref="B155:B163"/>
    <mergeCell ref="C155:C163"/>
    <mergeCell ref="E155:E157"/>
    <mergeCell ref="F155:F157"/>
    <mergeCell ref="G155:G157"/>
    <mergeCell ref="H155:H157"/>
    <mergeCell ref="I155:I157"/>
    <mergeCell ref="O161:O163"/>
    <mergeCell ref="P161:P163"/>
    <mergeCell ref="Q161:Q163"/>
    <mergeCell ref="H161:H163"/>
    <mergeCell ref="I161:I163"/>
    <mergeCell ref="J161:J163"/>
    <mergeCell ref="K161:K163"/>
    <mergeCell ref="L161:L163"/>
    <mergeCell ref="M161:M163"/>
    <mergeCell ref="N161:N163"/>
    <mergeCell ref="O158:O160"/>
    <mergeCell ref="P158:P160"/>
    <mergeCell ref="H158:H160"/>
    <mergeCell ref="I158:I160"/>
    <mergeCell ref="J158:J160"/>
    <mergeCell ref="K158:K160"/>
    <mergeCell ref="C152:C154"/>
    <mergeCell ref="D152:D154"/>
    <mergeCell ref="E152:E154"/>
    <mergeCell ref="F152:F154"/>
    <mergeCell ref="G152:G154"/>
    <mergeCell ref="H152:H154"/>
    <mergeCell ref="I152:I154"/>
    <mergeCell ref="D137:D139"/>
    <mergeCell ref="D143:D145"/>
    <mergeCell ref="B146:B151"/>
    <mergeCell ref="C146:C151"/>
    <mergeCell ref="D146:D148"/>
    <mergeCell ref="D149:D151"/>
    <mergeCell ref="B152:B154"/>
    <mergeCell ref="D155:D157"/>
    <mergeCell ref="D158:D160"/>
    <mergeCell ref="E158:E160"/>
    <mergeCell ref="F158:F160"/>
    <mergeCell ref="G158:G160"/>
    <mergeCell ref="I137:I139"/>
    <mergeCell ref="D140:D142"/>
    <mergeCell ref="E140:E142"/>
    <mergeCell ref="F140:F142"/>
    <mergeCell ref="G140:G142"/>
    <mergeCell ref="I140:I142"/>
    <mergeCell ref="X131:X133"/>
    <mergeCell ref="Y131:Y133"/>
    <mergeCell ref="V125:V127"/>
    <mergeCell ref="V128:V130"/>
    <mergeCell ref="W128:W130"/>
    <mergeCell ref="X128:X130"/>
    <mergeCell ref="Y128:Y130"/>
    <mergeCell ref="V131:V133"/>
    <mergeCell ref="W131:W133"/>
    <mergeCell ref="J152:J154"/>
    <mergeCell ref="K152:K154"/>
    <mergeCell ref="L152:L154"/>
    <mergeCell ref="M152:M154"/>
    <mergeCell ref="N152:N154"/>
    <mergeCell ref="O152:O154"/>
    <mergeCell ref="P152:P154"/>
    <mergeCell ref="Q152:Q154"/>
    <mergeCell ref="Q134:Q136"/>
    <mergeCell ref="Q131:Q133"/>
    <mergeCell ref="P137:P139"/>
    <mergeCell ref="Q137:Q139"/>
    <mergeCell ref="J137:J139"/>
    <mergeCell ref="K137:K139"/>
    <mergeCell ref="L137:L139"/>
    <mergeCell ref="M137:M139"/>
    <mergeCell ref="N137:N139"/>
    <mergeCell ref="O137:O139"/>
    <mergeCell ref="N140:N142"/>
    <mergeCell ref="O140:O142"/>
    <mergeCell ref="P140:P142"/>
    <mergeCell ref="Q140:Q142"/>
    <mergeCell ref="J140:J142"/>
    <mergeCell ref="V110:V112"/>
    <mergeCell ref="W110:W112"/>
    <mergeCell ref="X110:X112"/>
    <mergeCell ref="Y110:Y112"/>
    <mergeCell ref="W113:W115"/>
    <mergeCell ref="X113:X115"/>
    <mergeCell ref="Y113:Y115"/>
    <mergeCell ref="V113:V115"/>
    <mergeCell ref="V116:V118"/>
    <mergeCell ref="W116:W118"/>
    <mergeCell ref="X116:X118"/>
    <mergeCell ref="Y116:Y118"/>
    <mergeCell ref="V119:V121"/>
    <mergeCell ref="W119:W121"/>
    <mergeCell ref="W125:W127"/>
    <mergeCell ref="X125:X127"/>
    <mergeCell ref="X119:X121"/>
    <mergeCell ref="Y119:Y121"/>
    <mergeCell ref="V122:V124"/>
    <mergeCell ref="W122:W124"/>
    <mergeCell ref="X122:X124"/>
    <mergeCell ref="Y122:Y124"/>
    <mergeCell ref="Y125:Y127"/>
    <mergeCell ref="V95:V97"/>
    <mergeCell ref="W95:W97"/>
    <mergeCell ref="W101:W103"/>
    <mergeCell ref="X101:X103"/>
    <mergeCell ref="X95:X97"/>
    <mergeCell ref="Y95:Y97"/>
    <mergeCell ref="V98:V100"/>
    <mergeCell ref="W98:W100"/>
    <mergeCell ref="X98:X100"/>
    <mergeCell ref="Y98:Y100"/>
    <mergeCell ref="Y101:Y103"/>
    <mergeCell ref="X107:X109"/>
    <mergeCell ref="Y107:Y109"/>
    <mergeCell ref="V101:V103"/>
    <mergeCell ref="V104:V106"/>
    <mergeCell ref="W104:W106"/>
    <mergeCell ref="X104:X106"/>
    <mergeCell ref="Y104:Y106"/>
    <mergeCell ref="V107:V109"/>
    <mergeCell ref="W107:W109"/>
    <mergeCell ref="W80:W82"/>
    <mergeCell ref="X80:X82"/>
    <mergeCell ref="Y80:Y82"/>
    <mergeCell ref="V83:V85"/>
    <mergeCell ref="W83:W85"/>
    <mergeCell ref="V86:V88"/>
    <mergeCell ref="W86:W88"/>
    <mergeCell ref="X86:X88"/>
    <mergeCell ref="Y86:Y88"/>
    <mergeCell ref="W89:W91"/>
    <mergeCell ref="X89:X91"/>
    <mergeCell ref="Y89:Y91"/>
    <mergeCell ref="V89:V91"/>
    <mergeCell ref="V92:V94"/>
    <mergeCell ref="W92:W94"/>
    <mergeCell ref="X92:X94"/>
    <mergeCell ref="Y92:Y94"/>
    <mergeCell ref="W65:W67"/>
    <mergeCell ref="X65:X67"/>
    <mergeCell ref="Y65:Y67"/>
    <mergeCell ref="X71:X73"/>
    <mergeCell ref="Y71:Y73"/>
    <mergeCell ref="V65:V67"/>
    <mergeCell ref="V68:V70"/>
    <mergeCell ref="W68:W70"/>
    <mergeCell ref="X68:X70"/>
    <mergeCell ref="Y68:Y70"/>
    <mergeCell ref="V71:V73"/>
    <mergeCell ref="W71:W73"/>
    <mergeCell ref="X83:X85"/>
    <mergeCell ref="Y83:Y85"/>
    <mergeCell ref="X179:X181"/>
    <mergeCell ref="Y179:Y181"/>
    <mergeCell ref="V173:V175"/>
    <mergeCell ref="V176:V178"/>
    <mergeCell ref="W176:W178"/>
    <mergeCell ref="X176:X178"/>
    <mergeCell ref="Y176:Y178"/>
    <mergeCell ref="V179:V181"/>
    <mergeCell ref="W179:W181"/>
    <mergeCell ref="V74:V76"/>
    <mergeCell ref="W74:W76"/>
    <mergeCell ref="X74:X76"/>
    <mergeCell ref="Y74:Y76"/>
    <mergeCell ref="W77:W79"/>
    <mergeCell ref="X77:X79"/>
    <mergeCell ref="Y77:Y79"/>
    <mergeCell ref="V77:V79"/>
    <mergeCell ref="V80:V82"/>
    <mergeCell ref="V164:V166"/>
    <mergeCell ref="W164:W166"/>
    <mergeCell ref="X164:X166"/>
    <mergeCell ref="Y164:Y166"/>
    <mergeCell ref="V167:V169"/>
    <mergeCell ref="W167:W169"/>
    <mergeCell ref="W173:W175"/>
    <mergeCell ref="X173:X175"/>
    <mergeCell ref="X167:X169"/>
    <mergeCell ref="Y167:Y169"/>
    <mergeCell ref="V170:V172"/>
    <mergeCell ref="W170:W172"/>
    <mergeCell ref="X170:X172"/>
    <mergeCell ref="Y170:Y172"/>
    <mergeCell ref="Y173:Y175"/>
    <mergeCell ref="V50:V52"/>
    <mergeCell ref="W50:W52"/>
    <mergeCell ref="X50:X52"/>
    <mergeCell ref="Y50:Y52"/>
    <mergeCell ref="W53:W55"/>
    <mergeCell ref="X53:X55"/>
    <mergeCell ref="Y53:Y55"/>
    <mergeCell ref="V53:V55"/>
    <mergeCell ref="V56:V58"/>
    <mergeCell ref="W56:W58"/>
    <mergeCell ref="X56:X58"/>
    <mergeCell ref="Y56:Y58"/>
    <mergeCell ref="V59:V61"/>
    <mergeCell ref="W59:W61"/>
    <mergeCell ref="V62:V64"/>
    <mergeCell ref="W62:W64"/>
    <mergeCell ref="X62:X64"/>
    <mergeCell ref="X155:X157"/>
    <mergeCell ref="Y155:Y157"/>
    <mergeCell ref="V149:V151"/>
    <mergeCell ref="V152:V154"/>
    <mergeCell ref="W152:W154"/>
    <mergeCell ref="X152:X154"/>
    <mergeCell ref="Y152:Y154"/>
    <mergeCell ref="V155:V157"/>
    <mergeCell ref="W155:W157"/>
    <mergeCell ref="V158:V160"/>
    <mergeCell ref="W158:W160"/>
    <mergeCell ref="X158:X160"/>
    <mergeCell ref="Y158:Y160"/>
    <mergeCell ref="W161:W163"/>
    <mergeCell ref="X161:X163"/>
    <mergeCell ref="Y161:Y163"/>
    <mergeCell ref="V161:V163"/>
    <mergeCell ref="V134:V136"/>
    <mergeCell ref="W134:W136"/>
    <mergeCell ref="X134:X136"/>
    <mergeCell ref="Y134:Y136"/>
    <mergeCell ref="W137:W139"/>
    <mergeCell ref="X137:X139"/>
    <mergeCell ref="Y137:Y139"/>
    <mergeCell ref="V137:V139"/>
    <mergeCell ref="V140:V142"/>
    <mergeCell ref="W140:W142"/>
    <mergeCell ref="X140:X142"/>
    <mergeCell ref="Y140:Y142"/>
    <mergeCell ref="V143:V145"/>
    <mergeCell ref="W143:W145"/>
    <mergeCell ref="W149:W151"/>
    <mergeCell ref="X149:X151"/>
    <mergeCell ref="X143:X145"/>
    <mergeCell ref="Y143:Y145"/>
    <mergeCell ref="V146:V148"/>
    <mergeCell ref="W146:W148"/>
    <mergeCell ref="X146:X148"/>
    <mergeCell ref="Y146:Y148"/>
    <mergeCell ref="Y149:Y151"/>
    <mergeCell ref="L107:L109"/>
    <mergeCell ref="M107:M109"/>
    <mergeCell ref="D107:D109"/>
    <mergeCell ref="E107:E109"/>
    <mergeCell ref="G107:G109"/>
    <mergeCell ref="H107:H109"/>
    <mergeCell ref="I107:I109"/>
    <mergeCell ref="J107:J109"/>
    <mergeCell ref="K107:K109"/>
    <mergeCell ref="L119:L121"/>
    <mergeCell ref="M119:M121"/>
    <mergeCell ref="N119:N121"/>
    <mergeCell ref="O119:O121"/>
    <mergeCell ref="P119:P121"/>
    <mergeCell ref="Q119:Q121"/>
    <mergeCell ref="E119:E121"/>
    <mergeCell ref="F119:F121"/>
    <mergeCell ref="G119:G121"/>
    <mergeCell ref="H119:H121"/>
    <mergeCell ref="I119:I121"/>
    <mergeCell ref="J119:J121"/>
    <mergeCell ref="K119:K121"/>
    <mergeCell ref="E110:E112"/>
    <mergeCell ref="F110:F112"/>
    <mergeCell ref="L113:L115"/>
    <mergeCell ref="M113:M115"/>
    <mergeCell ref="N113:N115"/>
    <mergeCell ref="O113:O115"/>
    <mergeCell ref="P113:P115"/>
    <mergeCell ref="Q113:Q115"/>
    <mergeCell ref="E113:E115"/>
    <mergeCell ref="F113:F115"/>
    <mergeCell ref="D95:D97"/>
    <mergeCell ref="E95:E97"/>
    <mergeCell ref="M95:M97"/>
    <mergeCell ref="N95:N97"/>
    <mergeCell ref="O95:O97"/>
    <mergeCell ref="P95:P97"/>
    <mergeCell ref="Q95:Q97"/>
    <mergeCell ref="F95:F97"/>
    <mergeCell ref="G95:G97"/>
    <mergeCell ref="H95:H97"/>
    <mergeCell ref="I95:I97"/>
    <mergeCell ref="J95:J97"/>
    <mergeCell ref="K95:K97"/>
    <mergeCell ref="L95:L97"/>
    <mergeCell ref="M98:M100"/>
    <mergeCell ref="N98:N100"/>
    <mergeCell ref="O98:O100"/>
    <mergeCell ref="P98:P100"/>
    <mergeCell ref="Q98:Q100"/>
    <mergeCell ref="D98:D100"/>
    <mergeCell ref="E98:E100"/>
    <mergeCell ref="H98:H100"/>
    <mergeCell ref="I98:I100"/>
    <mergeCell ref="J98:J100"/>
    <mergeCell ref="K98:K100"/>
    <mergeCell ref="L98:L100"/>
    <mergeCell ref="M89:M91"/>
    <mergeCell ref="N89:N91"/>
    <mergeCell ref="O89:O91"/>
    <mergeCell ref="P89:P91"/>
    <mergeCell ref="Q89:Q91"/>
    <mergeCell ref="F89:F91"/>
    <mergeCell ref="G89:G91"/>
    <mergeCell ref="H89:H91"/>
    <mergeCell ref="I89:I91"/>
    <mergeCell ref="J89:J91"/>
    <mergeCell ref="K89:K91"/>
    <mergeCell ref="L89:L91"/>
    <mergeCell ref="D92:D94"/>
    <mergeCell ref="E92:E94"/>
    <mergeCell ref="M92:M94"/>
    <mergeCell ref="N92:N94"/>
    <mergeCell ref="O92:O94"/>
    <mergeCell ref="P92:P94"/>
    <mergeCell ref="Q92:Q94"/>
    <mergeCell ref="F92:F94"/>
    <mergeCell ref="G92:G94"/>
    <mergeCell ref="H92:H94"/>
    <mergeCell ref="I92:I94"/>
    <mergeCell ref="J92:J94"/>
    <mergeCell ref="K92:K94"/>
    <mergeCell ref="L92:L94"/>
    <mergeCell ref="D89:D91"/>
    <mergeCell ref="E89:E91"/>
    <mergeCell ref="N83:N85"/>
    <mergeCell ref="O83:O85"/>
    <mergeCell ref="P83:P85"/>
    <mergeCell ref="Q83:Q85"/>
    <mergeCell ref="H80:H82"/>
    <mergeCell ref="H83:H85"/>
    <mergeCell ref="I83:I85"/>
    <mergeCell ref="J83:J85"/>
    <mergeCell ref="K83:K85"/>
    <mergeCell ref="L83:L85"/>
    <mergeCell ref="M83:M85"/>
    <mergeCell ref="D83:D85"/>
    <mergeCell ref="D86:D88"/>
    <mergeCell ref="M86:M88"/>
    <mergeCell ref="N86:N88"/>
    <mergeCell ref="O86:O88"/>
    <mergeCell ref="P86:P88"/>
    <mergeCell ref="Q86:Q88"/>
    <mergeCell ref="E86:E88"/>
    <mergeCell ref="F86:F88"/>
    <mergeCell ref="H86:H88"/>
    <mergeCell ref="I86:I88"/>
    <mergeCell ref="J86:J88"/>
    <mergeCell ref="K86:K88"/>
    <mergeCell ref="L86:L88"/>
    <mergeCell ref="E83:E85"/>
    <mergeCell ref="F80:F82"/>
    <mergeCell ref="G80:G82"/>
    <mergeCell ref="K74:K76"/>
    <mergeCell ref="L74:L76"/>
    <mergeCell ref="M74:M76"/>
    <mergeCell ref="N74:N76"/>
    <mergeCell ref="N80:N82"/>
    <mergeCell ref="O80:O82"/>
    <mergeCell ref="P80:P82"/>
    <mergeCell ref="Q80:Q82"/>
    <mergeCell ref="D80:D82"/>
    <mergeCell ref="E80:E82"/>
    <mergeCell ref="I80:I82"/>
    <mergeCell ref="J80:J82"/>
    <mergeCell ref="K80:K82"/>
    <mergeCell ref="L80:L82"/>
    <mergeCell ref="M80:M82"/>
    <mergeCell ref="B77:B82"/>
    <mergeCell ref="C77:C82"/>
    <mergeCell ref="D77:D79"/>
    <mergeCell ref="E77:E79"/>
    <mergeCell ref="F77:F79"/>
    <mergeCell ref="G77:G79"/>
    <mergeCell ref="H77:H79"/>
    <mergeCell ref="D68:D70"/>
    <mergeCell ref="E68:E70"/>
    <mergeCell ref="G68:G70"/>
    <mergeCell ref="H68:H70"/>
    <mergeCell ref="I68:I70"/>
    <mergeCell ref="J68:J70"/>
    <mergeCell ref="K68:K70"/>
    <mergeCell ref="K71:K73"/>
    <mergeCell ref="L71:L73"/>
    <mergeCell ref="M71:M73"/>
    <mergeCell ref="N71:N73"/>
    <mergeCell ref="O71:O73"/>
    <mergeCell ref="P71:P73"/>
    <mergeCell ref="Q71:Q73"/>
    <mergeCell ref="D71:D73"/>
    <mergeCell ref="E71:E73"/>
    <mergeCell ref="F71:F73"/>
    <mergeCell ref="G71:G73"/>
    <mergeCell ref="H71:H73"/>
    <mergeCell ref="I71:I73"/>
    <mergeCell ref="J71:J73"/>
    <mergeCell ref="N65:N67"/>
    <mergeCell ref="O65:O67"/>
    <mergeCell ref="P65:P67"/>
    <mergeCell ref="Q65:Q67"/>
    <mergeCell ref="G65:G67"/>
    <mergeCell ref="H65:H67"/>
    <mergeCell ref="I65:I67"/>
    <mergeCell ref="J65:J67"/>
    <mergeCell ref="K65:K67"/>
    <mergeCell ref="L65:L67"/>
    <mergeCell ref="M65:M67"/>
    <mergeCell ref="P77:P79"/>
    <mergeCell ref="Q77:Q79"/>
    <mergeCell ref="I77:I79"/>
    <mergeCell ref="J77:J79"/>
    <mergeCell ref="K77:K79"/>
    <mergeCell ref="L77:L79"/>
    <mergeCell ref="M77:M79"/>
    <mergeCell ref="N77:N79"/>
    <mergeCell ref="O77:O79"/>
    <mergeCell ref="L68:L70"/>
    <mergeCell ref="M68:M70"/>
    <mergeCell ref="N68:N70"/>
    <mergeCell ref="O68:O70"/>
    <mergeCell ref="P68:P70"/>
    <mergeCell ref="Q68:Q70"/>
    <mergeCell ref="O74:O76"/>
    <mergeCell ref="P74:P76"/>
    <mergeCell ref="Q74:Q76"/>
    <mergeCell ref="H74:H76"/>
    <mergeCell ref="I74:I76"/>
    <mergeCell ref="J74:J76"/>
    <mergeCell ref="X59:X61"/>
    <mergeCell ref="Y59:Y61"/>
    <mergeCell ref="D50:D52"/>
    <mergeCell ref="D53:D55"/>
    <mergeCell ref="E53:E55"/>
    <mergeCell ref="F53:F55"/>
    <mergeCell ref="G53:G55"/>
    <mergeCell ref="H53:H55"/>
    <mergeCell ref="I53:I55"/>
    <mergeCell ref="H59:H61"/>
    <mergeCell ref="I59:I61"/>
    <mergeCell ref="B50:B64"/>
    <mergeCell ref="C50:C64"/>
    <mergeCell ref="D56:D58"/>
    <mergeCell ref="E56:E58"/>
    <mergeCell ref="F56:F58"/>
    <mergeCell ref="G56:G58"/>
    <mergeCell ref="H56:H58"/>
    <mergeCell ref="H62:H64"/>
    <mergeCell ref="N62:N64"/>
    <mergeCell ref="O62:O64"/>
    <mergeCell ref="P62:P64"/>
    <mergeCell ref="Q62:Q64"/>
    <mergeCell ref="F62:F64"/>
    <mergeCell ref="G62:G64"/>
    <mergeCell ref="I62:I64"/>
    <mergeCell ref="J62:J64"/>
    <mergeCell ref="K62:K64"/>
    <mergeCell ref="L62:L64"/>
    <mergeCell ref="M62:M64"/>
    <mergeCell ref="Y62:Y64"/>
    <mergeCell ref="W32:W34"/>
    <mergeCell ref="X32:X34"/>
    <mergeCell ref="Y32:Y34"/>
    <mergeCell ref="V35:V37"/>
    <mergeCell ref="Y35:Y37"/>
    <mergeCell ref="W41:W43"/>
    <mergeCell ref="X41:X43"/>
    <mergeCell ref="W35:W37"/>
    <mergeCell ref="X35:X37"/>
    <mergeCell ref="V38:V40"/>
    <mergeCell ref="W38:W40"/>
    <mergeCell ref="X38:X40"/>
    <mergeCell ref="Y38:Y40"/>
    <mergeCell ref="Y41:Y43"/>
    <mergeCell ref="X47:X49"/>
    <mergeCell ref="Y47:Y49"/>
    <mergeCell ref="V41:V43"/>
    <mergeCell ref="V44:V46"/>
    <mergeCell ref="W44:W46"/>
    <mergeCell ref="X44:X46"/>
    <mergeCell ref="Y44:Y46"/>
    <mergeCell ref="V47:V49"/>
    <mergeCell ref="W47:W49"/>
    <mergeCell ref="D20:D22"/>
    <mergeCell ref="E20:E22"/>
    <mergeCell ref="B26:B31"/>
    <mergeCell ref="C26:C31"/>
    <mergeCell ref="D26:D28"/>
    <mergeCell ref="E26:E28"/>
    <mergeCell ref="D29:D31"/>
    <mergeCell ref="I32:I34"/>
    <mergeCell ref="J32:J34"/>
    <mergeCell ref="K32:K34"/>
    <mergeCell ref="L32:L34"/>
    <mergeCell ref="M32:M34"/>
    <mergeCell ref="N32:N34"/>
    <mergeCell ref="O32:O34"/>
    <mergeCell ref="P32:P34"/>
    <mergeCell ref="Q32:Q34"/>
    <mergeCell ref="V32:V34"/>
    <mergeCell ref="M17:M19"/>
    <mergeCell ref="N17:N19"/>
    <mergeCell ref="O17:O19"/>
    <mergeCell ref="P17:P19"/>
    <mergeCell ref="Q17:Q19"/>
    <mergeCell ref="L29:L31"/>
    <mergeCell ref="M29:M31"/>
    <mergeCell ref="V29:V31"/>
    <mergeCell ref="W29:W31"/>
    <mergeCell ref="X29:X31"/>
    <mergeCell ref="Y29:Y31"/>
    <mergeCell ref="E29:E31"/>
    <mergeCell ref="F29:F31"/>
    <mergeCell ref="G29:G31"/>
    <mergeCell ref="H29:H31"/>
    <mergeCell ref="I29:I31"/>
    <mergeCell ref="J29:J31"/>
    <mergeCell ref="K29:K31"/>
    <mergeCell ref="F20:F22"/>
    <mergeCell ref="G20:G22"/>
    <mergeCell ref="F26:F28"/>
    <mergeCell ref="G26:G28"/>
    <mergeCell ref="H26:H28"/>
    <mergeCell ref="I26:I28"/>
    <mergeCell ref="J26:J28"/>
    <mergeCell ref="D3:AT3"/>
    <mergeCell ref="K4:M4"/>
    <mergeCell ref="N4:AH4"/>
    <mergeCell ref="AI4:AT4"/>
    <mergeCell ref="B5:AT5"/>
    <mergeCell ref="Q8:U8"/>
    <mergeCell ref="V8:Y8"/>
    <mergeCell ref="C9:C10"/>
    <mergeCell ref="D9:D10"/>
    <mergeCell ref="E9:E10"/>
    <mergeCell ref="F9:F10"/>
    <mergeCell ref="G9:G10"/>
    <mergeCell ref="H9:H10"/>
    <mergeCell ref="I9:I10"/>
    <mergeCell ref="J9:J10"/>
    <mergeCell ref="Q9:Q10"/>
    <mergeCell ref="R9:R10"/>
    <mergeCell ref="S9:S10"/>
    <mergeCell ref="T9:T10"/>
    <mergeCell ref="U9:U10"/>
    <mergeCell ref="AQ9:AQ10"/>
    <mergeCell ref="AR9:AR10"/>
    <mergeCell ref="AS9:AS10"/>
    <mergeCell ref="AT9:AT10"/>
    <mergeCell ref="J6:Y6"/>
    <mergeCell ref="Z6:AH6"/>
    <mergeCell ref="AI6:AT6"/>
    <mergeCell ref="Q7:Y7"/>
    <mergeCell ref="Z7:AE8"/>
    <mergeCell ref="AF7:AH9"/>
    <mergeCell ref="AI7:AT8"/>
    <mergeCell ref="V26:V28"/>
    <mergeCell ref="W26:W28"/>
    <mergeCell ref="X26:X28"/>
    <mergeCell ref="Y26:Y28"/>
    <mergeCell ref="V14:V16"/>
    <mergeCell ref="V17:V19"/>
    <mergeCell ref="W17:W19"/>
    <mergeCell ref="X17:X19"/>
    <mergeCell ref="Y17:Y19"/>
    <mergeCell ref="V20:V22"/>
    <mergeCell ref="W20:W22"/>
    <mergeCell ref="AO9:AO10"/>
    <mergeCell ref="AP9:AP10"/>
    <mergeCell ref="AE9:AE10"/>
    <mergeCell ref="AI9:AI10"/>
    <mergeCell ref="AJ9:AJ10"/>
    <mergeCell ref="AK9:AK10"/>
    <mergeCell ref="AL9:AL10"/>
    <mergeCell ref="AM9:AM10"/>
    <mergeCell ref="AN9:AN10"/>
    <mergeCell ref="D62:D64"/>
    <mergeCell ref="E62:E64"/>
    <mergeCell ref="C65:C70"/>
    <mergeCell ref="D65:D67"/>
    <mergeCell ref="E65:E67"/>
    <mergeCell ref="F65:F67"/>
    <mergeCell ref="F68:F70"/>
    <mergeCell ref="B65:B70"/>
    <mergeCell ref="B71:B76"/>
    <mergeCell ref="C71:C76"/>
    <mergeCell ref="D74:D76"/>
    <mergeCell ref="E74:E76"/>
    <mergeCell ref="F74:F76"/>
    <mergeCell ref="G74:G76"/>
    <mergeCell ref="AC9:AC10"/>
    <mergeCell ref="AD9:AD10"/>
    <mergeCell ref="V9:V10"/>
    <mergeCell ref="W9:W10"/>
    <mergeCell ref="X9:X10"/>
    <mergeCell ref="Y9:Y10"/>
    <mergeCell ref="Z9:Z10"/>
    <mergeCell ref="AA9:AA10"/>
    <mergeCell ref="AB9:AB10"/>
    <mergeCell ref="V11:V13"/>
    <mergeCell ref="W11:W13"/>
    <mergeCell ref="X11:X13"/>
    <mergeCell ref="Y11:Y13"/>
    <mergeCell ref="W14:W16"/>
    <mergeCell ref="X14:X16"/>
    <mergeCell ref="Y14:Y16"/>
    <mergeCell ref="X20:X22"/>
    <mergeCell ref="Y20:Y22"/>
    <mergeCell ref="D38:D40"/>
    <mergeCell ref="B41:B49"/>
    <mergeCell ref="C41:C49"/>
    <mergeCell ref="D41:D43"/>
    <mergeCell ref="D44:D46"/>
    <mergeCell ref="D47:D49"/>
    <mergeCell ref="J53:J55"/>
    <mergeCell ref="K53:K55"/>
    <mergeCell ref="L53:L55"/>
    <mergeCell ref="M53:M55"/>
    <mergeCell ref="N53:N55"/>
    <mergeCell ref="O53:O55"/>
    <mergeCell ref="P53:P55"/>
    <mergeCell ref="Q53:Q55"/>
    <mergeCell ref="D59:D61"/>
    <mergeCell ref="E59:E61"/>
    <mergeCell ref="O59:O61"/>
    <mergeCell ref="P59:P61"/>
    <mergeCell ref="Q59:Q61"/>
    <mergeCell ref="F59:F61"/>
    <mergeCell ref="G59:G61"/>
    <mergeCell ref="J59:J61"/>
    <mergeCell ref="K59:K61"/>
    <mergeCell ref="L59:L61"/>
    <mergeCell ref="M59:M61"/>
    <mergeCell ref="N59:N61"/>
    <mergeCell ref="P56:P58"/>
    <mergeCell ref="Q56:Q58"/>
    <mergeCell ref="I56:I58"/>
    <mergeCell ref="J56:J58"/>
    <mergeCell ref="K56:K58"/>
    <mergeCell ref="L56:L58"/>
    <mergeCell ref="M56:M58"/>
    <mergeCell ref="N56:N58"/>
    <mergeCell ref="O56:O58"/>
    <mergeCell ref="B32:B40"/>
    <mergeCell ref="C32:C40"/>
    <mergeCell ref="E32:E34"/>
    <mergeCell ref="F32:F34"/>
    <mergeCell ref="G32:G34"/>
    <mergeCell ref="H32:H34"/>
    <mergeCell ref="H35:H37"/>
    <mergeCell ref="J50:J52"/>
    <mergeCell ref="K50:K52"/>
    <mergeCell ref="L50:L52"/>
    <mergeCell ref="M50:M52"/>
    <mergeCell ref="N50:N52"/>
    <mergeCell ref="O50:O52"/>
    <mergeCell ref="P50:P52"/>
    <mergeCell ref="Q50:Q52"/>
    <mergeCell ref="G47:G49"/>
    <mergeCell ref="H47:H49"/>
    <mergeCell ref="E50:E52"/>
    <mergeCell ref="F50:F52"/>
    <mergeCell ref="G50:G52"/>
    <mergeCell ref="H50:H52"/>
    <mergeCell ref="I50:I52"/>
    <mergeCell ref="D32:D34"/>
    <mergeCell ref="P44:P46"/>
    <mergeCell ref="Q44:Q46"/>
    <mergeCell ref="J41:J43"/>
    <mergeCell ref="K41:K43"/>
    <mergeCell ref="L41:L43"/>
    <mergeCell ref="M41:M43"/>
    <mergeCell ref="O41:O43"/>
    <mergeCell ref="P41:P43"/>
    <mergeCell ref="Q41:Q43"/>
    <mergeCell ref="N47:N49"/>
    <mergeCell ref="O47:O49"/>
    <mergeCell ref="P47:P49"/>
    <mergeCell ref="Q47:Q49"/>
    <mergeCell ref="E47:E49"/>
    <mergeCell ref="F47:F49"/>
    <mergeCell ref="I47:I49"/>
    <mergeCell ref="J47:J49"/>
    <mergeCell ref="K47:K49"/>
    <mergeCell ref="L47:L49"/>
    <mergeCell ref="M47:M49"/>
    <mergeCell ref="L44:L46"/>
    <mergeCell ref="M44:M46"/>
    <mergeCell ref="E44:E46"/>
    <mergeCell ref="F44:F46"/>
    <mergeCell ref="G44:G46"/>
    <mergeCell ref="H44:H46"/>
    <mergeCell ref="I44:I46"/>
    <mergeCell ref="J44:J46"/>
    <mergeCell ref="K44:K46"/>
    <mergeCell ref="F35:F37"/>
    <mergeCell ref="G35:G37"/>
    <mergeCell ref="N38:N40"/>
    <mergeCell ref="O38:O40"/>
    <mergeCell ref="P38:P40"/>
    <mergeCell ref="Q38:Q40"/>
    <mergeCell ref="G38:G40"/>
    <mergeCell ref="H38:H40"/>
    <mergeCell ref="I38:I40"/>
    <mergeCell ref="J38:J40"/>
    <mergeCell ref="K38:K40"/>
    <mergeCell ref="L38:L40"/>
    <mergeCell ref="M38:M40"/>
    <mergeCell ref="E38:E40"/>
    <mergeCell ref="F38:F40"/>
    <mergeCell ref="E41:E43"/>
    <mergeCell ref="F41:F43"/>
    <mergeCell ref="G41:G43"/>
    <mergeCell ref="H41:H43"/>
    <mergeCell ref="I41:I43"/>
    <mergeCell ref="N41:N43"/>
    <mergeCell ref="N44:N46"/>
    <mergeCell ref="O44:O46"/>
    <mergeCell ref="N29:N31"/>
    <mergeCell ref="O29:O31"/>
    <mergeCell ref="P29:P31"/>
    <mergeCell ref="Q29:Q31"/>
    <mergeCell ref="K26:K28"/>
    <mergeCell ref="L26:L28"/>
    <mergeCell ref="M26:M28"/>
    <mergeCell ref="N26:N28"/>
    <mergeCell ref="O26:O28"/>
    <mergeCell ref="P26:P28"/>
    <mergeCell ref="Q26:Q28"/>
    <mergeCell ref="N35:N37"/>
    <mergeCell ref="O35:O37"/>
    <mergeCell ref="P35:P37"/>
    <mergeCell ref="Q35:Q37"/>
    <mergeCell ref="D35:D37"/>
    <mergeCell ref="E35:E37"/>
    <mergeCell ref="I35:I37"/>
    <mergeCell ref="J35:J37"/>
    <mergeCell ref="K35:K37"/>
    <mergeCell ref="L35:L37"/>
    <mergeCell ref="M35:M37"/>
    <mergeCell ref="D17:D19"/>
    <mergeCell ref="H20:H22"/>
    <mergeCell ref="I20:I22"/>
    <mergeCell ref="J20:J22"/>
    <mergeCell ref="K20:K22"/>
    <mergeCell ref="M20:M22"/>
    <mergeCell ref="N20:N22"/>
    <mergeCell ref="O20:O22"/>
    <mergeCell ref="P20:P22"/>
    <mergeCell ref="Q20:Q22"/>
    <mergeCell ref="K9:K10"/>
    <mergeCell ref="L9:L10"/>
    <mergeCell ref="B11:B25"/>
    <mergeCell ref="C11:C25"/>
    <mergeCell ref="E11:E13"/>
    <mergeCell ref="F11:F13"/>
    <mergeCell ref="L14:L16"/>
    <mergeCell ref="L20:L22"/>
    <mergeCell ref="F14:F16"/>
    <mergeCell ref="G14:G16"/>
    <mergeCell ref="H14:H16"/>
    <mergeCell ref="I14:I16"/>
    <mergeCell ref="J14:J16"/>
    <mergeCell ref="K14:K16"/>
    <mergeCell ref="E17:E19"/>
    <mergeCell ref="F17:F19"/>
    <mergeCell ref="G17:G19"/>
    <mergeCell ref="H17:H19"/>
    <mergeCell ref="I17:I19"/>
    <mergeCell ref="J17:J19"/>
    <mergeCell ref="K17:K19"/>
    <mergeCell ref="L17:L19"/>
    <mergeCell ref="M9:M10"/>
    <mergeCell ref="N9:N10"/>
    <mergeCell ref="M14:M16"/>
    <mergeCell ref="N14:N16"/>
    <mergeCell ref="O14:O16"/>
    <mergeCell ref="P14:P16"/>
    <mergeCell ref="Q14:Q16"/>
    <mergeCell ref="O9:O10"/>
    <mergeCell ref="P9:P10"/>
    <mergeCell ref="D4:J4"/>
    <mergeCell ref="B6:I6"/>
    <mergeCell ref="B7:I8"/>
    <mergeCell ref="J7:L8"/>
    <mergeCell ref="M7:M8"/>
    <mergeCell ref="N7:P8"/>
    <mergeCell ref="B9:B10"/>
    <mergeCell ref="G11:G13"/>
    <mergeCell ref="H11:H13"/>
    <mergeCell ref="I11:I13"/>
    <mergeCell ref="J11:J13"/>
    <mergeCell ref="K11:K13"/>
    <mergeCell ref="L11:L13"/>
    <mergeCell ref="M11:M13"/>
    <mergeCell ref="N11:N13"/>
    <mergeCell ref="O11:O13"/>
    <mergeCell ref="P11:P13"/>
    <mergeCell ref="Q11:Q13"/>
    <mergeCell ref="D14:D16"/>
    <mergeCell ref="E14:E16"/>
    <mergeCell ref="D11:D13"/>
    <mergeCell ref="B2:C4"/>
    <mergeCell ref="D2:AT2"/>
  </mergeCells>
  <conditionalFormatting sqref="H11:I11 H14:I14 H17:I17 H20:I20 H26:I26 H29:I29 H32:I32 H35:I35 H38:I38 H41:I41 H44:I44 H47:I47 H50:I50 H53:I53 H56:I56 H59:I59 H62:I62 H65:I65 H68:I68 H71:I71 H74:I74 H77:I77 H80:I80 H83:I83 H86:I86 H89:I89 H92:I92 H95:I95 H98:I98 H101:I101 H104:I104 H107:I107 H110:I110 H113:I113 H116:I116 H119:I119 H122:I122 H125:I125 H128:I128 H131:I131 H134:I134 H137:I137 H140:I140 H143:I143 H146:I146 H149:I149 H152:I152 H155:I155 H158:I158 H161:I161 H164:I164 H167:I167 H170:I170 H173:I173 H176:I176 H179:I179">
    <cfRule type="expression" dxfId="4" priority="5" stopIfTrue="1">
      <formula>#REF!=0</formula>
    </cfRule>
  </conditionalFormatting>
  <conditionalFormatting sqref="L11:L181 P11:P181">
    <cfRule type="containsText" dxfId="3" priority="1" operator="containsText" text="Baja">
      <formula>NOT(ISERROR(SEARCH(("Baja"),(L11))))</formula>
    </cfRule>
    <cfRule type="containsText" dxfId="2" priority="2" operator="containsText" text="Media">
      <formula>NOT(ISERROR(SEARCH(("Media"),(L11))))</formula>
    </cfRule>
    <cfRule type="containsText" dxfId="1" priority="3" operator="containsText" text="Alta">
      <formula>NOT(ISERROR(SEARCH(("Alta"),(L11))))</formula>
    </cfRule>
    <cfRule type="containsText" dxfId="0" priority="4" operator="containsText" text="Extrema">
      <formula>NOT(ISERROR(SEARCH(("Extrema"),(L11))))</formula>
    </cfRule>
  </conditionalFormatting>
  <hyperlinks>
    <hyperlink ref="B11" r:id="rId1" location="gid=2098233099" xr:uid="{00000000-0004-0000-0000-000000000000}"/>
    <hyperlink ref="AE11" r:id="rId2" display="https://drive.google.com/drive/folders/1Z8WNNh7tGJwzAyhXy2HccIgjVU5eVCn0?usp=drive_link" xr:uid="{00000000-0004-0000-0000-000001000000}"/>
    <hyperlink ref="AE12" r:id="rId3" display="https://drive.google.com/drive/folders/1Z8WNNh7tGJwzAyhXy2HccIgjVU5eVCn0?usp=drive_link" xr:uid="{00000000-0004-0000-0000-000002000000}"/>
    <hyperlink ref="AE13" r:id="rId4" display="https://drive.google.com/drive/folders/1Z8WNNh7tGJwzAyhXy2HccIgjVU5eVCn0?usp=drive_link" xr:uid="{00000000-0004-0000-0000-000003000000}"/>
    <hyperlink ref="AE14" r:id="rId5" display="https://drive.google.com/drive/folders/1Z8WNNh7tGJwzAyhXy2HccIgjVU5eVCn0?usp=drive_link" xr:uid="{00000000-0004-0000-0000-000004000000}"/>
    <hyperlink ref="AE15" r:id="rId6" display="https://drive.google.com/drive/folders/1Z8WNNh7tGJwzAyhXy2HccIgjVU5eVCn0?usp=drive_link" xr:uid="{00000000-0004-0000-0000-000005000000}"/>
    <hyperlink ref="AE16" r:id="rId7" display="https://drive.google.com/drive/folders/1Z8WNNh7tGJwzAyhXy2HccIgjVU5eVCn0?usp=drive_link" xr:uid="{00000000-0004-0000-0000-000006000000}"/>
    <hyperlink ref="AE17" r:id="rId8" display="https://drive.google.com/drive/folders/1Z8WNNh7tGJwzAyhXy2HccIgjVU5eVCn0?usp=drive_link" xr:uid="{00000000-0004-0000-0000-000007000000}"/>
    <hyperlink ref="AE18" r:id="rId9" display="https://drive.google.com/drive/folders/1Z8WNNh7tGJwzAyhXy2HccIgjVU5eVCn0?usp=drive_link" xr:uid="{00000000-0004-0000-0000-000008000000}"/>
    <hyperlink ref="AE19" r:id="rId10" display="https://drive.google.com/drive/folders/1Z8WNNh7tGJwzAyhXy2HccIgjVU5eVCn0?usp=drive_link" xr:uid="{00000000-0004-0000-0000-000009000000}"/>
    <hyperlink ref="AE20" r:id="rId11" display="https://drive.google.com/drive/folders/1Z8WNNh7tGJwzAyhXy2HccIgjVU5eVCn0?usp=drive_link" xr:uid="{00000000-0004-0000-0000-00000A000000}"/>
    <hyperlink ref="AE21" r:id="rId12" display="https://drive.google.com/drive/folders/1Z8WNNh7tGJwzAyhXy2HccIgjVU5eVCn0?usp=drive_link" xr:uid="{00000000-0004-0000-0000-00000B000000}"/>
    <hyperlink ref="AE22" r:id="rId13" display="https://drive.google.com/drive/folders/1Z8WNNh7tGJwzAyhXy2HccIgjVU5eVCn0?usp=drive_link" xr:uid="{00000000-0004-0000-0000-00000C000000}"/>
    <hyperlink ref="AE23" r:id="rId14" display="https://drive.google.com/drive/folders/1Z8WNNh7tGJwzAyhXy2HccIgjVU5eVCn0?usp=drive_link" xr:uid="{00000000-0004-0000-0000-00000D000000}"/>
    <hyperlink ref="B26" r:id="rId15" location="gid=2098233099" xr:uid="{00000000-0004-0000-0000-00000E000000}"/>
    <hyperlink ref="AE26" r:id="rId16" display="https://drive.google.com/drive/folders/1CpW1pe1Gs97X2q4q9rE_VYs9I_sDLuFE?usp=drive_link" xr:uid="{00000000-0004-0000-0000-00000F000000}"/>
    <hyperlink ref="AE27" r:id="rId17" display="https://drive.google.com/drive/folders/1CpW1pe1Gs97X2q4q9rE_VYs9I_sDLuFE?usp=drive_link" xr:uid="{00000000-0004-0000-0000-000010000000}"/>
    <hyperlink ref="AE28" r:id="rId18" display="https://drive.google.com/drive/folders/1CpW1pe1Gs97X2q4q9rE_VYs9I_sDLuFE?usp=drive_link" xr:uid="{00000000-0004-0000-0000-000011000000}"/>
    <hyperlink ref="AE29" r:id="rId19" display="https://drive.google.com/drive/folders/1CpW1pe1Gs97X2q4q9rE_VYs9I_sDLuFE?usp=drive_link" xr:uid="{00000000-0004-0000-0000-000012000000}"/>
    <hyperlink ref="AE30" r:id="rId20" display="https://drive.google.com/drive/folders/1CpW1pe1Gs97X2q4q9rE_VYs9I_sDLuFE?usp=drive_link" xr:uid="{00000000-0004-0000-0000-000013000000}"/>
    <hyperlink ref="AE31" r:id="rId21" display="https://drive.google.com/drive/folders/1CpW1pe1Gs97X2q4q9rE_VYs9I_sDLuFE?usp=drive_link" xr:uid="{00000000-0004-0000-0000-000014000000}"/>
    <hyperlink ref="B32" r:id="rId22" location="gid=2098233099" xr:uid="{00000000-0004-0000-0000-000015000000}"/>
    <hyperlink ref="AE32" r:id="rId23" display="https://drive.google.com/drive/folders/1tn5n_1Id2mQrOewq5FOoseJklh6zZPiJ?usp=drive_link" xr:uid="{00000000-0004-0000-0000-000016000000}"/>
    <hyperlink ref="AE33" r:id="rId24" display="https://drive.google.com/drive/folders/1tn5n_1Id2mQrOewq5FOoseJklh6zZPiJ?usp=drive_link" xr:uid="{00000000-0004-0000-0000-000017000000}"/>
    <hyperlink ref="AE34" r:id="rId25" display="https://drive.google.com/drive/folders/1tn5n_1Id2mQrOewq5FOoseJklh6zZPiJ?usp=drive_link" xr:uid="{00000000-0004-0000-0000-000018000000}"/>
    <hyperlink ref="AE35" r:id="rId26" display="https://drive.google.com/drive/folders/1tn5n_1Id2mQrOewq5FOoseJklh6zZPiJ?usp=drive_link" xr:uid="{00000000-0004-0000-0000-000019000000}"/>
    <hyperlink ref="AE36" r:id="rId27" display="https://drive.google.com/drive/folders/1tn5n_1Id2mQrOewq5FOoseJklh6zZPiJ?usp=drive_link" xr:uid="{00000000-0004-0000-0000-00001A000000}"/>
    <hyperlink ref="AE37" r:id="rId28" display="https://drive.google.com/drive/folders/1tn5n_1Id2mQrOewq5FOoseJklh6zZPiJ?usp=drive_link" xr:uid="{00000000-0004-0000-0000-00001B000000}"/>
    <hyperlink ref="AE38" r:id="rId29" display="https://drive.google.com/drive/folders/1tn5n_1Id2mQrOewq5FOoseJklh6zZPiJ?usp=drive_link" xr:uid="{00000000-0004-0000-0000-00001C000000}"/>
    <hyperlink ref="AE39" r:id="rId30" display="https://drive.google.com/drive/folders/1tn5n_1Id2mQrOewq5FOoseJklh6zZPiJ?usp=drive_link" xr:uid="{00000000-0004-0000-0000-00001D000000}"/>
    <hyperlink ref="AE40" r:id="rId31" display="https://drive.google.com/drive/folders/1tn5n_1Id2mQrOewq5FOoseJklh6zZPiJ?usp=drive_link" xr:uid="{00000000-0004-0000-0000-00001E000000}"/>
    <hyperlink ref="B41" r:id="rId32" location="gid=2098233099" xr:uid="{00000000-0004-0000-0000-00001F000000}"/>
    <hyperlink ref="AC41" r:id="rId33" location="gid=154262260" display="https://docs.google.com/spreadsheets/d/1KhHVCNqFSrclU33O0CBGgqTgWqUwFzaI/edit?gid=154262260 - gid=154262260" xr:uid="{00000000-0004-0000-0000-000020000000}"/>
    <hyperlink ref="AE41" r:id="rId34" display="https://drive.google.com/drive/folders/1AOLqBZ5n1XldLr7mx5eoFd6N-S8sdhW3?usp=drive_link" xr:uid="{00000000-0004-0000-0000-000021000000}"/>
    <hyperlink ref="AE42" r:id="rId35" display="https://drive.google.com/drive/folders/1AOLqBZ5n1XldLr7mx5eoFd6N-S8sdhW3?usp=drive_link" xr:uid="{00000000-0004-0000-0000-000022000000}"/>
    <hyperlink ref="AE43" r:id="rId36" display="https://drive.google.com/drive/folders/1AOLqBZ5n1XldLr7mx5eoFd6N-S8sdhW3?usp=drive_link" xr:uid="{00000000-0004-0000-0000-000023000000}"/>
    <hyperlink ref="AE44" r:id="rId37" display="https://drive.google.com/drive/folders/1AOLqBZ5n1XldLr7mx5eoFd6N-S8sdhW3?usp=drive_link" xr:uid="{00000000-0004-0000-0000-000024000000}"/>
    <hyperlink ref="AE45" r:id="rId38" display="https://drive.google.com/drive/folders/1AOLqBZ5n1XldLr7mx5eoFd6N-S8sdhW3?usp=drive_link" xr:uid="{00000000-0004-0000-0000-000025000000}"/>
    <hyperlink ref="AE46" r:id="rId39" display="https://drive.google.com/drive/folders/1AOLqBZ5n1XldLr7mx5eoFd6N-S8sdhW3?usp=drive_link" xr:uid="{00000000-0004-0000-0000-000026000000}"/>
    <hyperlink ref="AE47" r:id="rId40" display="https://drive.google.com/drive/folders/1AOLqBZ5n1XldLr7mx5eoFd6N-S8sdhW3?usp=drive_link" xr:uid="{00000000-0004-0000-0000-000027000000}"/>
    <hyperlink ref="AE48" r:id="rId41" display="https://drive.google.com/drive/folders/1AOLqBZ5n1XldLr7mx5eoFd6N-S8sdhW3?usp=drive_link" xr:uid="{00000000-0004-0000-0000-000028000000}"/>
    <hyperlink ref="AE49" r:id="rId42" display="https://drive.google.com/drive/folders/1AOLqBZ5n1XldLr7mx5eoFd6N-S8sdhW3?usp=drive_link" xr:uid="{00000000-0004-0000-0000-000029000000}"/>
    <hyperlink ref="B50" r:id="rId43" location="gid=2098233099" xr:uid="{00000000-0004-0000-0000-00002A000000}"/>
    <hyperlink ref="AE50" r:id="rId44" display="https://drive.google.com/drive/folders/1L8XcYuoEwXtxeMZiCOxLb-R_FgVECxmv?usp=drive_link" xr:uid="{00000000-0004-0000-0000-00002B000000}"/>
    <hyperlink ref="AE51" r:id="rId45" display="https://drive.google.com/drive/folders/1L8XcYuoEwXtxeMZiCOxLb-R_FgVECxmv?usp=drive_link" xr:uid="{00000000-0004-0000-0000-00002C000000}"/>
    <hyperlink ref="AE52" r:id="rId46" display="https://drive.google.com/drive/folders/1L8XcYuoEwXtxeMZiCOxLb-R_FgVECxmv?usp=drive_link" xr:uid="{00000000-0004-0000-0000-00002D000000}"/>
    <hyperlink ref="AE53" r:id="rId47" display="https://drive.google.com/drive/folders/1L8XcYuoEwXtxeMZiCOxLb-R_FgVECxmv?usp=drive_link" xr:uid="{00000000-0004-0000-0000-00002E000000}"/>
    <hyperlink ref="AE54" r:id="rId48" display="https://drive.google.com/drive/folders/1L8XcYuoEwXtxeMZiCOxLb-R_FgVECxmv?usp=drive_link" xr:uid="{00000000-0004-0000-0000-00002F000000}"/>
    <hyperlink ref="AE55" r:id="rId49" display="https://drive.google.com/drive/folders/1L8XcYuoEwXtxeMZiCOxLb-R_FgVECxmv?usp=drive_link" xr:uid="{00000000-0004-0000-0000-000030000000}"/>
    <hyperlink ref="AE56" r:id="rId50" display="https://drive.google.com/drive/folders/1L8XcYuoEwXtxeMZiCOxLb-R_FgVECxmv?usp=drive_link" xr:uid="{00000000-0004-0000-0000-000031000000}"/>
    <hyperlink ref="AE57" r:id="rId51" display="https://drive.google.com/drive/folders/1L8XcYuoEwXtxeMZiCOxLb-R_FgVECxmv?usp=drive_link" xr:uid="{00000000-0004-0000-0000-000032000000}"/>
    <hyperlink ref="AE58" r:id="rId52" display="https://drive.google.com/drive/folders/1L8XcYuoEwXtxeMZiCOxLb-R_FgVECxmv?usp=drive_link" xr:uid="{00000000-0004-0000-0000-000033000000}"/>
    <hyperlink ref="AE59" r:id="rId53" display="https://drive.google.com/drive/folders/1L8XcYuoEwXtxeMZiCOxLb-R_FgVECxmv?usp=drive_link" xr:uid="{00000000-0004-0000-0000-000034000000}"/>
    <hyperlink ref="AE60" r:id="rId54" display="https://drive.google.com/drive/folders/1L8XcYuoEwXtxeMZiCOxLb-R_FgVECxmv?usp=drive_link" xr:uid="{00000000-0004-0000-0000-000035000000}"/>
    <hyperlink ref="AE61" r:id="rId55" display="https://drive.google.com/drive/folders/1L8XcYuoEwXtxeMZiCOxLb-R_FgVECxmv?usp=drive_link" xr:uid="{00000000-0004-0000-0000-000036000000}"/>
    <hyperlink ref="AE62" r:id="rId56" display="https://drive.google.com/drive/folders/1L8XcYuoEwXtxeMZiCOxLb-R_FgVECxmv?usp=drive_link" xr:uid="{00000000-0004-0000-0000-000037000000}"/>
    <hyperlink ref="AE63" r:id="rId57" display="https://drive.google.com/drive/folders/1L8XcYuoEwXtxeMZiCOxLb-R_FgVECxmv?usp=drive_link" xr:uid="{00000000-0004-0000-0000-000038000000}"/>
    <hyperlink ref="AE64" r:id="rId58" display="https://drive.google.com/drive/folders/1L8XcYuoEwXtxeMZiCOxLb-R_FgVECxmv?usp=drive_link" xr:uid="{00000000-0004-0000-0000-000039000000}"/>
    <hyperlink ref="B65" r:id="rId59" location="gid=2098233099" xr:uid="{00000000-0004-0000-0000-00003A000000}"/>
    <hyperlink ref="AE65" r:id="rId60" display="https://drive.google.com/drive/folders/1laV9j3FAm1Mzrq_aDri4qS1QMQP0rkrz?usp=drive_link" xr:uid="{00000000-0004-0000-0000-00003B000000}"/>
    <hyperlink ref="AE66" r:id="rId61" display="https://drive.google.com/drive/folders/1laV9j3FAm1Mzrq_aDri4qS1QMQP0rkrz?usp=drive_link" xr:uid="{00000000-0004-0000-0000-00003C000000}"/>
    <hyperlink ref="AE67" r:id="rId62" display="https://drive.google.com/drive/folders/1laV9j3FAm1Mzrq_aDri4qS1QMQP0rkrz?usp=drive_link" xr:uid="{00000000-0004-0000-0000-00003D000000}"/>
    <hyperlink ref="AE68" r:id="rId63" display="https://drive.google.com/drive/folders/1laV9j3FAm1Mzrq_aDri4qS1QMQP0rkrz?usp=drive_link" xr:uid="{00000000-0004-0000-0000-00003E000000}"/>
    <hyperlink ref="AE69" r:id="rId64" display="https://drive.google.com/drive/folders/1laV9j3FAm1Mzrq_aDri4qS1QMQP0rkrz?usp=drive_link" xr:uid="{00000000-0004-0000-0000-00003F000000}"/>
    <hyperlink ref="AE70" r:id="rId65" display="https://drive.google.com/drive/folders/1laV9j3FAm1Mzrq_aDri4qS1QMQP0rkrz?usp=drive_link" xr:uid="{00000000-0004-0000-0000-000040000000}"/>
    <hyperlink ref="B71" r:id="rId66" location="gid=2098233099" xr:uid="{00000000-0004-0000-0000-000041000000}"/>
    <hyperlink ref="AE71" r:id="rId67" display="https://drive.google.com/drive/folders/1c_sHXQmVRkYwmk4ALaeZd4X5Ars2U0_9?usp=drive_link" xr:uid="{00000000-0004-0000-0000-000042000000}"/>
    <hyperlink ref="AE72" r:id="rId68" display="https://drive.google.com/drive/folders/1c_sHXQmVRkYwmk4ALaeZd4X5Ars2U0_9?usp=drive_link" xr:uid="{00000000-0004-0000-0000-000043000000}"/>
    <hyperlink ref="AE73" r:id="rId69" display="https://drive.google.com/drive/folders/1c_sHXQmVRkYwmk4ALaeZd4X5Ars2U0_9?usp=drive_link" xr:uid="{00000000-0004-0000-0000-000044000000}"/>
    <hyperlink ref="AE74" r:id="rId70" display="https://drive.google.com/drive/folders/1c_sHXQmVRkYwmk4ALaeZd4X5Ars2U0_9?usp=drive_link" xr:uid="{00000000-0004-0000-0000-000045000000}"/>
    <hyperlink ref="AE75" r:id="rId71" display="https://drive.google.com/drive/folders/1c_sHXQmVRkYwmk4ALaeZd4X5Ars2U0_9?usp=drive_link" xr:uid="{00000000-0004-0000-0000-000046000000}"/>
    <hyperlink ref="AE76" r:id="rId72" display="https://drive.google.com/drive/folders/1c_sHXQmVRkYwmk4ALaeZd4X5Ars2U0_9?usp=drive_link" xr:uid="{00000000-0004-0000-0000-000047000000}"/>
    <hyperlink ref="B77" r:id="rId73" location="gid=2098233099" xr:uid="{00000000-0004-0000-0000-000048000000}"/>
    <hyperlink ref="AE77" r:id="rId74" display="https://drive.google.com/drive/folders/1aHBvisKl8xAAsU6vBVvSa0LIbZxJ4PrB?usp=drive_link" xr:uid="{00000000-0004-0000-0000-000049000000}"/>
    <hyperlink ref="AE78" r:id="rId75" display="https://drive.google.com/drive/folders/1aHBvisKl8xAAsU6vBVvSa0LIbZxJ4PrB?usp=drive_link" xr:uid="{00000000-0004-0000-0000-00004A000000}"/>
    <hyperlink ref="AE79" r:id="rId76" display="https://drive.google.com/drive/folders/1aHBvisKl8xAAsU6vBVvSa0LIbZxJ4PrB?usp=drive_link" xr:uid="{00000000-0004-0000-0000-00004B000000}"/>
    <hyperlink ref="AE80" r:id="rId77" display="https://drive.google.com/drive/folders/1aHBvisKl8xAAsU6vBVvSa0LIbZxJ4PrB?usp=drive_link" xr:uid="{00000000-0004-0000-0000-00004C000000}"/>
    <hyperlink ref="AE81" r:id="rId78" display="https://drive.google.com/drive/folders/1aHBvisKl8xAAsU6vBVvSa0LIbZxJ4PrB?usp=drive_link" xr:uid="{00000000-0004-0000-0000-00004D000000}"/>
    <hyperlink ref="AE82" r:id="rId79" display="https://drive.google.com/drive/folders/1aHBvisKl8xAAsU6vBVvSa0LIbZxJ4PrB?usp=drive_link" xr:uid="{00000000-0004-0000-0000-00004E000000}"/>
    <hyperlink ref="B83" r:id="rId80" location="gid=2098233099" xr:uid="{00000000-0004-0000-0000-00004F000000}"/>
    <hyperlink ref="AE83" r:id="rId81" display="https://drive.google.com/drive/folders/1a3Rm_bdiyLCHTQba56zwtP3sI0NumJkP?usp=drive_link" xr:uid="{00000000-0004-0000-0000-000050000000}"/>
    <hyperlink ref="AE84" r:id="rId82" display="https://drive.google.com/drive/folders/1a3Rm_bdiyLCHTQba56zwtP3sI0NumJkP?usp=drive_link" xr:uid="{00000000-0004-0000-0000-000051000000}"/>
    <hyperlink ref="AE85" r:id="rId83" display="https://drive.google.com/drive/folders/1a3Rm_bdiyLCHTQba56zwtP3sI0NumJkP?usp=drive_link" xr:uid="{00000000-0004-0000-0000-000052000000}"/>
    <hyperlink ref="AE86" r:id="rId84" display="https://drive.google.com/drive/folders/1a3Rm_bdiyLCHTQba56zwtP3sI0NumJkP?usp=drive_link" xr:uid="{00000000-0004-0000-0000-000053000000}"/>
    <hyperlink ref="AE87" r:id="rId85" display="https://drive.google.com/drive/folders/1a3Rm_bdiyLCHTQba56zwtP3sI0NumJkP?usp=drive_link" xr:uid="{00000000-0004-0000-0000-000054000000}"/>
    <hyperlink ref="AE88" r:id="rId86" display="https://drive.google.com/drive/folders/1a3Rm_bdiyLCHTQba56zwtP3sI0NumJkP?usp=drive_link" xr:uid="{00000000-0004-0000-0000-000055000000}"/>
    <hyperlink ref="AE89" r:id="rId87" display="https://drive.google.com/drive/folders/1a3Rm_bdiyLCHTQba56zwtP3sI0NumJkP?usp=drive_link" xr:uid="{00000000-0004-0000-0000-000056000000}"/>
    <hyperlink ref="AE90" r:id="rId88" display="https://drive.google.com/drive/folders/1a3Rm_bdiyLCHTQba56zwtP3sI0NumJkP?usp=drive_link" xr:uid="{00000000-0004-0000-0000-000057000000}"/>
    <hyperlink ref="AE91" r:id="rId89" display="https://drive.google.com/drive/folders/1a3Rm_bdiyLCHTQba56zwtP3sI0NumJkP?usp=drive_link" xr:uid="{00000000-0004-0000-0000-000058000000}"/>
    <hyperlink ref="AE92" r:id="rId90" display="https://drive.google.com/drive/folders/1a3Rm_bdiyLCHTQba56zwtP3sI0NumJkP?usp=drive_link" xr:uid="{00000000-0004-0000-0000-000059000000}"/>
    <hyperlink ref="AE93" r:id="rId91" display="https://drive.google.com/drive/folders/1a3Rm_bdiyLCHTQba56zwtP3sI0NumJkP?usp=drive_link" xr:uid="{00000000-0004-0000-0000-00005A000000}"/>
    <hyperlink ref="AE94" r:id="rId92" display="https://drive.google.com/drive/folders/1a3Rm_bdiyLCHTQba56zwtP3sI0NumJkP?usp=drive_link" xr:uid="{00000000-0004-0000-0000-00005B000000}"/>
    <hyperlink ref="AE95" r:id="rId93" display="https://drive.google.com/drive/folders/1a3Rm_bdiyLCHTQba56zwtP3sI0NumJkP?usp=drive_link" xr:uid="{00000000-0004-0000-0000-00005C000000}"/>
    <hyperlink ref="AE96" r:id="rId94" display="https://drive.google.com/drive/folders/1a3Rm_bdiyLCHTQba56zwtP3sI0NumJkP?usp=drive_link" xr:uid="{00000000-0004-0000-0000-00005D000000}"/>
    <hyperlink ref="AE97" r:id="rId95" display="https://drive.google.com/drive/folders/1a3Rm_bdiyLCHTQba56zwtP3sI0NumJkP?usp=drive_link" xr:uid="{00000000-0004-0000-0000-00005E000000}"/>
    <hyperlink ref="AE98" r:id="rId96" display="https://drive.google.com/drive/folders/1a3Rm_bdiyLCHTQba56zwtP3sI0NumJkP?usp=drive_link" xr:uid="{00000000-0004-0000-0000-00005F000000}"/>
    <hyperlink ref="AE99" r:id="rId97" display="https://drive.google.com/drive/folders/1a3Rm_bdiyLCHTQba56zwtP3sI0NumJkP?usp=drive_link" xr:uid="{00000000-0004-0000-0000-000060000000}"/>
    <hyperlink ref="AE100" r:id="rId98" display="https://drive.google.com/drive/folders/1a3Rm_bdiyLCHTQba56zwtP3sI0NumJkP?usp=drive_link" xr:uid="{00000000-0004-0000-0000-000061000000}"/>
    <hyperlink ref="B101" r:id="rId99" location="gid=2098233099" xr:uid="{00000000-0004-0000-0000-000062000000}"/>
    <hyperlink ref="AE101" r:id="rId100" display="https://drive.google.com/drive/folders/1O0NruEOo11BBJpeEq8D0I5ONskgPJuyx?usp=drive_link" xr:uid="{00000000-0004-0000-0000-000063000000}"/>
    <hyperlink ref="AE102" r:id="rId101" display="https://drive.google.com/drive/folders/1O0NruEOo11BBJpeEq8D0I5ONskgPJuyx?usp=drive_link" xr:uid="{00000000-0004-0000-0000-000064000000}"/>
    <hyperlink ref="AE103" r:id="rId102" display="https://drive.google.com/drive/folders/1O0NruEOo11BBJpeEq8D0I5ONskgPJuyx?usp=drive_link" xr:uid="{00000000-0004-0000-0000-000065000000}"/>
    <hyperlink ref="AE104" r:id="rId103" display="https://drive.google.com/drive/folders/1O0NruEOo11BBJpeEq8D0I5ONskgPJuyx?usp=drive_link" xr:uid="{00000000-0004-0000-0000-000066000000}"/>
    <hyperlink ref="AE105" r:id="rId104" display="https://drive.google.com/drive/folders/1O0NruEOo11BBJpeEq8D0I5ONskgPJuyx?usp=drive_link" xr:uid="{00000000-0004-0000-0000-000067000000}"/>
    <hyperlink ref="AE106" r:id="rId105" display="https://drive.google.com/drive/folders/1O0NruEOo11BBJpeEq8D0I5ONskgPJuyx?usp=drive_link" xr:uid="{00000000-0004-0000-0000-000068000000}"/>
    <hyperlink ref="AE107" r:id="rId106" display="https://drive.google.com/drive/folders/1O0NruEOo11BBJpeEq8D0I5ONskgPJuyx?usp=drive_link" xr:uid="{00000000-0004-0000-0000-000069000000}"/>
    <hyperlink ref="AE108" r:id="rId107" display="https://drive.google.com/drive/folders/1O0NruEOo11BBJpeEq8D0I5ONskgPJuyx?usp=drive_link" xr:uid="{00000000-0004-0000-0000-00006A000000}"/>
    <hyperlink ref="AE109" r:id="rId108" display="https://drive.google.com/drive/folders/1O0NruEOo11BBJpeEq8D0I5ONskgPJuyx?usp=drive_link" xr:uid="{00000000-0004-0000-0000-00006B000000}"/>
    <hyperlink ref="AE110" r:id="rId109" display="https://drive.google.com/drive/folders/1O0NruEOo11BBJpeEq8D0I5ONskgPJuyx?usp=drive_link" xr:uid="{00000000-0004-0000-0000-00006C000000}"/>
    <hyperlink ref="AE111" r:id="rId110" display="https://drive.google.com/drive/folders/1O0NruEOo11BBJpeEq8D0I5ONskgPJuyx?usp=drive_link" xr:uid="{00000000-0004-0000-0000-00006D000000}"/>
    <hyperlink ref="AE112" r:id="rId111" display="https://drive.google.com/drive/folders/1O0NruEOo11BBJpeEq8D0I5ONskgPJuyx?usp=drive_link" xr:uid="{00000000-0004-0000-0000-00006E000000}"/>
    <hyperlink ref="B113" r:id="rId112" location="gid=2098233099" xr:uid="{00000000-0004-0000-0000-00006F000000}"/>
    <hyperlink ref="AE113" r:id="rId113" display="https://drive.google.com/drive/folders/1GpIfKchAP9Q5NxpWvJG334r4dXZMak3n?usp=drive_link" xr:uid="{00000000-0004-0000-0000-000070000000}"/>
    <hyperlink ref="AE114" r:id="rId114" display="https://drive.google.com/drive/folders/1GpIfKchAP9Q5NxpWvJG334r4dXZMak3n?usp=drive_link" xr:uid="{00000000-0004-0000-0000-000071000000}"/>
    <hyperlink ref="AE115" r:id="rId115" display="https://drive.google.com/drive/folders/1GpIfKchAP9Q5NxpWvJG334r4dXZMak3n?usp=drive_link" xr:uid="{00000000-0004-0000-0000-000072000000}"/>
    <hyperlink ref="AE116" r:id="rId116" display="https://drive.google.com/drive/folders/1GpIfKchAP9Q5NxpWvJG334r4dXZMak3n?usp=drive_link" xr:uid="{00000000-0004-0000-0000-000073000000}"/>
    <hyperlink ref="AE117" r:id="rId117" display="https://drive.google.com/drive/folders/1GpIfKchAP9Q5NxpWvJG334r4dXZMak3n?usp=drive_link" xr:uid="{00000000-0004-0000-0000-000074000000}"/>
    <hyperlink ref="AE118" r:id="rId118" display="https://drive.google.com/drive/folders/1GpIfKchAP9Q5NxpWvJG334r4dXZMak3n?usp=drive_link" xr:uid="{00000000-0004-0000-0000-000075000000}"/>
    <hyperlink ref="AE119" r:id="rId119" display="https://drive.google.com/drive/folders/1GpIfKchAP9Q5NxpWvJG334r4dXZMak3n?usp=drive_link" xr:uid="{00000000-0004-0000-0000-000076000000}"/>
    <hyperlink ref="AE120" r:id="rId120" display="https://drive.google.com/drive/folders/1GpIfKchAP9Q5NxpWvJG334r4dXZMak3n?usp=drive_link" xr:uid="{00000000-0004-0000-0000-000077000000}"/>
    <hyperlink ref="AE121" r:id="rId121" display="https://drive.google.com/drive/folders/1GpIfKchAP9Q5NxpWvJG334r4dXZMak3n?usp=drive_link" xr:uid="{00000000-0004-0000-0000-000078000000}"/>
    <hyperlink ref="AE122" r:id="rId122" display="https://drive.google.com/drive/folders/1GpIfKchAP9Q5NxpWvJG334r4dXZMak3n?usp=drive_link" xr:uid="{00000000-0004-0000-0000-000079000000}"/>
    <hyperlink ref="AE123" r:id="rId123" display="https://drive.google.com/drive/folders/1GpIfKchAP9Q5NxpWvJG334r4dXZMak3n?usp=drive_link" xr:uid="{00000000-0004-0000-0000-00007A000000}"/>
    <hyperlink ref="AE125" r:id="rId124" display="https://drive.google.com/drive/folders/1GpIfKchAP9Q5NxpWvJG334r4dXZMak3n?usp=drive_link" xr:uid="{00000000-0004-0000-0000-00007B000000}"/>
    <hyperlink ref="AE126" r:id="rId125" display="https://drive.google.com/drive/folders/1GpIfKchAP9Q5NxpWvJG334r4dXZMak3n?usp=drive_link" xr:uid="{00000000-0004-0000-0000-00007C000000}"/>
    <hyperlink ref="AE127" r:id="rId126" display="https://drive.google.com/drive/folders/1GpIfKchAP9Q5NxpWvJG334r4dXZMak3n?usp=drive_link" xr:uid="{00000000-0004-0000-0000-00007D000000}"/>
    <hyperlink ref="AE128" r:id="rId127" display="https://drive.google.com/drive/folders/1GpIfKchAP9Q5NxpWvJG334r4dXZMak3n?usp=drive_link" xr:uid="{00000000-0004-0000-0000-00007E000000}"/>
    <hyperlink ref="AE129" r:id="rId128" display="https://drive.google.com/drive/folders/1GpIfKchAP9Q5NxpWvJG334r4dXZMak3n?usp=drive_link" xr:uid="{00000000-0004-0000-0000-00007F000000}"/>
    <hyperlink ref="AE130" r:id="rId129" display="https://drive.google.com/drive/folders/1GpIfKchAP9Q5NxpWvJG334r4dXZMak3n?usp=drive_link" xr:uid="{00000000-0004-0000-0000-000080000000}"/>
    <hyperlink ref="AE131" r:id="rId130" display="https://drive.google.com/drive/folders/1GpIfKchAP9Q5NxpWvJG334r4dXZMak3n?usp=drive_link" xr:uid="{00000000-0004-0000-0000-000081000000}"/>
    <hyperlink ref="AE132" r:id="rId131" display="https://drive.google.com/drive/folders/1GpIfKchAP9Q5NxpWvJG334r4dXZMak3n?usp=drive_link" xr:uid="{00000000-0004-0000-0000-000082000000}"/>
    <hyperlink ref="AE133" r:id="rId132" display="https://drive.google.com/drive/folders/1GpIfKchAP9Q5NxpWvJG334r4dXZMak3n?usp=drive_link" xr:uid="{00000000-0004-0000-0000-000083000000}"/>
    <hyperlink ref="AE134" r:id="rId133" display="https://drive.google.com/drive/folders/1GpIfKchAP9Q5NxpWvJG334r4dXZMak3n?usp=drive_link" xr:uid="{00000000-0004-0000-0000-000084000000}"/>
    <hyperlink ref="AE135" r:id="rId134" display="https://drive.google.com/drive/folders/1GpIfKchAP9Q5NxpWvJG334r4dXZMak3n?usp=drive_link" xr:uid="{00000000-0004-0000-0000-000085000000}"/>
    <hyperlink ref="AE136" r:id="rId135" display="https://drive.google.com/drive/folders/1GpIfKchAP9Q5NxpWvJG334r4dXZMak3n?usp=drive_link" xr:uid="{00000000-0004-0000-0000-000086000000}"/>
    <hyperlink ref="B137" r:id="rId136" location="gid=2098233099" xr:uid="{00000000-0004-0000-0000-000087000000}"/>
    <hyperlink ref="AE137" r:id="rId137" display="https://drive.google.com/drive/folders/1AJVGe-Kl7U2VUoi8C5PgEeuIZdXAE_nD?usp=drive_link" xr:uid="{00000000-0004-0000-0000-000088000000}"/>
    <hyperlink ref="AE138" r:id="rId138" display="https://drive.google.com/drive/folders/1AJVGe-Kl7U2VUoi8C5PgEeuIZdXAE_nD?usp=drive_link" xr:uid="{00000000-0004-0000-0000-000089000000}"/>
    <hyperlink ref="AE139" r:id="rId139" display="https://drive.google.com/drive/folders/1AJVGe-Kl7U2VUoi8C5PgEeuIZdXAE_nD?usp=drive_link" xr:uid="{00000000-0004-0000-0000-00008A000000}"/>
    <hyperlink ref="AE140" r:id="rId140" display="https://drive.google.com/drive/folders/1AJVGe-Kl7U2VUoi8C5PgEeuIZdXAE_nD?usp=drive_link" xr:uid="{00000000-0004-0000-0000-00008B000000}"/>
    <hyperlink ref="AE141" r:id="rId141" display="https://drive.google.com/drive/folders/1AJVGe-Kl7U2VUoi8C5PgEeuIZdXAE_nD?usp=drive_link" xr:uid="{00000000-0004-0000-0000-00008C000000}"/>
    <hyperlink ref="AE142" r:id="rId142" display="https://drive.google.com/drive/folders/1AJVGe-Kl7U2VUoi8C5PgEeuIZdXAE_nD?usp=drive_link" xr:uid="{00000000-0004-0000-0000-00008D000000}"/>
    <hyperlink ref="B146" r:id="rId143" location="gid=2098233099" xr:uid="{00000000-0004-0000-0000-00008E000000}"/>
    <hyperlink ref="AE146" r:id="rId144" display="https://drive.google.com/drive/folders/1gsy1aMXrvcB_kEupV_pEh3uxiW-_iRKM?usp=drive_link" xr:uid="{00000000-0004-0000-0000-00008F000000}"/>
    <hyperlink ref="AE147" r:id="rId145" display="https://drive.google.com/drive/folders/1gsy1aMXrvcB_kEupV_pEh3uxiW-_iRKM?usp=drive_link" xr:uid="{00000000-0004-0000-0000-000090000000}"/>
    <hyperlink ref="AE148" r:id="rId146" display="https://drive.google.com/drive/folders/1gsy1aMXrvcB_kEupV_pEh3uxiW-_iRKM?usp=drive_link" xr:uid="{00000000-0004-0000-0000-000091000000}"/>
    <hyperlink ref="AE149" r:id="rId147" display="https://drive.google.com/drive/folders/1gsy1aMXrvcB_kEupV_pEh3uxiW-_iRKM?usp=drive_link" xr:uid="{00000000-0004-0000-0000-000092000000}"/>
    <hyperlink ref="AE150" r:id="rId148" display="https://drive.google.com/drive/folders/1gsy1aMXrvcB_kEupV_pEh3uxiW-_iRKM?usp=drive_link" xr:uid="{00000000-0004-0000-0000-000093000000}"/>
    <hyperlink ref="AE151" r:id="rId149" display="https://drive.google.com/drive/folders/1gsy1aMXrvcB_kEupV_pEh3uxiW-_iRKM?usp=drive_link" xr:uid="{00000000-0004-0000-0000-000094000000}"/>
    <hyperlink ref="B152" r:id="rId150" location="gid=2098233099" xr:uid="{00000000-0004-0000-0000-000095000000}"/>
    <hyperlink ref="AE152" r:id="rId151" display="https://drive.google.com/drive/folders/1P5QPkuJMZNn25lRdqm6byzH0osruiIqI?usp=drive_link" xr:uid="{00000000-0004-0000-0000-000096000000}"/>
    <hyperlink ref="AE153" r:id="rId152" display="https://drive.google.com/drive/folders/1P5QPkuJMZNn25lRdqm6byzH0osruiIqI?usp=drive_link" xr:uid="{00000000-0004-0000-0000-000097000000}"/>
    <hyperlink ref="AE154" r:id="rId153" display="https://drive.google.com/drive/folders/1P5QPkuJMZNn25lRdqm6byzH0osruiIqI?usp=drive_link" xr:uid="{00000000-0004-0000-0000-000098000000}"/>
    <hyperlink ref="B155" r:id="rId154" location="gid=2098233099" xr:uid="{00000000-0004-0000-0000-000099000000}"/>
    <hyperlink ref="AE155" r:id="rId155" display="https://drive.google.com/drive/folders/1sKRZ2P-UpnwjISnYL-hJvIL1cmKRdncG?usp=drive_link" xr:uid="{00000000-0004-0000-0000-00009A000000}"/>
    <hyperlink ref="AE156" r:id="rId156" display="https://drive.google.com/drive/folders/1sKRZ2P-UpnwjISnYL-hJvIL1cmKRdncG?usp=drive_link" xr:uid="{00000000-0004-0000-0000-00009B000000}"/>
    <hyperlink ref="AE157" r:id="rId157" display="https://drive.google.com/drive/folders/1sKRZ2P-UpnwjISnYL-hJvIL1cmKRdncG?usp=drive_link" xr:uid="{00000000-0004-0000-0000-00009C000000}"/>
    <hyperlink ref="AE158" r:id="rId158" display="https://drive.google.com/drive/folders/1sKRZ2P-UpnwjISnYL-hJvIL1cmKRdncG?usp=drive_link" xr:uid="{00000000-0004-0000-0000-00009D000000}"/>
    <hyperlink ref="AE159" r:id="rId159" display="https://drive.google.com/drive/folders/1sKRZ2P-UpnwjISnYL-hJvIL1cmKRdncG?usp=drive_link" xr:uid="{00000000-0004-0000-0000-00009E000000}"/>
    <hyperlink ref="AE160" r:id="rId160" display="https://drive.google.com/drive/folders/1sKRZ2P-UpnwjISnYL-hJvIL1cmKRdncG?usp=drive_link" xr:uid="{00000000-0004-0000-0000-00009F000000}"/>
    <hyperlink ref="AE161" r:id="rId161" display="https://drive.google.com/drive/folders/1sKRZ2P-UpnwjISnYL-hJvIL1cmKRdncG?usp=drive_link" xr:uid="{00000000-0004-0000-0000-0000A0000000}"/>
    <hyperlink ref="AE162" r:id="rId162" display="https://drive.google.com/drive/folders/1sKRZ2P-UpnwjISnYL-hJvIL1cmKRdncG?usp=drive_link" xr:uid="{00000000-0004-0000-0000-0000A1000000}"/>
    <hyperlink ref="AE163" r:id="rId163" display="https://drive.google.com/drive/folders/1sKRZ2P-UpnwjISnYL-hJvIL1cmKRdncG?usp=drive_link" xr:uid="{00000000-0004-0000-0000-0000A2000000}"/>
    <hyperlink ref="B164" r:id="rId164" location="gid=2098233099" xr:uid="{00000000-0004-0000-0000-0000A3000000}"/>
    <hyperlink ref="AE164" r:id="rId165" display="https://drive.google.com/drive/folders/1UFOPmupqhgrIk9FjR7y9uOleW0INJIFv?usp=drive_link" xr:uid="{00000000-0004-0000-0000-0000A4000000}"/>
    <hyperlink ref="AE165" r:id="rId166" display="https://drive.google.com/drive/folders/1UFOPmupqhgrIk9FjR7y9uOleW0INJIFv?usp=drive_link" xr:uid="{00000000-0004-0000-0000-0000A5000000}"/>
    <hyperlink ref="AE166" r:id="rId167" display="https://drive.google.com/drive/folders/1UFOPmupqhgrIk9FjR7y9uOleW0INJIFv?usp=drive_link" xr:uid="{00000000-0004-0000-0000-0000A6000000}"/>
    <hyperlink ref="AE167" r:id="rId168" display="https://drive.google.com/drive/folders/1UFOPmupqhgrIk9FjR7y9uOleW0INJIFv?usp=drive_link" xr:uid="{00000000-0004-0000-0000-0000A7000000}"/>
    <hyperlink ref="AE168" r:id="rId169" display="https://drive.google.com/drive/folders/1UFOPmupqhgrIk9FjR7y9uOleW0INJIFv?usp=drive_link" xr:uid="{00000000-0004-0000-0000-0000A8000000}"/>
    <hyperlink ref="AE169" r:id="rId170" display="https://drive.google.com/drive/folders/1UFOPmupqhgrIk9FjR7y9uOleW0INJIFv?usp=drive_link" xr:uid="{00000000-0004-0000-0000-0000A9000000}"/>
    <hyperlink ref="AE170" r:id="rId171" display="https://drive.google.com/drive/folders/1UFOPmupqhgrIk9FjR7y9uOleW0INJIFv?usp=drive_link" xr:uid="{00000000-0004-0000-0000-0000AA000000}"/>
    <hyperlink ref="AE171" r:id="rId172" display="https://drive.google.com/drive/folders/1UFOPmupqhgrIk9FjR7y9uOleW0INJIFv?usp=drive_link" xr:uid="{00000000-0004-0000-0000-0000AB000000}"/>
    <hyperlink ref="AE172" r:id="rId173" display="https://drive.google.com/drive/folders/1UFOPmupqhgrIk9FjR7y9uOleW0INJIFv?usp=drive_link" xr:uid="{00000000-0004-0000-0000-0000AC000000}"/>
    <hyperlink ref="AE173" r:id="rId174" display="https://drive.google.com/drive/folders/1UFOPmupqhgrIk9FjR7y9uOleW0INJIFv?usp=drive_link" xr:uid="{00000000-0004-0000-0000-0000AD000000}"/>
    <hyperlink ref="AE174" r:id="rId175" display="https://drive.google.com/drive/folders/1UFOPmupqhgrIk9FjR7y9uOleW0INJIFv?usp=drive_link" xr:uid="{00000000-0004-0000-0000-0000AE000000}"/>
    <hyperlink ref="AE175" r:id="rId176" display="https://drive.google.com/drive/folders/1UFOPmupqhgrIk9FjR7y9uOleW0INJIFv?usp=drive_link" xr:uid="{00000000-0004-0000-0000-0000AF000000}"/>
    <hyperlink ref="B176" r:id="rId177" location="gid=2098233099" xr:uid="{00000000-0004-0000-0000-0000B0000000}"/>
    <hyperlink ref="AE176" r:id="rId178" display="https://drive.google.com/drive/folders/13IWV_AC2OsnM9zC0gAP2yyKGKT-hRJMb?usp=drive_link" xr:uid="{00000000-0004-0000-0000-0000B1000000}"/>
    <hyperlink ref="AE177" r:id="rId179" display="https://drive.google.com/drive/folders/13IWV_AC2OsnM9zC0gAP2yyKGKT-hRJMb?usp=drive_link" xr:uid="{00000000-0004-0000-0000-0000B2000000}"/>
    <hyperlink ref="AE178" r:id="rId180" display="https://drive.google.com/drive/folders/13IWV_AC2OsnM9zC0gAP2yyKGKT-hRJMb?usp=drive_link" xr:uid="{00000000-0004-0000-0000-0000B3000000}"/>
    <hyperlink ref="AE179" r:id="rId181" display="https://drive.google.com/drive/folders/13IWV_AC2OsnM9zC0gAP2yyKGKT-hRJMb?usp=drive_link" xr:uid="{00000000-0004-0000-0000-0000B4000000}"/>
    <hyperlink ref="AE180" r:id="rId182" display="https://drive.google.com/drive/folders/13IWV_AC2OsnM9zC0gAP2yyKGKT-hRJMb?usp=drive_link" xr:uid="{00000000-0004-0000-0000-0000B5000000}"/>
    <hyperlink ref="AE181" r:id="rId183" display="https://drive.google.com/drive/folders/13IWV_AC2OsnM9zC0gAP2yyKGKT-hRJMb?usp=drive_link" xr:uid="{00000000-0004-0000-0000-0000B6000000}"/>
  </hyperlinks>
  <pageMargins left="0.7" right="0.7" top="0.75" bottom="0.75" header="0" footer="0"/>
  <pageSetup orientation="portrait"/>
  <drawing r:id="rId184"/>
  <legacyDrawing r:id="rId1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CIGestion</cp:lastModifiedBy>
  <dcterms:modified xsi:type="dcterms:W3CDTF">2026-05-15T20:57:45Z</dcterms:modified>
</cp:coreProperties>
</file>