
<file path=[Content_Types].xml><?xml version="1.0" encoding="utf-8"?>
<Types xmlns="http://schemas.openxmlformats.org/package/2006/content-types">
  <Default ContentType="application/vnd.openxmlformats-officedocument.vmlDrawing" Extension="vml"/>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spreadsheetml.comments+xml" PartName="/xl/comments5.xml"/>
  <Override ContentType="application/vnd.openxmlformats-officedocument.spreadsheetml.comments+xml" PartName="/xl/comments6.xml"/>
  <Override ContentType="application/vnd.openxmlformats-officedocument.spreadsheetml.comments+xml" PartName="/xl/comments1.xml"/>
  <Override ContentType="application/vnd.openxmlformats-officedocument.spreadsheetml.comments+xml" PartName="/xl/comments4.xml"/>
  <Override ContentType="application/vnd.openxmlformats-officedocument.spreadsheetml.comments+xml" PartName="/xl/comments3.xml"/>
  <Override ContentType="application/vnd.openxmlformats-officedocument.spreadsheetml.comments+xml" PartName="/xl/comments2.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hidden" name="Rg6" sheetId="1" r:id="rId3"/>
    <sheet state="hidden" name="Rg7" sheetId="2" r:id="rId4"/>
    <sheet state="hidden" name="Rg8" sheetId="3" r:id="rId5"/>
    <sheet state="hidden" name="Rg9" sheetId="4" r:id="rId6"/>
    <sheet state="hidden" name="Rg10" sheetId="5" r:id="rId7"/>
    <sheet state="visible" name="Matriz_riesgos" sheetId="6" r:id="rId8"/>
    <sheet state="hidden" name="Listas" sheetId="7" r:id="rId9"/>
  </sheets>
  <definedNames/>
  <calcPr/>
</workbook>
</file>

<file path=xl/comments1.xml><?xml version="1.0" encoding="utf-8"?>
<comments xmlns:r="http://schemas.openxmlformats.org/officeDocument/2006/relationships" xmlns="http://schemas.openxmlformats.org/spreadsheetml/2006/main" xmlns:xr="http://schemas.microsoft.com/office/spreadsheetml/2014/revision">
  <authors>
    <author/>
  </authors>
  <commentList>
    <comment authorId="0" ref="B10">
      <text>
        <t xml:space="preserve">Seleccione con una X, los factores que considere que pueda generar un evento o situación que pueda entorpecer el normal desarrollo de su proceso.</t>
      </text>
    </comment>
    <comment authorId="0" ref="B14">
      <text>
        <t xml:space="preserve">Seleccione la dependencia en la que se ubica el riesgo que está identificando.</t>
      </text>
    </comment>
    <comment authorId="0" ref="E14">
      <text>
        <t xml:space="preserve">Mencione el evento que podría presentarse y obstaculizar el normal desarrollo de la gestión en la entidad y afectar el logro de objetivos operativos o institucionales y que responde  a las causas identificadas. 
Evitar iniciar con palabras negativas como: "No…", "Que no…", o con palabras que denoten un factor de riesgo (causa) tales como: "ausencia de", "falta de", "poco(a)", "escaso(a)", "insuficiente", "deficiente", "debilidades en…"</t>
      </text>
    </comment>
    <comment authorId="0" ref="K14">
      <text>
        <t xml:space="preserve">Para la determinación de las causas del riesgo, diligencie la matriz de priorización de causas (Punto 1.3 de este documento)</t>
      </text>
    </comment>
    <comment authorId="0" ref="O14">
      <text>
        <t xml:space="preserve">Clasifique el riesgo de acuerdo con la pertinencia y la naturaleza del proceso.
Recuerde que para que un riesgo se considere de corrupción, debe responder afirmativamente las siguientes preguntas:
- ¿Se presenta acción u omisión?  
- ¿Se evidencia uso del poder?
- ¿Hay desviación de lo público? 
- ¿Se beneficia a un privado o a un tercero? </t>
      </text>
    </comment>
    <comment authorId="0" ref="Q14">
      <text>
        <t xml:space="preserve">El código del proceso se generará de manera automática.</t>
      </text>
    </comment>
    <comment authorId="0" ref="R14">
      <text>
        <t xml:space="preserve">Describa brevemente las consecuencias que se presentarían en caso de materializarse el riesgo.</t>
      </text>
    </comment>
    <comment authorId="0" ref="B19">
      <text>
        <t xml:space="preserve">Identifique el tipo de causa, así:
</t>
      </text>
    </comment>
    <comment authorId="0" ref="J19">
      <text>
        <t xml:space="preserve">Es necesario que participen por lo menos 2 personas para realizar la identificación y valoración de las causas del riesgo.
Los participantes califican de 1 a 5 (donde 1 es el mínimo y 5 el máximo) cada una de las causas de acuerdo a como considere que estas influyen en caso de materialización del riesgo.</t>
      </text>
    </comment>
    <comment authorId="0" ref="B74">
      <text>
        <t xml:space="preserve">Las causas identificadas, dependerán de la calificación obtenida en la matriz de priorización de causas (1.3)</t>
      </text>
    </comment>
    <comment authorId="0" ref="G74">
      <text>
        <t xml:space="preserve">Describa los controles que su proceso tiene implementados de acuerdo a las causas identificadas.
Tenga en cuenta que un un control se define como la medida que permite reducir o mitigar el riesgo.</t>
      </text>
    </comment>
    <comment authorId="0" ref="L74">
      <text>
        <t xml:space="preserve">Seleccione el tipo de control implementado, de acuerdo a lo siguiente:
* PREVENTIVO: control accionado en la entrada del proceso y antes de que se realice la actividad originadora del riesgo, se busca establecer las condiciones que aseguren el resultado final esperado
* DETECTIVO: control accionado durante la ejecución del proceso. Estos controles detectan el riesgo, pero generan reprocesos.
* CORRECTIVO: control accionado en la salida del proceso y después de que se materializa el riesgo. Estos controles tienen costos implícitos.</t>
      </text>
    </comment>
    <comment authorId="0" ref="N74">
      <text>
        <t xml:space="preserve">Seleccione la modalidad de implementación del control de acuerdo a lo siguiente:
* MANUAL: controles Que son ejecutados por personas.
* AUTOMÁTICO: son ejecutados por un sistema.</t>
      </text>
    </comment>
    <comment authorId="0" ref="P74">
      <text>
        <t xml:space="preserve">Seleccione la documentación del control de acuerdo a lo siguiente 
* DOCUMENTADO: Controles que están documentados en el proceso, ya sea en manuales, procedimientos, flujogramas o cualquier otro documento propio del proceso.
* SIN DOCUMENTAR: Identifica a los controles que pese a que se ejecutan en el proceso no se encuentran documentados en ningún documento propio del proceso.</t>
      </text>
    </comment>
    <comment authorId="0" ref="R74">
      <text>
        <t xml:space="preserve">Seleccione la frecuencia de aplicación del control de acuerdo a lo siguiente:
* CONTINUA: se aplica el control todas las veces que se realiza la actividad.
* ALEATORIA: se aplica sólo algunas veces.</t>
      </text>
    </comment>
    <comment authorId="0" ref="T74">
      <text>
        <t xml:space="preserve">Seleccione la evidencia de la aplicación del control de acuerdo a lo siguiente:
* CON REGISTRO: Se genera un registro producto de la aplicación del control, por ejemplo se debe diligenciar un formato, o se genera un registro en el sistema de información.
* SIN REGISTRO: La aplicación del control no genera registros.</t>
      </text>
    </comment>
    <comment authorId="0" ref="B94">
      <text>
        <t xml:space="preserve">Indique la fecha en que se ejecutará o la periodicidad de la acción asociada al tratamiento.</t>
      </text>
    </comment>
    <comment authorId="0" ref="E94">
      <text>
        <t xml:space="preserve">Indique la acción o las acciones asociadas al tratamiento del riesgo residual.
Recuerde que las acciones de tratamiento no pueden ser iguales a los controles ya implementados, sin embargo, están enfocadas a reforzar la fuerza de dichos controles.</t>
      </text>
    </comment>
    <comment authorId="0" ref="L94">
      <text>
        <t xml:space="preserve">Indique el cargo de la persona responsable de la acción de tratamiento.</t>
      </text>
    </comment>
    <comment authorId="0" ref="N94">
      <text>
        <t xml:space="preserve">Indique los soportes que evidenciarán la ejecución de la acción asociada al tratamiento.</t>
      </text>
    </comment>
    <comment authorId="0" ref="R94">
      <text>
        <t xml:space="preserve">Describa la fórmula de cálculo del indicador.</t>
      </text>
    </comment>
    <comment authorId="0" ref="B99">
      <text>
        <t xml:space="preserve">Indique la acción o las acciones que se deberán ejecutar en caso de que se materialice el riesgo.
Recuerde que en caso de materializarse el riesgo, es necesario revaluar la probabilidad y el impacto del riesgo en cuestión.</t>
      </text>
    </comment>
  </commentList>
</comments>
</file>

<file path=xl/comments2.xml><?xml version="1.0" encoding="utf-8"?>
<comments xmlns:r="http://schemas.openxmlformats.org/officeDocument/2006/relationships" xmlns="http://schemas.openxmlformats.org/spreadsheetml/2006/main" xmlns:xr="http://schemas.microsoft.com/office/spreadsheetml/2014/revision">
  <authors>
    <author/>
  </authors>
  <commentList>
    <comment authorId="0" ref="B10">
      <text>
        <t xml:space="preserve">Seleccione con una X, los factores que considere que pueda generar un evento o situación que pueda entorpecer el normal desarrollo de su proceso.</t>
      </text>
    </comment>
    <comment authorId="0" ref="B14">
      <text>
        <t xml:space="preserve">Seleccione la dependencia en la que se ubica el riesgo que está identificando.</t>
      </text>
    </comment>
    <comment authorId="0" ref="E14">
      <text>
        <t xml:space="preserve">Mencione el evento que podría presentarse y obstaculizar el normal desarrollo de la gestión en la entidad y afectar el logro de objetivos operativos o institucionales y que responde  a las causas identificadas. 
Evitar iniciar con palabras negativas como: "No…", "Que no…", o con palabras que denoten un factor de riesgo (causa) tales como: "ausencia de", "falta de", "poco(a)", "escaso(a)", "insuficiente", "deficiente", "debilidades en…"</t>
      </text>
    </comment>
    <comment authorId="0" ref="K14">
      <text>
        <t xml:space="preserve">Para la determinación de las causas del riesgo, diligencie la matriz de priorización de causas (Punto 1.3 de este documento)</t>
      </text>
    </comment>
    <comment authorId="0" ref="O14">
      <text>
        <t xml:space="preserve">Clasifique el riesgo de acuerdo con la pertinencia y la naturaleza del proceso.
Recuerde que para que un riesgo se considere de corrupción, debe responder afirmativamente las siguientes preguntas:
- ¿Se presenta acción u omisión?  
- ¿Se evidencia uso del poder?
- ¿Hay desviación de lo público? 
- ¿Se beneficia a un privado o a un tercero? </t>
      </text>
    </comment>
    <comment authorId="0" ref="Q14">
      <text>
        <t xml:space="preserve">El código del proceso se generará de manera automática.</t>
      </text>
    </comment>
    <comment authorId="0" ref="R14">
      <text>
        <t xml:space="preserve">Describa brevemente las consecuencias que se presentarían en caso de materializarse el riesgo.</t>
      </text>
    </comment>
    <comment authorId="0" ref="B19">
      <text>
        <t xml:space="preserve">Identifique el tipo de causa, así:
</t>
      </text>
    </comment>
    <comment authorId="0" ref="J19">
      <text>
        <t xml:space="preserve">Es necesario que participen por lo menos 2 personas para realizar la identificación y valoración de las causas del riesgo.
Los participantes califican de 1 a 5 (donde 1 es el mínimo y 5 el máximo) cada una de las causas de acuerdo a como considere que estas influyen en caso de materialización del riesgo.</t>
      </text>
    </comment>
    <comment authorId="0" ref="B74">
      <text>
        <t xml:space="preserve">Las causas identificadas, dependerán de la calificación obtenida en la matriz de priorización de causas (1.3)</t>
      </text>
    </comment>
    <comment authorId="0" ref="G74">
      <text>
        <t xml:space="preserve">Describa los controles que su proceso tiene implementados de acuerdo a las causas identificadas.
Tenga en cuenta que un un control se define como la medida que permite reducir o mitigar el riesgo.</t>
      </text>
    </comment>
    <comment authorId="0" ref="L74">
      <text>
        <t xml:space="preserve">Seleccione el tipo de control implementado, de acuerdo a lo siguiente:
* PREVENTIVO: control accionado en la entrada del proceso y antes de que se realice la actividad originadora del riesgo, se busca establecer las condiciones que aseguren el resultado final esperado
* DETECTIVO: control accionado durante la ejecución del proceso. Estos controles detectan el riesgo, pero generan reprocesos.
* CORRECTIVO: control accionado en la salida del proceso y después de que se materializa el riesgo. Estos controles tienen costos implícitos.</t>
      </text>
    </comment>
    <comment authorId="0" ref="N74">
      <text>
        <t xml:space="preserve">Seleccione la modalidad de implementación del control de acuerdo a lo siguiente:
* MANUAL: controles Que son ejecutados por personas.
* AUTOMÁTICO: son ejecutados por un sistema.</t>
      </text>
    </comment>
    <comment authorId="0" ref="P74">
      <text>
        <t xml:space="preserve">Seleccione la documentación del control de acuerdo a lo siguiente 
* DOCUMENTADO: Controles que están documentados en el proceso, ya sea en manuales, procedimientos, flujogramas o cualquier otro documento propio del proceso.
* SIN DOCUMENTAR: Identifica a los controles que pese a que se ejecutan en el proceso no se encuentran documentados en ningún documento propio del proceso.</t>
      </text>
    </comment>
    <comment authorId="0" ref="R74">
      <text>
        <t xml:space="preserve">Seleccione la frecuencia de aplicación del control de acuerdo a lo siguiente:
* CONTINUA: se aplica el control todas las veces que se realiza la actividad.
* ALEATORIA: se aplica sólo algunas veces.</t>
      </text>
    </comment>
    <comment authorId="0" ref="T74">
      <text>
        <t xml:space="preserve">Seleccione la evidencia de la aplicación del control de acuerdo a lo siguiente:
* CON REGISTRO: Se genera un registro producto de la aplicación del control, por ejemplo se debe diligenciar un formato, o se genera un registro en el sistema de información.
* SIN REGISTRO: La aplicación del control no genera registros.</t>
      </text>
    </comment>
    <comment authorId="0" ref="B94">
      <text>
        <t xml:space="preserve">Indique la fecha en que se ejecutará o la periodicidad de la acción asociada al tratamiento.</t>
      </text>
    </comment>
    <comment authorId="0" ref="E94">
      <text>
        <t xml:space="preserve">Indique la acción o las acciones asociadas al tratamiento del riesgo residual.
Recuerde que las acciones de tratamiento no pueden ser iguales a los controles ya implementados, sin embargo, están enfocadas a reforzar la fuerza de dichos controles.</t>
      </text>
    </comment>
    <comment authorId="0" ref="L94">
      <text>
        <t xml:space="preserve">Indique el cargo de la persona responsable de la acción de tratamiento.</t>
      </text>
    </comment>
    <comment authorId="0" ref="N94">
      <text>
        <t xml:space="preserve">Indique los soportes que evidenciarán la ejecución de la acción asociada al tratamiento.</t>
      </text>
    </comment>
    <comment authorId="0" ref="R94">
      <text>
        <t xml:space="preserve">Describa la fórmula de cálculo del indicador.</t>
      </text>
    </comment>
    <comment authorId="0" ref="B99">
      <text>
        <t xml:space="preserve">Indique la acción o las acciones que se deberán ejecutar en caso de que se materialice el riesgo.
Recuerde que en caso de materializarse el riesgo, es necesario revaluar la probabilidad y el impacto del riesgo en cuestión.</t>
      </text>
    </comment>
  </commentList>
</comments>
</file>

<file path=xl/comments3.xml><?xml version="1.0" encoding="utf-8"?>
<comments xmlns:r="http://schemas.openxmlformats.org/officeDocument/2006/relationships" xmlns="http://schemas.openxmlformats.org/spreadsheetml/2006/main" xmlns:xr="http://schemas.microsoft.com/office/spreadsheetml/2014/revision">
  <authors>
    <author/>
  </authors>
  <commentList>
    <comment authorId="0" ref="B10">
      <text>
        <t xml:space="preserve">Seleccione con una X, los factores que considere que pueda generar un evento o situación que pueda entorpecer el normal desarrollo de su proceso.</t>
      </text>
    </comment>
    <comment authorId="0" ref="B14">
      <text>
        <t xml:space="preserve">Seleccione la dependencia en la que se ubica el riesgo que está identificando.</t>
      </text>
    </comment>
    <comment authorId="0" ref="E14">
      <text>
        <t xml:space="preserve">Mencione el evento que podría presentarse y obstaculizar el normal desarrollo de la gestión en la entidad y afectar el logro de objetivos operativos o institucionales y que responde  a las causas identificadas. 
Evitar iniciar con palabras negativas como: "No…", "Que no…", o con palabras que denoten un factor de riesgo (causa) tales como: "ausencia de", "falta de", "poco(a)", "escaso(a)", "insuficiente", "deficiente", "debilidades en…"</t>
      </text>
    </comment>
    <comment authorId="0" ref="K14">
      <text>
        <t xml:space="preserve">Para la determinación de las causas del riesgo, diligencie la matriz de priorización de causas (Punto 1.3 de este documento)</t>
      </text>
    </comment>
    <comment authorId="0" ref="O14">
      <text>
        <t xml:space="preserve">Clasifique el riesgo de acuerdo con la pertinencia y la naturaleza del proceso.
Recuerde que para que un riesgo se considere de corrupción, debe responder afirmativamente las siguientes preguntas:
- ¿Se presenta acción u omisión?  
- ¿Se evidencia uso del poder?
- ¿Hay desviación de lo público? 
- ¿Se beneficia a un privado o a un tercero? </t>
      </text>
    </comment>
    <comment authorId="0" ref="Q14">
      <text>
        <t xml:space="preserve">El código del proceso se generará de manera automática.</t>
      </text>
    </comment>
    <comment authorId="0" ref="R14">
      <text>
        <t xml:space="preserve">Describa brevemente las consecuencias que se presentarían en caso de materializarse el riesgo.</t>
      </text>
    </comment>
    <comment authorId="0" ref="B19">
      <text>
        <t xml:space="preserve">Identifique el tipo de causa, así:
</t>
      </text>
    </comment>
    <comment authorId="0" ref="J19">
      <text>
        <t xml:space="preserve">Es necesario que participen por lo menos 2 personas para realizar la identificación y valoración de las causas del riesgo.
Los participantes califican de 1 a 5 (donde 1 es el mínimo y 5 el máximo) cada una de las causas de acuerdo a como considere que estas influyen en caso de materialización del riesgo.</t>
      </text>
    </comment>
    <comment authorId="0" ref="B74">
      <text>
        <t xml:space="preserve">Las causas identificadas, dependerán de la calificación obtenida en la matriz de priorización de causas (1.3)</t>
      </text>
    </comment>
    <comment authorId="0" ref="G74">
      <text>
        <t xml:space="preserve">Describa los controles que su proceso tiene implementados de acuerdo a las causas identificadas.
Tenga en cuenta que un un control se define como la medida que permite reducir o mitigar el riesgo.</t>
      </text>
    </comment>
    <comment authorId="0" ref="L74">
      <text>
        <t xml:space="preserve">Seleccione el tipo de control implementado, de acuerdo a lo siguiente:
* PREVENTIVO: control accionado en la entrada del proceso y antes de que se realice la actividad originadora del riesgo, se busca establecer las condiciones que aseguren el resultado final esperado
* DETECTIVO: control accionado durante la ejecución del proceso. Estos controles detectan el riesgo, pero generan reprocesos.
* CORRECTIVO: control accionado en la salida del proceso y después de que se materializa el riesgo. Estos controles tienen costos implícitos.</t>
      </text>
    </comment>
    <comment authorId="0" ref="N74">
      <text>
        <t xml:space="preserve">Seleccione la modalidad de implementación del control de acuerdo a lo siguiente:
* MANUAL: controles Que son ejecutados por personas.
* AUTOMÁTICO: son ejecutados por un sistema.</t>
      </text>
    </comment>
    <comment authorId="0" ref="P74">
      <text>
        <t xml:space="preserve">Seleccione la documentación del control de acuerdo a lo siguiente 
* DOCUMENTADO: Controles que están documentados en el proceso, ya sea en manuales, procedimientos, flujogramas o cualquier otro documento propio del proceso.
* SIN DOCUMENTAR: Identifica a los controles que pese a que se ejecutan en el proceso no se encuentran documentados en ningún documento propio del proceso.</t>
      </text>
    </comment>
    <comment authorId="0" ref="R74">
      <text>
        <t xml:space="preserve">Seleccione la frecuencia de aplicación del control de acuerdo a lo siguiente:
* CONTINUA: se aplica el control todas las veces que se realiza la actividad.
* ALEATORIA: se aplica sólo algunas veces.</t>
      </text>
    </comment>
    <comment authorId="0" ref="T74">
      <text>
        <t xml:space="preserve">Seleccione la evidencia de la aplicación del control de acuerdo a lo siguiente:
* CON REGISTRO: Se genera un registro producto de la aplicación del control, por ejemplo se debe diligenciar un formato, o se genera un registro en el sistema de información.
* SIN REGISTRO: La aplicación del control no genera registros.</t>
      </text>
    </comment>
    <comment authorId="0" ref="B94">
      <text>
        <t xml:space="preserve">Indique la fecha en que se ejecutará o la periodicidad de la acción asociada al tratamiento.</t>
      </text>
    </comment>
    <comment authorId="0" ref="E94">
      <text>
        <t xml:space="preserve">Indique la acción o las acciones asociadas al tratamiento del riesgo residual.
Recuerde que las acciones de tratamiento no pueden ser iguales a los controles ya implementados, sin embargo, están enfocadas a reforzar la fuerza de dichos controles.</t>
      </text>
    </comment>
    <comment authorId="0" ref="L94">
      <text>
        <t xml:space="preserve">Indique el cargo de la persona responsable de la acción de tratamiento.</t>
      </text>
    </comment>
    <comment authorId="0" ref="N94">
      <text>
        <t xml:space="preserve">Indique los soportes que evidenciarán la ejecución de la acción asociada al tratamiento.</t>
      </text>
    </comment>
    <comment authorId="0" ref="R94">
      <text>
        <t xml:space="preserve">Describa la fórmula de cálculo del indicador.</t>
      </text>
    </comment>
    <comment authorId="0" ref="B99">
      <text>
        <t xml:space="preserve">Indique la acción o las acciones que se deberán ejecutar en caso de que se materialice el riesgo.
Recuerde que en caso de materializarse el riesgo, es necesario revaluar la probabilidad y el impacto del riesgo en cuestión.</t>
      </text>
    </comment>
  </commentList>
</comments>
</file>

<file path=xl/comments4.xml><?xml version="1.0" encoding="utf-8"?>
<comments xmlns:r="http://schemas.openxmlformats.org/officeDocument/2006/relationships" xmlns="http://schemas.openxmlformats.org/spreadsheetml/2006/main" xmlns:xr="http://schemas.microsoft.com/office/spreadsheetml/2014/revision">
  <authors>
    <author/>
  </authors>
  <commentList>
    <comment authorId="0" ref="B10">
      <text>
        <t xml:space="preserve">Seleccione con una X, los factores que considere que pueda generar un evento o situación que pueda entorpecer el normal desarrollo de su proceso.</t>
      </text>
    </comment>
    <comment authorId="0" ref="B14">
      <text>
        <t xml:space="preserve">Seleccione la dependencia en la que se ubica el riesgo que está identificando.</t>
      </text>
    </comment>
    <comment authorId="0" ref="E14">
      <text>
        <t xml:space="preserve">Mencione el evento que podría presentarse y obstaculizar el normal desarrollo de la gestión en la entidad y afectar el logro de objetivos operativos o institucionales y que responde  a las causas identificadas. 
Evitar iniciar con palabras negativas como: "No…", "Que no…", o con palabras que denoten un factor de riesgo (causa) tales como: "ausencia de", "falta de", "poco(a)", "escaso(a)", "insuficiente", "deficiente", "debilidades en…"</t>
      </text>
    </comment>
    <comment authorId="0" ref="K14">
      <text>
        <t xml:space="preserve">Para la determinación de las causas del riesgo, diligencie la matriz de priorización de causas (Punto 1.3 de este documento)</t>
      </text>
    </comment>
    <comment authorId="0" ref="O14">
      <text>
        <t xml:space="preserve">Clasifique el riesgo de acuerdo con la pertinencia y la naturaleza del proceso.
Recuerde que para que un riesgo se considere de corrupción, debe responder afirmativamente las siguientes preguntas:
- ¿Se presenta acción u omisión?  
- ¿Se evidencia uso del poder?
- ¿Hay desviación de lo público? 
- ¿Se beneficia a un privado o a un tercero? </t>
      </text>
    </comment>
    <comment authorId="0" ref="Q14">
      <text>
        <t xml:space="preserve">El código del proceso se generará de manera automática.</t>
      </text>
    </comment>
    <comment authorId="0" ref="R14">
      <text>
        <t xml:space="preserve">Describa brevemente las consecuencias que se presentarían en caso de materializarse el riesgo.</t>
      </text>
    </comment>
    <comment authorId="0" ref="B19">
      <text>
        <t xml:space="preserve">Identifique el tipo de causa, así:
</t>
      </text>
    </comment>
    <comment authorId="0" ref="J19">
      <text>
        <t xml:space="preserve">Es necesario que participen por lo menos 2 personas para realizar la identificación y valoración de las causas del riesgo.
Los participantes califican de 1 a 5 (donde 1 es el mínimo y 5 el máximo) cada una de las causas de acuerdo a como considere que estas influyen en caso de materialización del riesgo.</t>
      </text>
    </comment>
    <comment authorId="0" ref="B74">
      <text>
        <t xml:space="preserve">Las causas identificadas, dependerán de la calificación obtenida en la matriz de priorización de causas (1.3)</t>
      </text>
    </comment>
    <comment authorId="0" ref="G74">
      <text>
        <t xml:space="preserve">Describa los controles que su proceso tiene implementados de acuerdo a las causas identificadas.
Tenga en cuenta que un un control se define como la medida que permite reducir o mitigar el riesgo.</t>
      </text>
    </comment>
    <comment authorId="0" ref="L74">
      <text>
        <t xml:space="preserve">Seleccione el tipo de control implementado, de acuerdo a lo siguiente:
* PREVENTIVO: control accionado en la entrada del proceso y antes de que se realice la actividad originadora del riesgo, se busca establecer las condiciones que aseguren el resultado final esperado
* DETECTIVO: control accionado durante la ejecución del proceso. Estos controles detectan el riesgo, pero generan reprocesos.
* CORRECTIVO: control accionado en la salida del proceso y después de que se materializa el riesgo. Estos controles tienen costos implícitos.</t>
      </text>
    </comment>
    <comment authorId="0" ref="N74">
      <text>
        <t xml:space="preserve">Seleccione la modalidad de implementación del control de acuerdo a lo siguiente:
* MANUAL: controles Que son ejecutados por personas.
* AUTOMÁTICO: son ejecutados por un sistema.</t>
      </text>
    </comment>
    <comment authorId="0" ref="P74">
      <text>
        <t xml:space="preserve">Seleccione la documentación del control de acuerdo a lo siguiente 
* DOCUMENTADO: Controles que están documentados en el proceso, ya sea en manuales, procedimientos, flujogramas o cualquier otro documento propio del proceso.
* SIN DOCUMENTAR: Identifica a los controles que pese a que se ejecutan en el proceso no se encuentran documentados en ningún documento propio del proceso.</t>
      </text>
    </comment>
    <comment authorId="0" ref="R74">
      <text>
        <t xml:space="preserve">Seleccione la frecuencia de aplicación del control de acuerdo a lo siguiente:
* CONTINUA: se aplica el control todas las veces que se realiza la actividad.
* ALEATORIA: se aplica sólo algunas veces.</t>
      </text>
    </comment>
    <comment authorId="0" ref="T74">
      <text>
        <t xml:space="preserve">Seleccione la evidencia de la aplicación del control de acuerdo a lo siguiente:
* CON REGISTRO: Se genera un registro producto de la aplicación del control, por ejemplo se debe diligenciar un formato, o se genera un registro en el sistema de información.
* SIN REGISTRO: La aplicación del control no genera registros.</t>
      </text>
    </comment>
    <comment authorId="0" ref="B94">
      <text>
        <t xml:space="preserve">Indique la fecha en que se ejecutará o la periodicidad de la acción asociada al tratamiento.</t>
      </text>
    </comment>
    <comment authorId="0" ref="E94">
      <text>
        <t xml:space="preserve">Indique la acción o las acciones asociadas al tratamiento del riesgo residual.
Recuerde que las acciones de tratamiento no pueden ser iguales a los controles ya implementados, sin embargo, están enfocadas a reforzar la fuerza de dichos controles.</t>
      </text>
    </comment>
    <comment authorId="0" ref="L94">
      <text>
        <t xml:space="preserve">Indique el cargo de la persona responsable de la acción de tratamiento.</t>
      </text>
    </comment>
    <comment authorId="0" ref="N94">
      <text>
        <t xml:space="preserve">Indique los soportes que evidenciarán la ejecución de la acción asociada al tratamiento.</t>
      </text>
    </comment>
    <comment authorId="0" ref="R94">
      <text>
        <t xml:space="preserve">Describa la fórmula de cálculo del indicador.</t>
      </text>
    </comment>
    <comment authorId="0" ref="B99">
      <text>
        <t xml:space="preserve">Indique la acción o las acciones que se deberán ejecutar en caso de que se materialice el riesgo.
Recuerde que en caso de materializarse el riesgo, es necesario revaluar la probabilidad y el impacto del riesgo en cuestión.</t>
      </text>
    </comment>
  </commentList>
</comments>
</file>

<file path=xl/comments5.xml><?xml version="1.0" encoding="utf-8"?>
<comments xmlns:r="http://schemas.openxmlformats.org/officeDocument/2006/relationships" xmlns="http://schemas.openxmlformats.org/spreadsheetml/2006/main" xmlns:xr="http://schemas.microsoft.com/office/spreadsheetml/2014/revision">
  <authors>
    <author/>
  </authors>
  <commentList>
    <comment authorId="0" ref="B10">
      <text>
        <t xml:space="preserve">Seleccione con una X, los factores que considere que pueda generar un evento o situación que pueda entorpecer el normal desarrollo de su proceso.</t>
      </text>
    </comment>
    <comment authorId="0" ref="B14">
      <text>
        <t xml:space="preserve">Seleccione la dependencia en la que se ubica el riesgo que está identificando.</t>
      </text>
    </comment>
    <comment authorId="0" ref="E14">
      <text>
        <t xml:space="preserve">Mencione el evento que podría presentarse y obstaculizar el normal desarrollo de la gestión en la entidad y afectar el logro de objetivos operativos o institucionales y que responde  a las causas identificadas. 
Evitar iniciar con palabras negativas como: "No…", "Que no…", o con palabras que denoten un factor de riesgo (causa) tales como: "ausencia de", "falta de", "poco(a)", "escaso(a)", "insuficiente", "deficiente", "debilidades en…"</t>
      </text>
    </comment>
    <comment authorId="0" ref="K14">
      <text>
        <t xml:space="preserve">Para la determinación de las causas del riesgo, diligencie la matriz de priorización de causas (Punto 1.3 de este documento)</t>
      </text>
    </comment>
    <comment authorId="0" ref="O14">
      <text>
        <t xml:space="preserve">Clasifique el riesgo de acuerdo con la pertinencia y la naturaleza del proceso.
Recuerde que para que un riesgo se considere de corrupción, debe responder afirmativamente las siguientes preguntas:
- ¿Se presenta acción u omisión?  
- ¿Se evidencia uso del poder?
- ¿Hay desviación de lo público? 
- ¿Se beneficia a un privado o a un tercero? </t>
      </text>
    </comment>
    <comment authorId="0" ref="Q14">
      <text>
        <t xml:space="preserve">El código del proceso se generará de manera automática.</t>
      </text>
    </comment>
    <comment authorId="0" ref="R14">
      <text>
        <t xml:space="preserve">Describa brevemente las consecuencias que se presentarían en caso de materializarse el riesgo.</t>
      </text>
    </comment>
    <comment authorId="0" ref="B19">
      <text>
        <t xml:space="preserve">Identifique el tipo de causa, así:
</t>
      </text>
    </comment>
    <comment authorId="0" ref="J19">
      <text>
        <t xml:space="preserve">Es necesario que participen por lo menos 2 personas para realizar la identificación y valoración de las causas del riesgo.
Los participantes califican de 1 a 5 (donde 1 es el mínimo y 5 el máximo) cada una de las causas de acuerdo a como considere que estas influyen en caso de materialización del riesgo.</t>
      </text>
    </comment>
    <comment authorId="0" ref="B74">
      <text>
        <t xml:space="preserve">Las causas identificadas, dependerán de la calificación obtenida en la matriz de priorización de causas (1.3)</t>
      </text>
    </comment>
    <comment authorId="0" ref="G74">
      <text>
        <t xml:space="preserve">Describa los controles que su proceso tiene implementados de acuerdo a las causas identificadas.
Tenga en cuenta que un un control se define como la medida que permite reducir o mitigar el riesgo.</t>
      </text>
    </comment>
    <comment authorId="0" ref="L74">
      <text>
        <t xml:space="preserve">Seleccione el tipo de control implementado, de acuerdo a lo siguiente:
* PREVENTIVO: control accionado en la entrada del proceso y antes de que se realice la actividad originadora del riesgo, se busca establecer las condiciones que aseguren el resultado final esperado
* DETECTIVO: control accionado durante la ejecución del proceso. Estos controles detectan el riesgo, pero generan reprocesos.
* CORRECTIVO: control accionado en la salida del proceso y después de que se materializa el riesgo. Estos controles tienen costos implícitos.</t>
      </text>
    </comment>
    <comment authorId="0" ref="N74">
      <text>
        <t xml:space="preserve">Seleccione la modalidad de implementación del control de acuerdo a lo siguiente:
* MANUAL: controles Que son ejecutados por personas.
* AUTOMÁTICO: son ejecutados por un sistema.</t>
      </text>
    </comment>
    <comment authorId="0" ref="P74">
      <text>
        <t xml:space="preserve">Seleccione la documentación del control de acuerdo a lo siguiente 
* DOCUMENTADO: Controles que están documentados en el proceso, ya sea en manuales, procedimientos, flujogramas o cualquier otro documento propio del proceso.
* SIN DOCUMENTAR: Identifica a los controles que pese a que se ejecutan en el proceso no se encuentran documentados en ningún documento propio del proceso.</t>
      </text>
    </comment>
    <comment authorId="0" ref="R74">
      <text>
        <t xml:space="preserve">Seleccione la frecuencia de aplicación del control de acuerdo a lo siguiente:
* CONTINUA: se aplica el control todas las veces que se realiza la actividad.
* ALEATORIA: se aplica sólo algunas veces.</t>
      </text>
    </comment>
    <comment authorId="0" ref="T74">
      <text>
        <t xml:space="preserve">Seleccione la evidencia de la aplicación del control de acuerdo a lo siguiente:
* CON REGISTRO: Se genera un registro producto de la aplicación del control, por ejemplo se debe diligenciar un formato, o se genera un registro en el sistema de información.
* SIN REGISTRO: La aplicación del control no genera registros.</t>
      </text>
    </comment>
    <comment authorId="0" ref="B94">
      <text>
        <t xml:space="preserve">Indique la fecha en que se ejecutará o la periodicidad de la acción asociada al tratamiento.</t>
      </text>
    </comment>
    <comment authorId="0" ref="E94">
      <text>
        <t xml:space="preserve">Indique la acción o las acciones asociadas al tratamiento del riesgo residual.
Recuerde que las acciones de tratamiento no pueden ser iguales a los controles ya implementados, sin embargo, están enfocadas a reforzar la fuerza de dichos controles.</t>
      </text>
    </comment>
    <comment authorId="0" ref="L94">
      <text>
        <t xml:space="preserve">Indique el cargo de la persona responsable de la acción de tratamiento.</t>
      </text>
    </comment>
    <comment authorId="0" ref="N94">
      <text>
        <t xml:space="preserve">Indique los soportes que evidenciarán la ejecución de la acción asociada al tratamiento.</t>
      </text>
    </comment>
    <comment authorId="0" ref="R94">
      <text>
        <t xml:space="preserve">Describa la fórmula de cálculo del indicador.</t>
      </text>
    </comment>
    <comment authorId="0" ref="B99">
      <text>
        <t xml:space="preserve">Indique la acción o las acciones que se deberán ejecutar en caso de que se materialice el riesgo.
Recuerde que en caso de materializarse el riesgo, es necesario revaluar la probabilidad y el impacto del riesgo en cuestión.</t>
      </text>
    </comment>
  </commentList>
</comments>
</file>

<file path=xl/comments6.xml><?xml version="1.0" encoding="utf-8"?>
<comments xmlns:r="http://schemas.openxmlformats.org/officeDocument/2006/relationships" xmlns="http://schemas.openxmlformats.org/spreadsheetml/2006/main" xmlns:xr="http://schemas.microsoft.com/office/spreadsheetml/2014/revision">
  <authors>
    <author/>
  </authors>
  <commentList>
    <comment authorId="0" ref="AF10">
      <text>
        <t xml:space="preserve">Indique el estado de la actividad de acuerdo con lo siguiente:
Ejecutada: Cuando el proceso evidencie ejecución total de la actividad 
En proceso: Cuando el proceso evidencie ejecución parcial de la actividad dentro de los plazos establecidos
Vencida: Cuando el proceso no evidencie ejecución total o parcial de la actividad, dentro de los plazos establecidos
Pendiente: Cuando aún no se ha iniciado la actividad, pero los plazos no se han vencido</t>
      </text>
    </comment>
  </commentList>
</comments>
</file>

<file path=xl/sharedStrings.xml><?xml version="1.0" encoding="utf-8"?>
<sst xmlns="http://schemas.openxmlformats.org/spreadsheetml/2006/main" count="1969" uniqueCount="581">
  <si>
    <t>PROCESO DE DIRECCIONAMIENTO ESTRATÉGICO</t>
  </si>
  <si>
    <t>MATRIZ DE IDENTIFICACIÓN, ANÁLISIS, VALORACIÓN Y TRATAMIENTO DE RIESGOS</t>
  </si>
  <si>
    <r>
      <rPr>
        <rFont val="Arial"/>
        <b/>
        <i/>
        <sz val="9.0"/>
      </rPr>
      <t>Código:</t>
    </r>
    <r>
      <rPr>
        <rFont val="Arial"/>
        <i/>
        <sz val="9.0"/>
      </rPr>
      <t xml:space="preserve"> FO-DIE-01</t>
    </r>
  </si>
  <si>
    <r>
      <rPr>
        <rFont val="Arial"/>
        <b/>
        <i/>
        <sz val="9.0"/>
      </rPr>
      <t>Versión:</t>
    </r>
    <r>
      <rPr>
        <rFont val="Arial"/>
        <i/>
        <sz val="9.0"/>
      </rPr>
      <t xml:space="preserve"> 04</t>
    </r>
  </si>
  <si>
    <r>
      <rPr>
        <rFont val="Arial"/>
        <b/>
        <i/>
        <sz val="9.0"/>
      </rPr>
      <t>Fecha de aprobación:</t>
    </r>
    <r>
      <rPr>
        <rFont val="Arial"/>
        <i/>
        <sz val="9.0"/>
      </rPr>
      <t xml:space="preserve"> 14/11/2024</t>
    </r>
  </si>
  <si>
    <r>
      <rPr>
        <rFont val="Arial"/>
        <b/>
        <i/>
        <sz val="9.0"/>
      </rPr>
      <t>Página:</t>
    </r>
    <r>
      <rPr>
        <rFont val="Arial"/>
        <i/>
        <sz val="9.0"/>
      </rPr>
      <t xml:space="preserve"> 1 de 1</t>
    </r>
  </si>
  <si>
    <t>Proceso:</t>
  </si>
  <si>
    <t>1. IDENTIFICACIÓN DE RIESGOS</t>
  </si>
  <si>
    <t>1.1. Análisis de contexto de la Universidad y del proceso</t>
  </si>
  <si>
    <t>Realice el análisis de contexto interno y externo de la Universidad y del Proceso, los cuales puede consultar en los siguientes enlaces:</t>
  </si>
  <si>
    <t>Contexto interno y externo del Proceso</t>
  </si>
  <si>
    <t>Análisis contexto de la Universidad</t>
  </si>
  <si>
    <t>1.2. Identificación de riesgos del proceso</t>
  </si>
  <si>
    <t>Área donde se ubica el riesgo</t>
  </si>
  <si>
    <t>Riesgo</t>
  </si>
  <si>
    <t>Causa</t>
  </si>
  <si>
    <t>Clasificación del riesgo</t>
  </si>
  <si>
    <t>Código</t>
  </si>
  <si>
    <t>Consecuencias</t>
  </si>
  <si>
    <t>1.3.  Priorización de causas</t>
  </si>
  <si>
    <t>Tipo de causa</t>
  </si>
  <si>
    <t>Causas</t>
  </si>
  <si>
    <t>Puntuación por participante</t>
  </si>
  <si>
    <t>Promedio</t>
  </si>
  <si>
    <t>Causa Raiz</t>
  </si>
  <si>
    <t>P.1</t>
  </si>
  <si>
    <t>P.2</t>
  </si>
  <si>
    <t>P.3</t>
  </si>
  <si>
    <t>P.4</t>
  </si>
  <si>
    <t>P.5</t>
  </si>
  <si>
    <t>2. VALORACIÓN Y ANÁLISIS DEL RIESGO</t>
  </si>
  <si>
    <t>2.1 Análisis de la Probabilidad</t>
  </si>
  <si>
    <t>Nivel</t>
  </si>
  <si>
    <t>Descriptor</t>
  </si>
  <si>
    <t>Frecuencia de la actividad que puede ocasionar el riesgo</t>
  </si>
  <si>
    <t>Probabilidad</t>
  </si>
  <si>
    <t>Muy baja</t>
  </si>
  <si>
    <t>La actividad que conlleva el riesgo se ejecuta como máximos 2 veces por año</t>
  </si>
  <si>
    <t>Baja</t>
  </si>
  <si>
    <t>La actividad que conlleva el riesgo se ejecuta de 3 a 24 veces por año</t>
  </si>
  <si>
    <t>Media</t>
  </si>
  <si>
    <t>La actividad que conlleva el riesgo se ejecuta de 24 a 500 veces por año</t>
  </si>
  <si>
    <t>Alta</t>
  </si>
  <si>
    <t>La actividad que conlleva el riesgo se ejecuta mínimo 500 veces al año y máximo 5000 veces por año</t>
  </si>
  <si>
    <t>Muy alta</t>
  </si>
  <si>
    <t>La actividad que conlleva el riesgo se ejecuta más de 5000 veces por año</t>
  </si>
  <si>
    <t>2.2 Análisis del Impacto de riesgos diferentes a los de corrupción</t>
  </si>
  <si>
    <t>Impacto (consecuencias) Cuantitativo</t>
  </si>
  <si>
    <t>Impacto (consecuencias) Cualitativo</t>
  </si>
  <si>
    <t>Insignificante - 20%</t>
  </si>
  <si>
    <t>Afectación menor a 10 SMLMV</t>
  </si>
  <si>
    <t>El riesgo afecta la imagen de algún área de la Institución</t>
  </si>
  <si>
    <t>Menor - 40%</t>
  </si>
  <si>
    <t>Entre 10 y 50 SMLMV</t>
  </si>
  <si>
    <t>El riesgo afecta la imagen de la Institución internamente de conocimiento general a nivel interno, de alta dirección o de proveedores</t>
  </si>
  <si>
    <t>Moderado - 60%</t>
  </si>
  <si>
    <t>Entre 50 y 100 SMLMV</t>
  </si>
  <si>
    <t>El riesgo afecta la imagen de la Institución con algunos usuarios de relevancia frente al logro de los objetivos</t>
  </si>
  <si>
    <t>Mayor  - 80%</t>
  </si>
  <si>
    <t>Entre 100 y 500 SMLMV</t>
  </si>
  <si>
    <t>El riesgo afecta la imagen de la Institución con efecto publicitario sostenido a nivel de sector educación, a nivel departamental o municipal</t>
  </si>
  <si>
    <t>Catastrófico - 100%</t>
  </si>
  <si>
    <t>Mayor a 500 SMLMV</t>
  </si>
  <si>
    <t>El riesgo afecta la imagen de la Institución a nivel nacional, con efecto publicitario sostenido a nivel país</t>
  </si>
  <si>
    <t>Impacto del riesgo</t>
  </si>
  <si>
    <t>% de Impacto</t>
  </si>
  <si>
    <t>2.2 Análisis del Impacto de riesgos de corrupción</t>
  </si>
  <si>
    <t>Pregunta</t>
  </si>
  <si>
    <t>Respuesta</t>
  </si>
  <si>
    <t>¿Afectar al grupo de funcionarios del proceso?</t>
  </si>
  <si>
    <t>¿Dar lugar a procesos sancionatorios ?</t>
  </si>
  <si>
    <t>¿Afectar el cumplimiento de metas y objetivos de la dependencia?</t>
  </si>
  <si>
    <t>¿Dar lugar a procesos disciplinarios ?</t>
  </si>
  <si>
    <t>¿Afectar el cumplimiento de misión de la Entidad?</t>
  </si>
  <si>
    <t>¿Dar lugar a procesos fiscales ?</t>
  </si>
  <si>
    <t xml:space="preserve">¿Afectar el cumplimiento de misión del sector al que pertenece la Entidad? </t>
  </si>
  <si>
    <t>¿Dar lugar a procesos penales ?</t>
  </si>
  <si>
    <t>¿Generar pérdida de confianza de la Entidad, afectando su reputación?</t>
  </si>
  <si>
    <t>¿Generar pérdida de credibilidad del sector ?</t>
  </si>
  <si>
    <t>¿Generar pérdida de recursos económicos?</t>
  </si>
  <si>
    <t>¿Ocasionar lesiones físicas o pérdidas de vidas humanas ?</t>
  </si>
  <si>
    <t>¿Afectar la generación de los productos o la prestación de los servicios?</t>
  </si>
  <si>
    <t>¿Afectar la imagen regional ?</t>
  </si>
  <si>
    <t>¿Dar lugar al detrimento de calidad de vida de la comunidad por la pérdida del bien o servicios o los recursos públicos?</t>
  </si>
  <si>
    <t>¿Afectar la imagen nacional ?</t>
  </si>
  <si>
    <t>¿Generar pérdida de información de la entidad ?</t>
  </si>
  <si>
    <t>¿Generar daño ambiental?</t>
  </si>
  <si>
    <t>¿Genera intervención de los órganos de control; de Fiscalía, u otro ente ?</t>
  </si>
  <si>
    <r>
      <rPr>
        <rFont val="Arial"/>
        <b/>
        <sz val="9.0"/>
      </rPr>
      <t>Nota 1:</t>
    </r>
    <r>
      <rPr>
        <rFont val="Arial"/>
        <sz val="9.0"/>
      </rPr>
      <t xml:space="preserve">     Si responde afirmativamente de: </t>
    </r>
    <r>
      <rPr>
        <rFont val="Arial"/>
        <b/>
        <sz val="9.0"/>
        <u/>
      </rPr>
      <t>1 a 5 pregunta(s)</t>
    </r>
    <r>
      <rPr>
        <rFont val="Arial"/>
        <sz val="9.0"/>
      </rPr>
      <t xml:space="preserve"> genera un impacto </t>
    </r>
    <r>
      <rPr>
        <rFont val="Arial"/>
        <b/>
        <sz val="9.0"/>
        <u/>
      </rPr>
      <t xml:space="preserve">Moderado </t>
    </r>
    <r>
      <rPr>
        <rFont val="Arial"/>
        <sz val="9.0"/>
      </rPr>
      <t xml:space="preserve">
                 Si responde afirmativamente de: </t>
    </r>
    <r>
      <rPr>
        <rFont val="Arial"/>
        <b/>
        <sz val="9.0"/>
        <u/>
      </rPr>
      <t>6 a 11 preguntas</t>
    </r>
    <r>
      <rPr>
        <rFont val="Arial"/>
        <sz val="9.0"/>
      </rPr>
      <t xml:space="preserve"> genera un impacto </t>
    </r>
    <r>
      <rPr>
        <rFont val="Arial"/>
        <b/>
        <sz val="9.0"/>
        <u/>
      </rPr>
      <t xml:space="preserve">Mayor </t>
    </r>
    <r>
      <rPr>
        <rFont val="Arial"/>
        <sz val="9.0"/>
      </rPr>
      <t xml:space="preserve">
                 Si responde afirmativamente de: </t>
    </r>
    <r>
      <rPr>
        <rFont val="Arial"/>
        <b/>
        <sz val="9.0"/>
        <u/>
      </rPr>
      <t xml:space="preserve">12 a 19 preguntas </t>
    </r>
    <r>
      <rPr>
        <rFont val="Arial"/>
        <sz val="9.0"/>
      </rPr>
      <t xml:space="preserve">genera un impacto </t>
    </r>
    <r>
      <rPr>
        <rFont val="Arial"/>
        <b/>
        <sz val="9.0"/>
        <u/>
      </rPr>
      <t>Catastrófico</t>
    </r>
    <r>
      <rPr>
        <rFont val="Arial"/>
        <sz val="9.0"/>
      </rPr>
      <t xml:space="preserve">
</t>
    </r>
    <r>
      <rPr>
        <rFont val="Arial"/>
        <b/>
        <sz val="9.0"/>
      </rPr>
      <t>Nota 2:</t>
    </r>
    <r>
      <rPr>
        <rFont val="Arial"/>
        <sz val="9.0"/>
      </rPr>
      <t xml:space="preserve">     Si la respuesta a la pregunta 16 es afirmativa, el riesgo se considera catastrófico.</t>
    </r>
  </si>
  <si>
    <t>Moderado</t>
  </si>
  <si>
    <t>Genera medianas consecuencias sobre la entidad</t>
  </si>
  <si>
    <t>Mayor</t>
  </si>
  <si>
    <t>Genera altas consecuencias sobre la entidad</t>
  </si>
  <si>
    <t>Catastrófico</t>
  </si>
  <si>
    <t>Genera consecuencias desastrosas para la entidad</t>
  </si>
  <si>
    <t>2.3 Evaluación del riesgo</t>
  </si>
  <si>
    <t>Resultado del riesgo inherente  - Antes de controles</t>
  </si>
  <si>
    <t>Extrema</t>
  </si>
  <si>
    <t>Impacto</t>
  </si>
  <si>
    <t>Zona de riesgo</t>
  </si>
  <si>
    <t>Sin clasificar</t>
  </si>
  <si>
    <t>Probabilidad inherente</t>
  </si>
  <si>
    <t>Impacto inherente</t>
  </si>
  <si>
    <t>Insignificante</t>
  </si>
  <si>
    <t>Menor</t>
  </si>
  <si>
    <t>Evaluación de controles de acuerdo a las causas identificadas</t>
  </si>
  <si>
    <t>Causas identificadas</t>
  </si>
  <si>
    <t>Controles existentes</t>
  </si>
  <si>
    <t>Tipo</t>
  </si>
  <si>
    <t>Implementación</t>
  </si>
  <si>
    <t>Documentación</t>
  </si>
  <si>
    <t>Frecuencia</t>
  </si>
  <si>
    <t>Evidencia</t>
  </si>
  <si>
    <t>% por tipo</t>
  </si>
  <si>
    <t>% por implementación</t>
  </si>
  <si>
    <t>Valoración control</t>
  </si>
  <si>
    <t>Probabiliad residual</t>
  </si>
  <si>
    <t>Impacto residual</t>
  </si>
  <si>
    <t>Resultado del riesgo residual - Después de controles</t>
  </si>
  <si>
    <t>Califique los controles</t>
  </si>
  <si>
    <t>Leve</t>
  </si>
  <si>
    <t>2.4  Tratamiento del riesgo</t>
  </si>
  <si>
    <t>Aceptar el riesgo</t>
  </si>
  <si>
    <t>Evitar el riesgo</t>
  </si>
  <si>
    <t>Reducir el riesgo</t>
  </si>
  <si>
    <t>Compartir el riesgo</t>
  </si>
  <si>
    <t>Seleccione la opción de manejo del riesgo</t>
  </si>
  <si>
    <r>
      <rPr>
        <rFont val="Arial"/>
        <sz val="9.0"/>
      </rPr>
      <t xml:space="preserve">No se adopta ninguna medida que afecte la probabilidad o el impacto del riesgo 
</t>
    </r>
    <r>
      <rPr>
        <rFont val="Arial"/>
        <b/>
        <i/>
        <sz val="9.0"/>
      </rPr>
      <t>(Esta opción no aplica para los riesgos de corrupción)</t>
    </r>
    <r>
      <rPr>
        <rFont val="Arial"/>
        <sz val="9.0"/>
      </rPr>
      <t>.</t>
    </r>
  </si>
  <si>
    <t>Se abandona las actividades que dan lugar al riesgo; decidiendo no iniciar o no continuar con la actividad que causa el Riesgo</t>
  </si>
  <si>
    <r>
      <rPr>
        <rFont val="Arial"/>
        <sz val="9.0"/>
      </rPr>
      <t xml:space="preserve">Se adoptan medidas para reducir la </t>
    </r>
    <r>
      <rPr>
        <rFont val="Arial"/>
        <b/>
        <sz val="9.0"/>
        <u/>
      </rPr>
      <t>Probabilidad</t>
    </r>
    <r>
      <rPr>
        <rFont val="Arial"/>
        <sz val="9.0"/>
      </rPr>
      <t xml:space="preserve"> o el </t>
    </r>
    <r>
      <rPr>
        <rFont val="Arial"/>
        <b/>
        <sz val="9.0"/>
        <u/>
      </rPr>
      <t xml:space="preserve">Impacto </t>
    </r>
    <r>
      <rPr>
        <rFont val="Arial"/>
        <sz val="9.0"/>
      </rPr>
      <t>del riesgo, o ambos; por lo general lleva  a la implementación de Controles</t>
    </r>
  </si>
  <si>
    <t>Se reduce la Probabilidad o el Impacto del Riesgo, transfiriendo o compartiendo una parte del riesgo</t>
  </si>
  <si>
    <t>Acciones para el tratamiento del riesgo residual</t>
  </si>
  <si>
    <t>Fecha de ejecución o periodicidad</t>
  </si>
  <si>
    <t>Acciones asociadas al tratamiento</t>
  </si>
  <si>
    <t>Responsable de la ejecución</t>
  </si>
  <si>
    <t>Evidencias</t>
  </si>
  <si>
    <r>
      <rPr>
        <rFont val="Arial"/>
        <b/>
        <sz val="9.0"/>
      </rPr>
      <t xml:space="preserve">Indicador de eficacia
</t>
    </r>
    <r>
      <rPr>
        <rFont val="Arial"/>
        <b val="0"/>
        <i/>
        <sz val="9.0"/>
      </rPr>
      <t>(Fórmula de cálculo del indicador)</t>
    </r>
  </si>
  <si>
    <t>Acciones de contingencia en caso de materializarse el riesgo</t>
  </si>
  <si>
    <t>Acciones a ejecutar</t>
  </si>
  <si>
    <t>Responsable</t>
  </si>
  <si>
    <t>Plazo de ejecución</t>
  </si>
  <si>
    <r>
      <rPr>
        <rFont val="Arial"/>
        <b/>
        <i/>
        <sz val="9.0"/>
      </rPr>
      <t>Código:</t>
    </r>
    <r>
      <rPr>
        <rFont val="Arial"/>
        <i/>
        <sz val="9.0"/>
      </rPr>
      <t xml:space="preserve"> FO-DIE-01</t>
    </r>
  </si>
  <si>
    <r>
      <rPr>
        <rFont val="Arial"/>
        <b/>
        <i/>
        <sz val="9.0"/>
      </rPr>
      <t>Versión:</t>
    </r>
    <r>
      <rPr>
        <rFont val="Arial"/>
        <i/>
        <sz val="9.0"/>
      </rPr>
      <t xml:space="preserve"> 04</t>
    </r>
  </si>
  <si>
    <r>
      <rPr>
        <rFont val="Arial"/>
        <b/>
        <i/>
        <sz val="9.0"/>
      </rPr>
      <t>Fecha de aprobación:</t>
    </r>
    <r>
      <rPr>
        <rFont val="Arial"/>
        <i/>
        <sz val="9.0"/>
      </rPr>
      <t xml:space="preserve"> 14/11/2024</t>
    </r>
  </si>
  <si>
    <r>
      <rPr>
        <rFont val="Arial"/>
        <b/>
        <i/>
        <sz val="9.0"/>
      </rPr>
      <t>Página:</t>
    </r>
    <r>
      <rPr>
        <rFont val="Arial"/>
        <i/>
        <sz val="9.0"/>
      </rPr>
      <t xml:space="preserve"> 1 de 1</t>
    </r>
  </si>
  <si>
    <r>
      <rPr>
        <rFont val="Arial"/>
        <b/>
        <sz val="9.0"/>
      </rPr>
      <t>Nota 1:</t>
    </r>
    <r>
      <rPr>
        <rFont val="Arial"/>
        <sz val="9.0"/>
      </rPr>
      <t xml:space="preserve">     Si responde afirmativamente de: </t>
    </r>
    <r>
      <rPr>
        <rFont val="Arial"/>
        <b/>
        <sz val="9.0"/>
        <u/>
      </rPr>
      <t>1 a 5 pregunta(s)</t>
    </r>
    <r>
      <rPr>
        <rFont val="Arial"/>
        <sz val="9.0"/>
      </rPr>
      <t xml:space="preserve"> genera un impacto </t>
    </r>
    <r>
      <rPr>
        <rFont val="Arial"/>
        <b/>
        <sz val="9.0"/>
        <u/>
      </rPr>
      <t xml:space="preserve">Moderado </t>
    </r>
    <r>
      <rPr>
        <rFont val="Arial"/>
        <sz val="9.0"/>
      </rPr>
      <t xml:space="preserve">
                 Si responde afirmativamente de: </t>
    </r>
    <r>
      <rPr>
        <rFont val="Arial"/>
        <b/>
        <sz val="9.0"/>
        <u/>
      </rPr>
      <t>6 a 11 preguntas</t>
    </r>
    <r>
      <rPr>
        <rFont val="Arial"/>
        <sz val="9.0"/>
      </rPr>
      <t xml:space="preserve"> genera un impacto </t>
    </r>
    <r>
      <rPr>
        <rFont val="Arial"/>
        <b/>
        <sz val="9.0"/>
        <u/>
      </rPr>
      <t xml:space="preserve">Mayor </t>
    </r>
    <r>
      <rPr>
        <rFont val="Arial"/>
        <sz val="9.0"/>
      </rPr>
      <t xml:space="preserve">
                 Si responde afirmativamente de: </t>
    </r>
    <r>
      <rPr>
        <rFont val="Arial"/>
        <b/>
        <sz val="9.0"/>
        <u/>
      </rPr>
      <t xml:space="preserve">12 a 19 preguntas </t>
    </r>
    <r>
      <rPr>
        <rFont val="Arial"/>
        <sz val="9.0"/>
      </rPr>
      <t xml:space="preserve">genera un impacto </t>
    </r>
    <r>
      <rPr>
        <rFont val="Arial"/>
        <b/>
        <sz val="9.0"/>
        <u/>
      </rPr>
      <t>Catastrófico</t>
    </r>
    <r>
      <rPr>
        <rFont val="Arial"/>
        <sz val="9.0"/>
      </rPr>
      <t xml:space="preserve">
</t>
    </r>
    <r>
      <rPr>
        <rFont val="Arial"/>
        <b/>
        <sz val="9.0"/>
      </rPr>
      <t>Nota 2:</t>
    </r>
    <r>
      <rPr>
        <rFont val="Arial"/>
        <sz val="9.0"/>
      </rPr>
      <t xml:space="preserve">     Si la respuesta a la pregunta 16 es afirmativa, el riesgo se considera catastrófico.</t>
    </r>
  </si>
  <si>
    <r>
      <rPr>
        <rFont val="Arial"/>
        <sz val="9.0"/>
      </rPr>
      <t xml:space="preserve">No se adopta ninguna medida que afecte la probabilidad o el impacto del riesgo 
</t>
    </r>
    <r>
      <rPr>
        <rFont val="Arial"/>
        <b/>
        <i/>
        <sz val="9.0"/>
      </rPr>
      <t>(Esta opción no aplica para los riesgos de corrupción)</t>
    </r>
    <r>
      <rPr>
        <rFont val="Arial"/>
        <sz val="9.0"/>
      </rPr>
      <t>.</t>
    </r>
  </si>
  <si>
    <r>
      <rPr>
        <rFont val="Arial"/>
        <sz val="9.0"/>
      </rPr>
      <t xml:space="preserve">Se adoptan medidas para reducir la </t>
    </r>
    <r>
      <rPr>
        <rFont val="Arial"/>
        <b/>
        <sz val="9.0"/>
        <u/>
      </rPr>
      <t>Probabilidad</t>
    </r>
    <r>
      <rPr>
        <rFont val="Arial"/>
        <sz val="9.0"/>
      </rPr>
      <t xml:space="preserve"> o el </t>
    </r>
    <r>
      <rPr>
        <rFont val="Arial"/>
        <b/>
        <sz val="9.0"/>
        <u/>
      </rPr>
      <t xml:space="preserve">Impacto </t>
    </r>
    <r>
      <rPr>
        <rFont val="Arial"/>
        <sz val="9.0"/>
      </rPr>
      <t>del riesgo, o ambos; por lo general lleva  a la implementación de Controles</t>
    </r>
  </si>
  <si>
    <r>
      <rPr>
        <rFont val="Arial"/>
        <b/>
        <sz val="9.0"/>
      </rPr>
      <t xml:space="preserve">Indicador de eficacia
</t>
    </r>
    <r>
      <rPr>
        <rFont val="Arial"/>
        <b val="0"/>
        <i/>
        <sz val="9.0"/>
      </rPr>
      <t>(Fórmula de cálculo del indicador)</t>
    </r>
  </si>
  <si>
    <r>
      <rPr>
        <rFont val="Arial"/>
        <b/>
        <i/>
        <sz val="9.0"/>
      </rPr>
      <t>Código:</t>
    </r>
    <r>
      <rPr>
        <rFont val="Arial"/>
        <i/>
        <sz val="9.0"/>
      </rPr>
      <t xml:space="preserve"> FO-DIE-01</t>
    </r>
  </si>
  <si>
    <r>
      <rPr>
        <rFont val="Arial"/>
        <b/>
        <i/>
        <sz val="9.0"/>
      </rPr>
      <t>Versión:</t>
    </r>
    <r>
      <rPr>
        <rFont val="Arial"/>
        <i/>
        <sz val="9.0"/>
      </rPr>
      <t xml:space="preserve"> 04</t>
    </r>
  </si>
  <si>
    <r>
      <rPr>
        <rFont val="Arial"/>
        <b/>
        <i/>
        <sz val="9.0"/>
      </rPr>
      <t>Fecha de aprobación:</t>
    </r>
    <r>
      <rPr>
        <rFont val="Arial"/>
        <i/>
        <sz val="9.0"/>
      </rPr>
      <t xml:space="preserve"> 14/11/2024</t>
    </r>
  </si>
  <si>
    <r>
      <rPr>
        <rFont val="Arial"/>
        <b/>
        <i/>
        <sz val="9.0"/>
      </rPr>
      <t>Página:</t>
    </r>
    <r>
      <rPr>
        <rFont val="Arial"/>
        <i/>
        <sz val="9.0"/>
      </rPr>
      <t xml:space="preserve"> 1 de 1</t>
    </r>
  </si>
  <si>
    <r>
      <rPr>
        <rFont val="Arial"/>
        <b/>
        <sz val="9.0"/>
      </rPr>
      <t>Nota 1:</t>
    </r>
    <r>
      <rPr>
        <rFont val="Arial"/>
        <sz val="9.0"/>
      </rPr>
      <t xml:space="preserve">     Si responde afirmativamente de: </t>
    </r>
    <r>
      <rPr>
        <rFont val="Arial"/>
        <b/>
        <sz val="9.0"/>
        <u/>
      </rPr>
      <t>1 a 5 pregunta(s)</t>
    </r>
    <r>
      <rPr>
        <rFont val="Arial"/>
        <sz val="9.0"/>
      </rPr>
      <t xml:space="preserve"> genera un impacto </t>
    </r>
    <r>
      <rPr>
        <rFont val="Arial"/>
        <b/>
        <sz val="9.0"/>
        <u/>
      </rPr>
      <t xml:space="preserve">Moderado </t>
    </r>
    <r>
      <rPr>
        <rFont val="Arial"/>
        <sz val="9.0"/>
      </rPr>
      <t xml:space="preserve">
                 Si responde afirmativamente de: </t>
    </r>
    <r>
      <rPr>
        <rFont val="Arial"/>
        <b/>
        <sz val="9.0"/>
        <u/>
      </rPr>
      <t>6 a 11 preguntas</t>
    </r>
    <r>
      <rPr>
        <rFont val="Arial"/>
        <sz val="9.0"/>
      </rPr>
      <t xml:space="preserve"> genera un impacto </t>
    </r>
    <r>
      <rPr>
        <rFont val="Arial"/>
        <b/>
        <sz val="9.0"/>
        <u/>
      </rPr>
      <t xml:space="preserve">Mayor </t>
    </r>
    <r>
      <rPr>
        <rFont val="Arial"/>
        <sz val="9.0"/>
      </rPr>
      <t xml:space="preserve">
                 Si responde afirmativamente de: </t>
    </r>
    <r>
      <rPr>
        <rFont val="Arial"/>
        <b/>
        <sz val="9.0"/>
        <u/>
      </rPr>
      <t xml:space="preserve">12 a 19 preguntas </t>
    </r>
    <r>
      <rPr>
        <rFont val="Arial"/>
        <sz val="9.0"/>
      </rPr>
      <t xml:space="preserve">genera un impacto </t>
    </r>
    <r>
      <rPr>
        <rFont val="Arial"/>
        <b/>
        <sz val="9.0"/>
        <u/>
      </rPr>
      <t>Catastrófico</t>
    </r>
    <r>
      <rPr>
        <rFont val="Arial"/>
        <sz val="9.0"/>
      </rPr>
      <t xml:space="preserve">
</t>
    </r>
    <r>
      <rPr>
        <rFont val="Arial"/>
        <b/>
        <sz val="9.0"/>
      </rPr>
      <t>Nota 2:</t>
    </r>
    <r>
      <rPr>
        <rFont val="Arial"/>
        <sz val="9.0"/>
      </rPr>
      <t xml:space="preserve">     Si la respuesta a la pregunta 16 es afirmativa, el riesgo se considera catastrófico.</t>
    </r>
  </si>
  <si>
    <r>
      <rPr>
        <rFont val="Arial"/>
        <sz val="9.0"/>
      </rPr>
      <t xml:space="preserve">No se adopta ninguna medida que afecte la probabilidad o el impacto del riesgo 
</t>
    </r>
    <r>
      <rPr>
        <rFont val="Arial"/>
        <b/>
        <i/>
        <sz val="9.0"/>
      </rPr>
      <t>(Esta opción no aplica para los riesgos de corrupción)</t>
    </r>
    <r>
      <rPr>
        <rFont val="Arial"/>
        <sz val="9.0"/>
      </rPr>
      <t>.</t>
    </r>
  </si>
  <si>
    <r>
      <rPr>
        <rFont val="Arial"/>
        <sz val="9.0"/>
      </rPr>
      <t xml:space="preserve">Se adoptan medidas para reducir la </t>
    </r>
    <r>
      <rPr>
        <rFont val="Arial"/>
        <b/>
        <sz val="9.0"/>
        <u/>
      </rPr>
      <t>Probabilidad</t>
    </r>
    <r>
      <rPr>
        <rFont val="Arial"/>
        <sz val="9.0"/>
      </rPr>
      <t xml:space="preserve"> o el </t>
    </r>
    <r>
      <rPr>
        <rFont val="Arial"/>
        <b/>
        <sz val="9.0"/>
        <u/>
      </rPr>
      <t xml:space="preserve">Impacto </t>
    </r>
    <r>
      <rPr>
        <rFont val="Arial"/>
        <sz val="9.0"/>
      </rPr>
      <t>del riesgo, o ambos; por lo general lleva  a la implementación de Controles</t>
    </r>
  </si>
  <si>
    <r>
      <rPr>
        <rFont val="Arial"/>
        <b/>
        <sz val="9.0"/>
      </rPr>
      <t xml:space="preserve">Indicador de eficacia
</t>
    </r>
    <r>
      <rPr>
        <rFont val="Arial"/>
        <b val="0"/>
        <i/>
        <sz val="9.0"/>
      </rPr>
      <t>(Fórmula de cálculo del indicador)</t>
    </r>
  </si>
  <si>
    <r>
      <rPr>
        <rFont val="Arial"/>
        <b/>
        <i/>
        <sz val="9.0"/>
      </rPr>
      <t>Código:</t>
    </r>
    <r>
      <rPr>
        <rFont val="Arial"/>
        <i/>
        <sz val="9.0"/>
      </rPr>
      <t xml:space="preserve"> FO-DIE-01</t>
    </r>
  </si>
  <si>
    <r>
      <rPr>
        <rFont val="Arial"/>
        <b/>
        <i/>
        <sz val="9.0"/>
      </rPr>
      <t>Versión:</t>
    </r>
    <r>
      <rPr>
        <rFont val="Arial"/>
        <i/>
        <sz val="9.0"/>
      </rPr>
      <t xml:space="preserve"> 04</t>
    </r>
  </si>
  <si>
    <r>
      <rPr>
        <rFont val="Arial"/>
        <b/>
        <i/>
        <sz val="9.0"/>
      </rPr>
      <t>Fecha de aprobación:</t>
    </r>
    <r>
      <rPr>
        <rFont val="Arial"/>
        <i/>
        <sz val="9.0"/>
      </rPr>
      <t xml:space="preserve"> 14/11/2024</t>
    </r>
  </si>
  <si>
    <r>
      <rPr>
        <rFont val="Arial"/>
        <b/>
        <i/>
        <sz val="9.0"/>
      </rPr>
      <t>Página:</t>
    </r>
    <r>
      <rPr>
        <rFont val="Arial"/>
        <i/>
        <sz val="9.0"/>
      </rPr>
      <t xml:space="preserve"> 1 de 1</t>
    </r>
  </si>
  <si>
    <r>
      <rPr>
        <rFont val="Arial"/>
        <b/>
        <sz val="9.0"/>
      </rPr>
      <t>Nota 1:</t>
    </r>
    <r>
      <rPr>
        <rFont val="Arial"/>
        <sz val="9.0"/>
      </rPr>
      <t xml:space="preserve">     Si responde afirmativamente de: </t>
    </r>
    <r>
      <rPr>
        <rFont val="Arial"/>
        <b/>
        <sz val="9.0"/>
        <u/>
      </rPr>
      <t>1 a 5 pregunta(s)</t>
    </r>
    <r>
      <rPr>
        <rFont val="Arial"/>
        <sz val="9.0"/>
      </rPr>
      <t xml:space="preserve"> genera un impacto </t>
    </r>
    <r>
      <rPr>
        <rFont val="Arial"/>
        <b/>
        <sz val="9.0"/>
        <u/>
      </rPr>
      <t xml:space="preserve">Moderado </t>
    </r>
    <r>
      <rPr>
        <rFont val="Arial"/>
        <sz val="9.0"/>
      </rPr>
      <t xml:space="preserve">
                 Si responde afirmativamente de: </t>
    </r>
    <r>
      <rPr>
        <rFont val="Arial"/>
        <b/>
        <sz val="9.0"/>
        <u/>
      </rPr>
      <t>6 a 11 preguntas</t>
    </r>
    <r>
      <rPr>
        <rFont val="Arial"/>
        <sz val="9.0"/>
      </rPr>
      <t xml:space="preserve"> genera un impacto </t>
    </r>
    <r>
      <rPr>
        <rFont val="Arial"/>
        <b/>
        <sz val="9.0"/>
        <u/>
      </rPr>
      <t xml:space="preserve">Mayor </t>
    </r>
    <r>
      <rPr>
        <rFont val="Arial"/>
        <sz val="9.0"/>
      </rPr>
      <t xml:space="preserve">
                 Si responde afirmativamente de: </t>
    </r>
    <r>
      <rPr>
        <rFont val="Arial"/>
        <b/>
        <sz val="9.0"/>
        <u/>
      </rPr>
      <t xml:space="preserve">12 a 19 preguntas </t>
    </r>
    <r>
      <rPr>
        <rFont val="Arial"/>
        <sz val="9.0"/>
      </rPr>
      <t xml:space="preserve">genera un impacto </t>
    </r>
    <r>
      <rPr>
        <rFont val="Arial"/>
        <b/>
        <sz val="9.0"/>
        <u/>
      </rPr>
      <t>Catastrófico</t>
    </r>
    <r>
      <rPr>
        <rFont val="Arial"/>
        <sz val="9.0"/>
      </rPr>
      <t xml:space="preserve">
</t>
    </r>
    <r>
      <rPr>
        <rFont val="Arial"/>
        <b/>
        <sz val="9.0"/>
      </rPr>
      <t>Nota 2:</t>
    </r>
    <r>
      <rPr>
        <rFont val="Arial"/>
        <sz val="9.0"/>
      </rPr>
      <t xml:space="preserve">     Si la respuesta a la pregunta 16 es afirmativa, el riesgo se considera catastrófico.</t>
    </r>
  </si>
  <si>
    <r>
      <rPr>
        <rFont val="Arial"/>
        <sz val="9.0"/>
      </rPr>
      <t xml:space="preserve">No se adopta ninguna medida que afecte la probabilidad o el impacto del riesgo 
</t>
    </r>
    <r>
      <rPr>
        <rFont val="Arial"/>
        <b/>
        <i/>
        <sz val="9.0"/>
      </rPr>
      <t>(Esta opción no aplica para los riesgos de corrupción)</t>
    </r>
    <r>
      <rPr>
        <rFont val="Arial"/>
        <sz val="9.0"/>
      </rPr>
      <t>.</t>
    </r>
  </si>
  <si>
    <r>
      <rPr>
        <rFont val="Arial"/>
        <sz val="9.0"/>
      </rPr>
      <t xml:space="preserve">Se adoptan medidas para reducir la </t>
    </r>
    <r>
      <rPr>
        <rFont val="Arial"/>
        <b/>
        <sz val="9.0"/>
        <u/>
      </rPr>
      <t>Probabilidad</t>
    </r>
    <r>
      <rPr>
        <rFont val="Arial"/>
        <sz val="9.0"/>
      </rPr>
      <t xml:space="preserve"> o el </t>
    </r>
    <r>
      <rPr>
        <rFont val="Arial"/>
        <b/>
        <sz val="9.0"/>
        <u/>
      </rPr>
      <t xml:space="preserve">Impacto </t>
    </r>
    <r>
      <rPr>
        <rFont val="Arial"/>
        <sz val="9.0"/>
      </rPr>
      <t>del riesgo, o ambos; por lo general lleva  a la implementación de Controles</t>
    </r>
  </si>
  <si>
    <r>
      <rPr>
        <rFont val="Arial"/>
        <b/>
        <sz val="9.0"/>
      </rPr>
      <t xml:space="preserve">Indicador de eficacia
</t>
    </r>
    <r>
      <rPr>
        <rFont val="Arial"/>
        <b val="0"/>
        <i/>
        <sz val="9.0"/>
      </rPr>
      <t>(Fórmula de cálculo del indicador)</t>
    </r>
  </si>
  <si>
    <r>
      <rPr>
        <rFont val="Arial"/>
        <b/>
        <i/>
        <sz val="9.0"/>
      </rPr>
      <t>Código:</t>
    </r>
    <r>
      <rPr>
        <rFont val="Arial"/>
        <i/>
        <sz val="9.0"/>
      </rPr>
      <t xml:space="preserve"> FO-DIE-01</t>
    </r>
  </si>
  <si>
    <r>
      <rPr>
        <rFont val="Arial"/>
        <b/>
        <i/>
        <sz val="9.0"/>
      </rPr>
      <t>Versión:</t>
    </r>
    <r>
      <rPr>
        <rFont val="Arial"/>
        <i/>
        <sz val="9.0"/>
      </rPr>
      <t xml:space="preserve"> 04</t>
    </r>
  </si>
  <si>
    <r>
      <rPr>
        <rFont val="Arial"/>
        <b/>
        <i/>
        <sz val="9.0"/>
      </rPr>
      <t>Fecha de aprobación:</t>
    </r>
    <r>
      <rPr>
        <rFont val="Arial"/>
        <i/>
        <sz val="9.0"/>
      </rPr>
      <t xml:space="preserve"> 14/11/2024</t>
    </r>
  </si>
  <si>
    <r>
      <rPr>
        <rFont val="Arial"/>
        <b/>
        <i/>
        <sz val="9.0"/>
      </rPr>
      <t>Página:</t>
    </r>
    <r>
      <rPr>
        <rFont val="Arial"/>
        <i/>
        <sz val="9.0"/>
      </rPr>
      <t xml:space="preserve"> 1 de 1</t>
    </r>
  </si>
  <si>
    <r>
      <rPr>
        <rFont val="Arial"/>
        <b/>
        <sz val="9.0"/>
      </rPr>
      <t>Nota 1:</t>
    </r>
    <r>
      <rPr>
        <rFont val="Arial"/>
        <sz val="9.0"/>
      </rPr>
      <t xml:space="preserve">     Si responde afirmativamente de: </t>
    </r>
    <r>
      <rPr>
        <rFont val="Arial"/>
        <b/>
        <sz val="9.0"/>
        <u/>
      </rPr>
      <t>1 a 5 pregunta(s)</t>
    </r>
    <r>
      <rPr>
        <rFont val="Arial"/>
        <sz val="9.0"/>
      </rPr>
      <t xml:space="preserve"> genera un impacto </t>
    </r>
    <r>
      <rPr>
        <rFont val="Arial"/>
        <b/>
        <sz val="9.0"/>
        <u/>
      </rPr>
      <t xml:space="preserve">Moderado </t>
    </r>
    <r>
      <rPr>
        <rFont val="Arial"/>
        <sz val="9.0"/>
      </rPr>
      <t xml:space="preserve">
                 Si responde afirmativamente de: </t>
    </r>
    <r>
      <rPr>
        <rFont val="Arial"/>
        <b/>
        <sz val="9.0"/>
        <u/>
      </rPr>
      <t>6 a 11 preguntas</t>
    </r>
    <r>
      <rPr>
        <rFont val="Arial"/>
        <sz val="9.0"/>
      </rPr>
      <t xml:space="preserve"> genera un impacto </t>
    </r>
    <r>
      <rPr>
        <rFont val="Arial"/>
        <b/>
        <sz val="9.0"/>
        <u/>
      </rPr>
      <t xml:space="preserve">Mayor </t>
    </r>
    <r>
      <rPr>
        <rFont val="Arial"/>
        <sz val="9.0"/>
      </rPr>
      <t xml:space="preserve">
                 Si responde afirmativamente de: </t>
    </r>
    <r>
      <rPr>
        <rFont val="Arial"/>
        <b/>
        <sz val="9.0"/>
        <u/>
      </rPr>
      <t xml:space="preserve">12 a 19 preguntas </t>
    </r>
    <r>
      <rPr>
        <rFont val="Arial"/>
        <sz val="9.0"/>
      </rPr>
      <t xml:space="preserve">genera un impacto </t>
    </r>
    <r>
      <rPr>
        <rFont val="Arial"/>
        <b/>
        <sz val="9.0"/>
        <u/>
      </rPr>
      <t>Catastrófico</t>
    </r>
    <r>
      <rPr>
        <rFont val="Arial"/>
        <sz val="9.0"/>
      </rPr>
      <t xml:space="preserve">
</t>
    </r>
    <r>
      <rPr>
        <rFont val="Arial"/>
        <b/>
        <sz val="9.0"/>
      </rPr>
      <t>Nota 2:</t>
    </r>
    <r>
      <rPr>
        <rFont val="Arial"/>
        <sz val="9.0"/>
      </rPr>
      <t xml:space="preserve">     Si la respuesta a la pregunta 16 es afirmativa, el riesgo se considera catastrófico.</t>
    </r>
  </si>
  <si>
    <r>
      <rPr>
        <rFont val="Arial"/>
        <sz val="9.0"/>
      </rPr>
      <t xml:space="preserve">No se adopta ninguna medida que afecte la probabilidad o el impacto del riesgo 
</t>
    </r>
    <r>
      <rPr>
        <rFont val="Arial"/>
        <b/>
        <i/>
        <sz val="9.0"/>
      </rPr>
      <t>(Esta opción no aplica para los riesgos de corrupción)</t>
    </r>
    <r>
      <rPr>
        <rFont val="Arial"/>
        <sz val="9.0"/>
      </rPr>
      <t>.</t>
    </r>
  </si>
  <si>
    <r>
      <rPr>
        <rFont val="Arial"/>
        <sz val="9.0"/>
      </rPr>
      <t xml:space="preserve">Se adoptan medidas para reducir la </t>
    </r>
    <r>
      <rPr>
        <rFont val="Arial"/>
        <b/>
        <sz val="9.0"/>
        <u/>
      </rPr>
      <t>Probabilidad</t>
    </r>
    <r>
      <rPr>
        <rFont val="Arial"/>
        <sz val="9.0"/>
      </rPr>
      <t xml:space="preserve"> o el </t>
    </r>
    <r>
      <rPr>
        <rFont val="Arial"/>
        <b/>
        <sz val="9.0"/>
        <u/>
      </rPr>
      <t xml:space="preserve">Impacto </t>
    </r>
    <r>
      <rPr>
        <rFont val="Arial"/>
        <sz val="9.0"/>
      </rPr>
      <t>del riesgo, o ambos; por lo general lleva  a la implementación de Controles</t>
    </r>
  </si>
  <si>
    <r>
      <rPr>
        <rFont val="Arial"/>
        <b/>
        <sz val="9.0"/>
      </rPr>
      <t xml:space="preserve">Indicador de eficacia
</t>
    </r>
    <r>
      <rPr>
        <rFont val="Arial"/>
        <b val="0"/>
        <i/>
        <sz val="9.0"/>
      </rPr>
      <t>(Fórmula de cálculo del indicador)</t>
    </r>
  </si>
  <si>
    <t>PROCESO DE DIRECCIONAMIENTO ESTRATÉTICO</t>
  </si>
  <si>
    <r>
      <rPr>
        <rFont val="Arial"/>
        <b/>
        <i/>
        <sz val="10.0"/>
      </rPr>
      <t>Código:</t>
    </r>
    <r>
      <rPr>
        <rFont val="Arial"/>
        <b val="0"/>
        <i/>
        <sz val="10.0"/>
      </rPr>
      <t xml:space="preserve"> FO-DIE-01</t>
    </r>
  </si>
  <si>
    <r>
      <rPr>
        <rFont val="Arial"/>
        <b/>
        <i/>
        <sz val="10.0"/>
      </rPr>
      <t xml:space="preserve">Versión: </t>
    </r>
    <r>
      <rPr>
        <rFont val="Arial"/>
        <b val="0"/>
        <i/>
        <sz val="10.0"/>
      </rPr>
      <t>04</t>
    </r>
  </si>
  <si>
    <r>
      <rPr>
        <rFont val="Arial"/>
        <b/>
        <i/>
        <sz val="10.0"/>
      </rPr>
      <t>Fecha de aprobación:</t>
    </r>
    <r>
      <rPr>
        <rFont val="Arial"/>
        <b val="0"/>
        <i/>
        <sz val="10.0"/>
      </rPr>
      <t xml:space="preserve"> 14/11/2024</t>
    </r>
  </si>
  <si>
    <r>
      <rPr>
        <rFont val="Arial"/>
        <b/>
        <i/>
        <sz val="10.0"/>
      </rPr>
      <t>Página:</t>
    </r>
    <r>
      <rPr>
        <rFont val="Arial"/>
        <i/>
        <sz val="10.0"/>
      </rPr>
      <t xml:space="preserve"> 3 de 3</t>
    </r>
  </si>
  <si>
    <t>1. IDENTIFICACIÓN DEL RIESGO</t>
  </si>
  <si>
    <t>3. MONITOREO DEL RIESGO</t>
  </si>
  <si>
    <t>4. EVALUACIÓN Y SEGUIMIENTO</t>
  </si>
  <si>
    <t>Descripción del riesgo</t>
  </si>
  <si>
    <r>
      <rPr>
        <rFont val="Arial"/>
        <b/>
        <sz val="10.0"/>
      </rPr>
      <t xml:space="preserve">Análisis del riesgo inherente 
</t>
    </r>
    <r>
      <rPr>
        <rFont val="Arial"/>
        <b val="0"/>
        <i/>
        <sz val="10.0"/>
      </rPr>
      <t>(Antes de los controles)</t>
    </r>
  </si>
  <si>
    <t>Evaluación de los controles existentes</t>
  </si>
  <si>
    <r>
      <rPr>
        <rFont val="Arial"/>
        <b/>
        <sz val="10.0"/>
      </rPr>
      <t xml:space="preserve">Evaluación del riesgo residual 
</t>
    </r>
    <r>
      <rPr>
        <rFont val="Arial"/>
        <b val="0"/>
        <i/>
        <sz val="10.0"/>
      </rPr>
      <t>(Después de los controles)</t>
    </r>
  </si>
  <si>
    <t>Tratamiento del Riesgo</t>
  </si>
  <si>
    <r>
      <rPr>
        <rFont val="Arial"/>
        <b/>
        <sz val="11.0"/>
      </rPr>
      <t xml:space="preserve">MONITOREO A LOS CONTROLES Y ACCIONES DE TRATAMIENTO
</t>
    </r>
    <r>
      <rPr>
        <rFont val="Arial"/>
        <b val="0"/>
        <i/>
        <sz val="9.0"/>
      </rPr>
      <t>(1ra línea de defensa - Líder de proceso)</t>
    </r>
  </si>
  <si>
    <r>
      <rPr>
        <rFont val="Arial"/>
        <b/>
        <sz val="11.0"/>
      </rPr>
      <t xml:space="preserve">MONITOREO POR PARTE DE LA OFICINA DE PLANEACIÓN
</t>
    </r>
    <r>
      <rPr>
        <rFont val="Arial"/>
        <b val="0"/>
        <i/>
        <sz val="9.0"/>
      </rPr>
      <t xml:space="preserve">(2da línea de defensa - Oficina de Planeación)
</t>
    </r>
    <r>
      <rPr>
        <rFont val="Arial"/>
        <b val="0"/>
        <i/>
        <sz val="8.0"/>
      </rPr>
      <t>En este espacio, la segunda línea de defensa  verifica que el riesgo está identificado adecuadamente conforme la metodología aplicada, que los controles están diseñados adecuadamente y enfocados hacia las causas, y que la ejecución de los controles están siendo efectivos en la mitigación del riesgo.</t>
    </r>
  </si>
  <si>
    <r>
      <rPr>
        <rFont val="Arial"/>
        <b/>
      </rPr>
      <t xml:space="preserve"> EVALUACIÓN DE LA GESTIÓN DEL RIESGO 
</t>
    </r>
    <r>
      <rPr>
        <rFont val="Arial"/>
        <b val="0"/>
        <i/>
        <sz val="9.0"/>
      </rPr>
      <t>(3ra línea de defensa - Control Interno)</t>
    </r>
  </si>
  <si>
    <t>Acciones de contingencia en caso de  materialización del riesgo</t>
  </si>
  <si>
    <t>Proceso</t>
  </si>
  <si>
    <t xml:space="preserve">Objetivo del proceso </t>
  </si>
  <si>
    <t>Tipo de Riesgo</t>
  </si>
  <si>
    <t>Causas del riesgo</t>
  </si>
  <si>
    <t>Consecuencias de la materialización del riesgo</t>
  </si>
  <si>
    <t>Zona de 
riesgo</t>
  </si>
  <si>
    <t>Controles</t>
  </si>
  <si>
    <t>Opción de Manejo</t>
  </si>
  <si>
    <t>Acción de mejora o de control propuesta</t>
  </si>
  <si>
    <t>Acción a ejecutar</t>
  </si>
  <si>
    <t>Corte de monitoreo</t>
  </si>
  <si>
    <t xml:space="preserve">Fecha de ejecución de la acción </t>
  </si>
  <si>
    <r>
      <rPr>
        <rFont val="Arial"/>
        <b/>
      </rPr>
      <t xml:space="preserve">Acciones realizadas
</t>
    </r>
    <r>
      <rPr>
        <rFont val="Arial"/>
        <b val="0"/>
        <i/>
        <sz val="9.0"/>
      </rPr>
      <t>(En esta celda, registre el resultado de la aplicación de los controles y de las acciones asociadas al tratamiento, así mismo, indique si se materializó o no el riesgo, y las acciones realizadas en caso de materialización)</t>
    </r>
  </si>
  <si>
    <r>
      <rPr>
        <rFont val="Arial"/>
        <b/>
      </rPr>
      <t xml:space="preserve">Evidencia
</t>
    </r>
    <r>
      <rPr>
        <rFont val="Arial"/>
        <b val="0"/>
        <i/>
        <sz val="9.0"/>
      </rPr>
      <t>(Adjunte la evidencia en la carpeta)</t>
    </r>
  </si>
  <si>
    <t>Corte de evaluación</t>
  </si>
  <si>
    <t>¿Se analizaron los controles?</t>
  </si>
  <si>
    <t>¿Los controles previenen  o detectan  las causas, son  confiables para la mitigación del riesgo?</t>
  </si>
  <si>
    <t>¿Los controles cuentan con responsables para ejercer la actividad?</t>
  </si>
  <si>
    <t>¿Los controles son  oportunos para la mitigación del riesgo?</t>
  </si>
  <si>
    <t>¿Se cuenta con evidencias del control?</t>
  </si>
  <si>
    <t>¿Se enunciaron acciones de mejora?</t>
  </si>
  <si>
    <t>¿Mejoraron los controles?</t>
  </si>
  <si>
    <t>¿Se activaron alertas tempranas para evitar la materialización de un riesgo de corrupción?</t>
  </si>
  <si>
    <t>¿Se implementaron correctivos  por la materialización de un riesgo de corrupción?</t>
  </si>
  <si>
    <t>¿Cuántas alertas se convirtieron en denuncias por casos de corrupción?</t>
  </si>
  <si>
    <t>Observaciones</t>
  </si>
  <si>
    <t>Eficacia</t>
  </si>
  <si>
    <t>Estado</t>
  </si>
  <si>
    <t>Direccionamiento Estratégico</t>
  </si>
  <si>
    <t>Comunicación Institucional</t>
  </si>
  <si>
    <t>Gestión de la Calidad</t>
  </si>
  <si>
    <t>Gestión de Internacionalización</t>
  </si>
  <si>
    <t>Docencia</t>
  </si>
  <si>
    <t>Investigación</t>
  </si>
  <si>
    <t>Proyección Social</t>
  </si>
  <si>
    <t>Bienestar Institucional</t>
  </si>
  <si>
    <t>Gestión Financiera</t>
  </si>
  <si>
    <t>Gestión de Bienes y Servicios</t>
  </si>
  <si>
    <t>Gestión de Apoyo a la Academia</t>
  </si>
  <si>
    <t>Gestión de TIC</t>
  </si>
  <si>
    <t xml:space="preserve">Gestión Documental </t>
  </si>
  <si>
    <t>Gestión Jurídica</t>
  </si>
  <si>
    <t>Gestión de Talento Humano</t>
  </si>
  <si>
    <t>Evaluación, Control y Seguimiento Institucional</t>
  </si>
  <si>
    <t>Autoevaluación Institucional</t>
  </si>
  <si>
    <t>DIE</t>
  </si>
  <si>
    <t>COM</t>
  </si>
  <si>
    <t>GCL</t>
  </si>
  <si>
    <t>DOC</t>
  </si>
  <si>
    <t>INV</t>
  </si>
  <si>
    <t>PSO</t>
  </si>
  <si>
    <t>BIN</t>
  </si>
  <si>
    <t>JUR</t>
  </si>
  <si>
    <t>GTH</t>
  </si>
  <si>
    <t>FIN</t>
  </si>
  <si>
    <t>GIT</t>
  </si>
  <si>
    <t>GBS</t>
  </si>
  <si>
    <t>GDO</t>
  </si>
  <si>
    <t>GRT</t>
  </si>
  <si>
    <t>GAA</t>
  </si>
  <si>
    <t>ECS</t>
  </si>
  <si>
    <t>AEI</t>
  </si>
  <si>
    <t>DEPENDENCIAS POR PROCESO</t>
  </si>
  <si>
    <t>INT</t>
  </si>
  <si>
    <t>GAP</t>
  </si>
  <si>
    <t>OPCIONES CONTROLES</t>
  </si>
  <si>
    <t>Objetivo del proceso</t>
  </si>
  <si>
    <t>Id_proceso</t>
  </si>
  <si>
    <t>Partes Interesadas</t>
  </si>
  <si>
    <t>Requisitos</t>
  </si>
  <si>
    <t>Dependencias por proceso</t>
  </si>
  <si>
    <t>MEFI</t>
  </si>
  <si>
    <t>MEFE</t>
  </si>
  <si>
    <t>Puntuación causas</t>
  </si>
  <si>
    <t>Concatenado</t>
  </si>
  <si>
    <t>Zona</t>
  </si>
  <si>
    <t>Tipo de control</t>
  </si>
  <si>
    <t>Opciones de majeno</t>
  </si>
  <si>
    <t>Tipo_causa</t>
  </si>
  <si>
    <t>Estado_actividades</t>
  </si>
  <si>
    <t xml:space="preserve">Orientar la gestión institucional desde un enfoque coherente y prospectivo, que permita identificar, formular y evaluar los elementos de direccionamiento estratégico requeridos para el cumplimiento de la misión y la satisfacción de las necesidades de los usuarios internos y externos. </t>
  </si>
  <si>
    <t>Estudiantes</t>
  </si>
  <si>
    <t>Programas académicos de calidad
Efectiva planeación en los procesos académicos
Salones y espacios físicos acordes</t>
  </si>
  <si>
    <t>Egresados</t>
  </si>
  <si>
    <t>Interacción con la universidad.</t>
  </si>
  <si>
    <t>Programas académicos de calidad
Efectiva planeación en los procesos académicos
Calidez en la atención al usuario</t>
  </si>
  <si>
    <t>Programas académicos de calidad
Efectiva planeación en los procesos académicos
Aseguramiento de buenas prácticas en el ejercicio docente</t>
  </si>
  <si>
    <t>Programas académicos de calidad
Efectiva planeación en los procesos académicos</t>
  </si>
  <si>
    <t>Calidad en la prestación de los servicios de  bienestar estudiantil</t>
  </si>
  <si>
    <t>Docentes</t>
  </si>
  <si>
    <t>La universidad le ofrezca y respete los espacios de participación, retroalimentación y toma de decisiones</t>
  </si>
  <si>
    <t>Aseguramiento de buenas prácticas en el ejercicio docente
Calidez en la atención al usuario</t>
  </si>
  <si>
    <t>Empresarios</t>
  </si>
  <si>
    <t>Eficiencia en los procesos administrativos</t>
  </si>
  <si>
    <t>Programas académicos de calidad</t>
  </si>
  <si>
    <t>Salones y espacios físicos acordes</t>
  </si>
  <si>
    <t>Ministerio de educación</t>
  </si>
  <si>
    <t>Ejecución de los compromisos adquiridos por la Universidad</t>
  </si>
  <si>
    <t>Consejo Superior</t>
  </si>
  <si>
    <t>Secretaría General</t>
  </si>
  <si>
    <t>Oficina de Planeación</t>
  </si>
  <si>
    <t>Vicerrectoría Académica</t>
  </si>
  <si>
    <t>Dirección General de Investigaciones</t>
  </si>
  <si>
    <t>Dirección General de Proyección Social</t>
  </si>
  <si>
    <t>División de Bienestar Institucional</t>
  </si>
  <si>
    <t>Oficina jurídica</t>
  </si>
  <si>
    <t>División de servicios administrativos</t>
  </si>
  <si>
    <t>Oficina de presupuesto</t>
  </si>
  <si>
    <t>Oficina de Internacionalización y Relaciones Interinstitucionales</t>
  </si>
  <si>
    <t>Vicerrectoría de Recursos Universitarios</t>
  </si>
  <si>
    <t>Oficina de correspondencia y archivo</t>
  </si>
  <si>
    <t>Oficina de sistemas</t>
  </si>
  <si>
    <t>Ayudas educativas</t>
  </si>
  <si>
    <t>Oficina de Control Interno de Gestión</t>
  </si>
  <si>
    <t>Secretaría técnica de Acreditación</t>
  </si>
  <si>
    <t>Coherencia entre el Proyecto Educativo Institucional con el Plan de Desarrollo Institucional, el Plan de Acción Institucional, Planes de Acción de Facultad, Planes de Acción de Escuelas, Departamentos, Institutos, Centros y Programas</t>
  </si>
  <si>
    <t>Presupuesto de gobierno destinado a gastos de educación.</t>
  </si>
  <si>
    <t>Consolidación y análisis de la información y mecanismos adecuados para su difusión y uso en la toma de decisiones.</t>
  </si>
  <si>
    <t>Asignación de recursos financieros a la Universidad en los próximos cinco años</t>
  </si>
  <si>
    <t>Realización de consultas periódicas de satisfacción a la comunidad institucional, grupos de interés y su uso con propósitos de mejoramiento.</t>
  </si>
  <si>
    <t>Impacto de las relaciones sindicales y estudiantiles en la labor educativa de la institución.</t>
  </si>
  <si>
    <t>Impacto de las leyes, políticas laborales del país en el desempeño de los trabajadores de la institución.</t>
  </si>
  <si>
    <t>Mercado laboral y proyección del empleo en la región y en el país.</t>
  </si>
  <si>
    <t>Coherencia de los Planes, Programa, Proyectos, Procedimientos, Actividades y Tareas en los nivel ESTRATÉGICO, táctico y operativo</t>
  </si>
  <si>
    <t>Tendencias de los ingresos de las personas</t>
  </si>
  <si>
    <t>Presupuesto de gobierno destinado a gastos de educación, ciencia y tecnología.</t>
  </si>
  <si>
    <t>Probabilidad de ocurrencia de contingencias naturales (sismos, inundaciones, deslizamientos, incendios, etc.) en el entorno inmediato en el cual se ubica la institución.</t>
  </si>
  <si>
    <t>Conflicto de interés</t>
  </si>
  <si>
    <t>Muy bajaInsignificante</t>
  </si>
  <si>
    <t>Preventivo</t>
  </si>
  <si>
    <t>Automático</t>
  </si>
  <si>
    <t>Documentado</t>
  </si>
  <si>
    <t>Continua</t>
  </si>
  <si>
    <t>Con registro</t>
  </si>
  <si>
    <t>Aceptar</t>
  </si>
  <si>
    <t>Mano de obra</t>
  </si>
  <si>
    <t>Ejecutada</t>
  </si>
  <si>
    <t xml:space="preserve">Optimizar la comunicación interna y externa, vertical y horizontal de la Universidad de los Llanos, fijando los lineamientos y promoviendo acciones que incidan de manera activa en el fortalecimiento de procesos de identidad, gobernabilidad y convivencia. </t>
  </si>
  <si>
    <t>Administración al servicio de la academia
Infraestructura para su ejercicio dentro de las funciones misionales</t>
  </si>
  <si>
    <t>Ejecución de los compromisos adquiridos por la Universidad
Suministrar de manera oportuna la información que se requiere</t>
  </si>
  <si>
    <t>Administración al servicio de la academia.</t>
  </si>
  <si>
    <t>Oportunidades de cualificación y calificación docente</t>
  </si>
  <si>
    <t>Interacción con la universidad</t>
  </si>
  <si>
    <t>Educación continua.
Interacción con la universidad
Bolsa de empleo
Reconocimiento a egresados destacados</t>
  </si>
  <si>
    <t>Mejoramiento de su calidad de vida gracias a las condiciones laborales y el bienestar institucional</t>
  </si>
  <si>
    <t>Administrativos</t>
  </si>
  <si>
    <t>Mejoramiento de las condiciones laborales
Infraestructura para su ejercicio dentro de las funciones/actividades</t>
  </si>
  <si>
    <t>Entidades territoriales</t>
  </si>
  <si>
    <t>Identificación de los problemas de la sociedad y aporte desde la academia al establecimiento de soluciones</t>
  </si>
  <si>
    <t>Infraestructura para su ejercicio dentro de las funciones misionales</t>
  </si>
  <si>
    <t>Organismos de control y vigilancia</t>
  </si>
  <si>
    <t>Eficiencia y eficacia en los procesos administrativos.
Eficiencia y eficacia en el uso de los recursos.
Suministrar de manera oportuna la información que se requiera</t>
  </si>
  <si>
    <t>Cumplimiento de los lineamientos.
Ejecución de los compromisos adquiridos por la Universidad.
Suministrar de manera oportuna la información que se requiere.</t>
  </si>
  <si>
    <t>Consejo Académico</t>
  </si>
  <si>
    <t>Área de Comunicaciones</t>
  </si>
  <si>
    <t>Equipo de Calidad</t>
  </si>
  <si>
    <t>Oficina de Admisiones, Registro y Control Académico</t>
  </si>
  <si>
    <t>Centro de Investigaciones FCARN</t>
  </si>
  <si>
    <t>Centro de Proyección Social FCARN</t>
  </si>
  <si>
    <t>Área de desarrollo humano</t>
  </si>
  <si>
    <t>Área de convenios</t>
  </si>
  <si>
    <t>Oficina de asuntos docentes</t>
  </si>
  <si>
    <t>Oficina de contabilidad</t>
  </si>
  <si>
    <t>Almacén</t>
  </si>
  <si>
    <t>Punto de Información y Atención al Ciudadano - PIAC</t>
  </si>
  <si>
    <t>Biblioteca</t>
  </si>
  <si>
    <t>Oficina de Control Interno Disciplinario</t>
  </si>
  <si>
    <t>La Inflación y el precio de la matrícula en la Institución</t>
  </si>
  <si>
    <t>Procesos y mecanismos de comunicación eficientes, actualizados, con alta cobertura y transparencia que promuevan y garanticen el derecho de acceso a la información. Sus sistemas de registro, consulta y archivo de información se desarrollan con alto nivel de sistematicidad.</t>
  </si>
  <si>
    <t>Impacto de las relaciones sindicales y estudiantiles en la labor educativa que la institución.</t>
  </si>
  <si>
    <t>Coherencia de la estructura organizacional con el Sistema de Gestión de la Calidad.</t>
  </si>
  <si>
    <t>Análisis permanente de los resultados de las pruebas de Estado de los estudiantes y su uso con propósitos de mejoramiento.</t>
  </si>
  <si>
    <t>Política educativa de Educación Terciaria</t>
  </si>
  <si>
    <t>Existencia y utilización de sistemas de información integrados y mecanismos eficaces que faciliten la comunicación interna y externa de la institución.</t>
  </si>
  <si>
    <t>Situación económica y financiera del país en general; Crecimiento PIB.</t>
  </si>
  <si>
    <t>Uso de indicadores de gestión coherentes con las proyecciones institucionales expresadas en sus planes de desarrollo, planes de acción y de mejora.</t>
  </si>
  <si>
    <t>Actitudes de la sociedad (de aceptación o rechazo) ante las diversas razas e idiosincrasia presentes en los varios grupos culturales que conforman la comunidad local y regional</t>
  </si>
  <si>
    <t>Existencia y utilización de sistemas de información integrados y mecanismos eficaces que faciliten la comunicación interna y externa de la institución</t>
  </si>
  <si>
    <t>Impacto del plan de Desarrollo Nacional en la Educación Superior</t>
  </si>
  <si>
    <t>Corrupción</t>
  </si>
  <si>
    <t>Muy bajaMenor</t>
  </si>
  <si>
    <t>Detectivo</t>
  </si>
  <si>
    <t>Manual</t>
  </si>
  <si>
    <t>Sin documentar</t>
  </si>
  <si>
    <t>Aleatoria</t>
  </si>
  <si>
    <t>Sin registro</t>
  </si>
  <si>
    <t>Evitar</t>
  </si>
  <si>
    <t>Maquinaria</t>
  </si>
  <si>
    <t>En proceso</t>
  </si>
  <si>
    <t xml:space="preserve">Asegurar el sostenimiento y fortalecimiento del Sistema Integrado de Gestión de la Universidad de los Llanos mediante el uso de mecanismos que contribuyan a la mejora continua de los procesos. </t>
  </si>
  <si>
    <t>Mejoramiento de las condiciones laborales
Oportunidades de cualificación y calificación
Infraestructura para su ejercicio dentro de las funciones/actividades</t>
  </si>
  <si>
    <t>Eficiencia y eficacia en los procesos administrativos
Eficiencia y eficacia en el uso de los recursos
Suministrar de manera oportuna la información que se requiera</t>
  </si>
  <si>
    <t>Calidad en los servicios.</t>
  </si>
  <si>
    <t>Interacción con la universidad
Consultorio empresarial</t>
  </si>
  <si>
    <t>Profesionales idóneos
Articulación con las funciones misionales de la universidad
Calidad en los servicios</t>
  </si>
  <si>
    <t>Mejoramiento de las condiciones laborales.
Oportunidades de cualificación y calificación.
Infraestructura para su ejercicio dentro de las funciones/actividades.
Formulación e implementación de programas de estímulos e incentivos.
Desarrollo de la carrera administrativa.</t>
  </si>
  <si>
    <t>Infraestructura para su ejercicio dentro de las funciones/actividades</t>
  </si>
  <si>
    <t>Instituciones de educación superior</t>
  </si>
  <si>
    <t>Cooperación administrativa</t>
  </si>
  <si>
    <t>Rectoría</t>
  </si>
  <si>
    <t>Unidad de Medios</t>
  </si>
  <si>
    <t>Equipo de Gestión Ambiental</t>
  </si>
  <si>
    <t>IDEAD</t>
  </si>
  <si>
    <t>Centro de Investigaciones FCE</t>
  </si>
  <si>
    <t>Centro de Proyección Social FCE</t>
  </si>
  <si>
    <t>Área socioeconómica</t>
  </si>
  <si>
    <t>Contratación CPS</t>
  </si>
  <si>
    <t>Evaluación docente</t>
  </si>
  <si>
    <t>Oficina de tesorería</t>
  </si>
  <si>
    <t>Servicios generales</t>
  </si>
  <si>
    <t>Coordinación de Laboratorios</t>
  </si>
  <si>
    <t>Tendencias de gastos en educación de los hogares y/o de las personas</t>
  </si>
  <si>
    <t>Existencia de una página web institucional con información detallada y actualizada sobre los planes de estudio y sobre los profesores, incluyendo su formación y trayectoria.</t>
  </si>
  <si>
    <t>Mecanismos de comunicación para facilitar que la población estudiantil tenga acceso a la información.</t>
  </si>
  <si>
    <t>Existencia de instrumentos archivísticos que faciliten la adecuada organización, consulta, disposición y preservación de la información académica y administrativa en todo su ciclo vital.</t>
  </si>
  <si>
    <t>Eficiencia del sistema de atención al ciudadano.</t>
  </si>
  <si>
    <t>Estructura organizacional y administrativa que permite la estabilidad institucional y la continuidad de políticas, dentro de criterios académicos.</t>
  </si>
  <si>
    <t>Estructura del presupuesto y de la ejecución de los rubros de inversión y funcionamiento de la Universidad.</t>
  </si>
  <si>
    <t>Eficacia de las políticas y estrategias institucionales sobre el dominio de lenguas extranjeras por parte de profesores y estudiantes.</t>
  </si>
  <si>
    <t>Actitudes de la sociedad (de aceptación o rechazo) respecto a la igualdad de derechos entre hombre y mujeres.</t>
  </si>
  <si>
    <t>Condiciones de limpieza contra contaminación ambiental en el entorno inmediato en el cual se ubica la institución</t>
  </si>
  <si>
    <t>Incorporación de sistemas de información y de gestión documental que permitan la regulación de los procesos documentales propios de la historia académica de los estudiantes e historia laboral y académica de los profesores, así como la memoria de la gestión administrativa.</t>
  </si>
  <si>
    <t>Condiciones climáticas en el entorno inmediato en el cual se ubica la institución.</t>
  </si>
  <si>
    <t>Impacto de la Ley 30 de 1992 y sus decretos posteriores de regulación.</t>
  </si>
  <si>
    <t>Financiero</t>
  </si>
  <si>
    <t>Muy bajaModerado</t>
  </si>
  <si>
    <t>Correctivo</t>
  </si>
  <si>
    <t>Reducir</t>
  </si>
  <si>
    <t>Método</t>
  </si>
  <si>
    <t>Vencida</t>
  </si>
  <si>
    <t xml:space="preserve">Formar integralmente ciudadanos, profesionales y científicos, capaces de adaptar y generar conocimiento para el desarrollo de la Orinoquia y del país. </t>
  </si>
  <si>
    <t>Eficiencia en los procesos administrativos
 Articulación con las funciones misionales de la universidad
 Calidad en los servicios</t>
  </si>
  <si>
    <t>Proveedores</t>
  </si>
  <si>
    <t>Eficiencia administrativa
Criterios de selección y evaluación claramente definidos
Transparencia en los procesos</t>
  </si>
  <si>
    <t>Profesionales idóneos
Articulación con las funciones misionales de la universidad
Calidad en los servicios</t>
  </si>
  <si>
    <t>Padres de familia</t>
  </si>
  <si>
    <t>Formación integral</t>
  </si>
  <si>
    <t>Eficiencia administrativa</t>
  </si>
  <si>
    <t>Asuntos Docentes</t>
  </si>
  <si>
    <t>Centro de Investigaciones FCBI.</t>
  </si>
  <si>
    <t>Centro de Proyección Social FCBI</t>
  </si>
  <si>
    <t>Área cultural</t>
  </si>
  <si>
    <t>Área de Seguridad y Salud en el Trabajo</t>
  </si>
  <si>
    <t>Existencia de un sistema eficiente de consulta, registro y archivo de la información académica de los estudiantes y los profesores.</t>
  </si>
  <si>
    <t>Eficiencia de los procesos y mecanismos de evaluación y actualización de los currículos y planes de estudio.</t>
  </si>
  <si>
    <t>Suficiencia del cuerpo profesoral para el cumplimiento de las funciones misionales de la institución, relación docente por estudiante</t>
  </si>
  <si>
    <t>Estado de la seguridad pública en el entorno inmediato (vecindario, municipio o población) en el cual se ubica la universidad</t>
  </si>
  <si>
    <t>Procedimientos de control para garantizar que los estudiantes beneficiados con los apoyos institucionales hagan buen uso de éstos en los tiempos previstos para su graduación.</t>
  </si>
  <si>
    <t>Procesos académicos y administrativos evidenciados en información técnicamente organizada en la dependencia de archivo institucional o la que haga sus veces, con base en las normas de archivo vigentes.</t>
  </si>
  <si>
    <t>Existencia y aplicación de políticas institucionales en materia de referentes académicos externos, nacionales e internacionales de reconocida calidad para la revisión y actualización de los planes de estudio.</t>
  </si>
  <si>
    <t>Mantenimiento, renovación y acceso de estudiantes y profesores a los equipos didácticos.</t>
  </si>
  <si>
    <t>Pertinencia y calidad de los laboratorios para las tareas académicas de la institución (docencia, investigación, extensión o proyección social).</t>
  </si>
  <si>
    <t>Fiscal</t>
  </si>
  <si>
    <t>Muy bajaMayor</t>
  </si>
  <si>
    <t>Compartir</t>
  </si>
  <si>
    <t>Materiales</t>
  </si>
  <si>
    <t>Pendiente</t>
  </si>
  <si>
    <t xml:space="preserve">Fomentar y apoyar las actividades conducentes a la generación y aplicación del conocimiento, a través de investigación científica y desarrollo tecnológico. </t>
  </si>
  <si>
    <t>Eficiencia administrativa
Criterios de selección y evaluación claramente definidos
Transparencia en los procesos</t>
  </si>
  <si>
    <t>Eficiencia en los procesos administrativos.</t>
  </si>
  <si>
    <t>Informes periódicos sobre desempeño académico
Estrategias de permanencia estudiantil
Formación integral</t>
  </si>
  <si>
    <t>Articulación con el proceso de investigación
Identificación de los problemas de la sociedad y aporte desde la academia al establecimiento de soluciones
Participación de la Universidad en la formulación de políticas</t>
  </si>
  <si>
    <t>Eficiencia y eficacia en los procesos administrativos.
Eficiencia y eficacia en el uso de los recursos.
Suministrar de manera oportuna la información que se requiera.</t>
  </si>
  <si>
    <t>Cooperación académica
Cooperación administrativa</t>
  </si>
  <si>
    <t>Criterios de selección y evaluación claramente definidos.
Transparencia en los procesos.</t>
  </si>
  <si>
    <t>Facultad de Ciencias Agropecuarias</t>
  </si>
  <si>
    <t>Centro de Investigaciones FCHyE</t>
  </si>
  <si>
    <t>Centro de Proyección Social FCHyE</t>
  </si>
  <si>
    <t>Área de deportes</t>
  </si>
  <si>
    <t>Cumplimiento con los requerimientos de los sistemas nacionales de información y su uso en las decisiones institucionales.</t>
  </si>
  <si>
    <t>Criterios para definir responsabilidades del profesorado en relación con la docencia, investigación, extensión o proyección social y la asesoría a estudiantes, de acuerdo con la categoría en el escalafón.</t>
  </si>
  <si>
    <t>Condiciones de salud pública en el entorno inmediato (vecindario, municipio o población) en el cual se ubica la universidad</t>
  </si>
  <si>
    <t>Acciones orientadas al diagnóstico y prevención de los riesgos psicosociales, médicos y ambientales de la comunidad institucional.</t>
  </si>
  <si>
    <t>Mecanismos para la resolución armónica de conflictos en la comunidad institucional.</t>
  </si>
  <si>
    <t>Convenios activos y actividades de cooperación académica desarrollados con instituciones de reconocimiento nacional e internacional.</t>
  </si>
  <si>
    <t>Presupuestos de inversión en equipos de laboratorio, bibliotecas y recursos didácticos.</t>
  </si>
  <si>
    <t>Existencia de un sistema eficiente de consulta, registro y archivo de la información académica de los estudiantes y los profesores.
 Se ha habilitado la compatibilidad con lectores de pantalla.</t>
  </si>
  <si>
    <t>Uso eficiente de Tecnologías de la Información y la Comunicación en los procesos académicos, por parte los profesores y estudiantes.</t>
  </si>
  <si>
    <t>Fraude</t>
  </si>
  <si>
    <t>Muy bajaCatastrófico</t>
  </si>
  <si>
    <t>Ambiente</t>
  </si>
  <si>
    <t>Asumir el estudio permanente de los problemas del entorno y su caracterización así como la elaboración de proyectos fortaleciendo la capacidad de opinión calificada de la institución. 
Mejorar la capacidad endógena de innovación y transferencia de conocimiento.
Elevar significativamente la gestión institucional en el contexto regional y nacional estableciendo relaciones de intercambio y cooperación con los actores.
Asumir el quehacer académico en función de su pertinencia en el contexto social. 
Promover la difusión, la recuperación y el sentido de la identidad cultural mediante la organización de actividades y eventos pertinentes.</t>
  </si>
  <si>
    <t>Eficiencia en los procesos administrativos
 Profesionales idóneos
 Articulación con el proceso de investigación
 Articulación con el proceso de proyección social
 Identificación de los problemas de la sociedad y aporte desde la academia al establecimiento de soluciones
 Participación de la Universidad en la formulación de políticas</t>
  </si>
  <si>
    <t>Cumplimiento de los lineamientos
Ejecución de los compromisos adquiridos por la Universidad</t>
  </si>
  <si>
    <t>Identificación de los problemas de la sociedad y aporte desde la academia al establecimiento de soluciones
Participación de la Universidad en la formulación de políticas</t>
  </si>
  <si>
    <t>Ejecución de los compromisos adquiridos por la Universidad
Suministrar de manera oportuna la información que se requiere
Generación de recursos propios
Consecución de recursos con otros entes</t>
  </si>
  <si>
    <t>Ejecución de los compromisos adquiridos por la Universidad.
Suministrar de manera oportuna la información que se requiere.
Generación de recursos propios.
Consecución de recursos con otros entes.</t>
  </si>
  <si>
    <t>Eficiencia y eficacia en los procesos administrativos
Eficiencia y eficacia en el uso de los recursos</t>
  </si>
  <si>
    <t>Ministerio de protección social</t>
  </si>
  <si>
    <t>Cumplimiento de lineamientos en seguridad y salud en el trabajo como institución.
Ejecución de los compromisos adquiridos por la Universidad.
Suministrar de manera oportuna la información que requiere.</t>
  </si>
  <si>
    <t>Facultad de Ciencias Básicas e Ingeniería</t>
  </si>
  <si>
    <t>Centro de Investigaciones FCS</t>
  </si>
  <si>
    <t>Centro de Proyección Social FCS</t>
  </si>
  <si>
    <t>Área de salud</t>
  </si>
  <si>
    <t>Infraestructura vial y aérea de la región</t>
  </si>
  <si>
    <t>Proyectos de investigación, innovación, creación artística y cultural y/o proyección –de acuerdo con la naturaleza de la institución– desarrollados como producto de la cooperación académica y profesional, realizada por directivos, profesores y estudiantes de la institución, con miembros de comunidades nacionales e internacionales de reconocido liderazgo.</t>
  </si>
  <si>
    <t>Clima político en el país: situación electoral, cambio de presidente, senado, cámara y gobiernos locales.</t>
  </si>
  <si>
    <t>Estructura organizacional y criterios de definición de funciones y de asignación de responsabilidades, acordes con la naturaleza, tamaño y complejidad de la Institución.</t>
  </si>
  <si>
    <t>Existencia y uso eficiente de aulas, laboratorios, talleres, sitios de estudio para los alumnos, salas de cómputo, oficinas de profesores, sitios para la creación artística y cultural, auditorios y salas de conferencias, oficinas administrativas, cafeterías, baños, servicios, campos de juego, espacios libres, zonas verdes y demás espacios destinados al bienestar en general.</t>
  </si>
  <si>
    <t>Gestión</t>
  </si>
  <si>
    <t>BajaInsignificante</t>
  </si>
  <si>
    <t>Moneda</t>
  </si>
  <si>
    <t xml:space="preserve">Contribuir a la formación integral de la comunidad universitaria, mediante el diseño y ejecución de programas, que permitan fortalecer las diferentes dimensiones, físicas, psicoafectivas, políticas, cognitivas, culturales, ambientales, estética, social, del ser humano encaminados a mejorar la calidad de vida. </t>
  </si>
  <si>
    <t>Ejecución de los compromisos adquiridos por la Universidad.
Generación de recursos propios.
Consecución de recursos con otros entes.</t>
  </si>
  <si>
    <t>Cumplimiento de lineamientos en seguridad y salud en el trabajo como institución
Ejecución de los compromisos adquiridos por la Universidad
Suministrar de manera oportuna la información que requiere</t>
  </si>
  <si>
    <t>Cumplimiento de los lineamientos
Ejecución de los compromisos adquiridos por la Universidad
Suministrar de manera oportuna la información que se requiere
Generación de recursos propios
Consecución de recursos con otros entes</t>
  </si>
  <si>
    <t>Eficiencia y eficacia en los procesos administrativos
Eficiencia y eficacia en el uso de los recursos
Suministrar de manera oportuna la información que se requiera</t>
  </si>
  <si>
    <t>Facultad de Ciencias Económicas</t>
  </si>
  <si>
    <t>Políticas, estrategias y apoyos institucionales para la creación, modificación y extensión de programas académicos.</t>
  </si>
  <si>
    <t>Existencia e impacto de alianzas interinstitucionales para compartir recursos, impulsar procesos misionales y buenas prácticas.</t>
  </si>
  <si>
    <t>Aplicación de políticas de estímulos y promoción del personal administrativo.</t>
  </si>
  <si>
    <t>Incidencia verificable en el enriquecimiento de la calidad de la institución de la interacción con comunidades académicas nacionales e internacionales.</t>
  </si>
  <si>
    <t>Cumplimiento de las normas sanitarias y de bioseguridad, seguridad industrial y de salud ocupacional y manejo de seres vivos, de acuerdo con la normativa vigente.</t>
  </si>
  <si>
    <t>Calidad de la infraestructura investigativa: laboratorios, equipos, recursos bibliográficos, recursos informáticos, entre otros.</t>
  </si>
  <si>
    <t>Soborno</t>
  </si>
  <si>
    <t>BajaMenor</t>
  </si>
  <si>
    <t xml:space="preserve">Fortalecer el proceso jurídico y normativo, mediante el acompañamiento y asesoría a las directivas de la Universidad de los Llanos, velando por la defensa de los intereses comunes en cumplimiento de los fines esenciales del Estado. </t>
  </si>
  <si>
    <t>Eficiencia y eficacia en los procesos administrativos
 Eficiencia y eficacia en el uso de los recursos
 Ejecución de los compromisos adquiridos por la Universidad
 Suministrar de manera oportuna la información que se requiera</t>
  </si>
  <si>
    <t>Cumplimiento de sus lineamientos académicos Relación Docencia Servicio (RDS)</t>
  </si>
  <si>
    <t>Corporación autónoma regional</t>
  </si>
  <si>
    <t>Cumplimiento de la normatividad que en materia ambiental se encuentre vigente</t>
  </si>
  <si>
    <t>Facultad de Ciencias Humanas y de la Educación</t>
  </si>
  <si>
    <t>Compromiso de directivos y de la comunidad académica con la creación, modificación y extensión de programas de forma que sean pertinentes y de calidad.</t>
  </si>
  <si>
    <t>Evaluación de las necesidades del contexto y visión prospectiva del desarrollo social.</t>
  </si>
  <si>
    <t>Programas de capacitación que redunden en la cualificación del desempeño de sus funcionarios.</t>
  </si>
  <si>
    <t>BajaModerado</t>
  </si>
  <si>
    <t xml:space="preserve">Planear, definir y desarrollar con eficiencia y eficacia los servicios administrativos para la gestión del talento humano en la Universidad de los Llanos mediante el establecimiento de lineamientos, ejecución de acciones y seguimiento en las etapas de selección, vinculación, trayectoria y desvinculación del personal en la Institución; cumpliendo los requerimientos técnicos y legales vigentes; así como la ralización de la autoevaluación del proceso para promover la mejora continua, orientada a la misión, visión y objetivos institucionales. </t>
  </si>
  <si>
    <t>Cumplimiento de la normatividad que en materia ambiental se encuentre vigente
Suministrar de manera oportuna la información que se requiera</t>
  </si>
  <si>
    <t>Cumplimiento de la normatividad que en materia ambiental se encuentre vigente
Suministrar de manera oportuna la información que se requiera</t>
  </si>
  <si>
    <t>Entidades relacionadas al sistema de seguridad social</t>
  </si>
  <si>
    <t>Cumplir con las disposiciones del Sistema General de Riesgos Laborales.
Suministrar de manera oportuna la información que se requiera.</t>
  </si>
  <si>
    <t>Facultad de Ciencias de la Salud</t>
  </si>
  <si>
    <t>Disponibilidad de servicios de energía eléctrica, agua y drenaje en el entorno inmediato (vecindario, municipio o población) en el cual se ubica la universidad</t>
  </si>
  <si>
    <t>Políticas y mecanismos de evaluación de los procedimientos orientados a la creación, modificación y extensión de programas, así como a su eliminación.</t>
  </si>
  <si>
    <t>Evaluación de los resultados de los programas y actividades de educación continuada, consultoría, extensión, transferencia de tecnología, y de las políticas para el desarrollo y mejoramiento de estos servicios.</t>
  </si>
  <si>
    <t>Convenios activos de intercambio con Instituciones de Educación Superior nacionales y extranjeras de alta calidad y reconocimiento.</t>
  </si>
  <si>
    <t>BajaMayor</t>
  </si>
  <si>
    <t xml:space="preserve">Administrar de manera eficiente y eficaz los recursos financieros de la Universidad, garantizando el cumplimiento de los compromisos adquiridos con la comunidad y los entes de control. </t>
  </si>
  <si>
    <t>Cooperación administrativa.</t>
  </si>
  <si>
    <t>Centro de Idiomas</t>
  </si>
  <si>
    <t>Adecuada distribución de las labores asignadas a los profesores para desarrollar sus funciones en condiciones de calidad con espacios institucionales apropiados.</t>
  </si>
  <si>
    <t>Aprendizaje institucional como resultado de su interacción con el medio, evidenciado en cambio de políticas, formulación de nuevos programas y estrategias, entre otros.</t>
  </si>
  <si>
    <t>BajaCatastrófico</t>
  </si>
  <si>
    <t xml:space="preserve">Incorporar la dimensión internacional e intercultural del conocimiento en los espacios universitarios mediante la movilidad para la formación de la comunidad universitaria, estableciendo seguimiento a los convenios, redes y alianzas interinstitucionales de cooperación, diseño-ejecución de proyectos colaborativos en investigación y desarrollo, participación en sociedades del conocimiento y la institucionalización de la internacionalización en Unillanos. </t>
  </si>
  <si>
    <t>Existencia de mecanismos que permitan conocer y satisfacer las necesidades académicas y administrativas de las distintas partes interesadas en la institución.</t>
  </si>
  <si>
    <t>Cobertura, calidad y pertinencia de los programas de desarrollo profesoral.</t>
  </si>
  <si>
    <t>Reconocimiento externo de las repercusiones sociales de las actividades de docencia, investigación y extensión o proyección social de la institución.</t>
  </si>
  <si>
    <t>MediaInsignificante</t>
  </si>
  <si>
    <t xml:space="preserve">Administrar de forma eficaz y eficiente los recursos de la Universidad para realizar el ejercicio de los procesos. </t>
  </si>
  <si>
    <t>Capacidad de los criterios y mecanismos de evaluación de las tareas asignadas a los profesores con miras a cualificar su labor.</t>
  </si>
  <si>
    <t>Políticas y estrategias orientadas a facilitar la constitución de comunidades académicas en la institución y su interacción con homólogas del orden nacional e internacional.</t>
  </si>
  <si>
    <t>Aportes sociales de los graduados en los campos empresarial, científico, artístico, cultural, económico y político.</t>
  </si>
  <si>
    <t>MediaMenor</t>
  </si>
  <si>
    <t>Gestión Documental</t>
  </si>
  <si>
    <t xml:space="preserve">Establecer las actividades técnicas y administrativas tendientes a la planificación, organización, administración, control y disposición final de la documentación producida y recibida por la Universidad de los Llanos, asegurando su conservación para la consulta y servicio de la administración y partes interesadas, tanto de los documentos físicos como electrónicos. </t>
  </si>
  <si>
    <t>Estado de la interacción académica del profesorado, por áreas de conocimiento, con comunidades académicas nacionales e internacionales</t>
  </si>
  <si>
    <t>Coherencia de las prácticas enmarcadas en los programas académicos con las necesidades de la institución y del sector externo.</t>
  </si>
  <si>
    <t>MediaModerado</t>
  </si>
  <si>
    <t xml:space="preserve">Gestionar, planificar y evaluar los recursos nuevos y actuales que conforman la infraestructura tecnológica de la Universidad, para responder a los requerimientos internos y externos, velando por la disponibilidad, autenticación, integridad y confidencialidad de la información y el resguardo de los recursos computacionales a
nivel de hardware y software. </t>
  </si>
  <si>
    <t>Presencia e impacto de acciones orientadas a poblaciones en condiciones de vulnerabilidad en el área de influencia de la institución.</t>
  </si>
  <si>
    <t>Adecuada distribución de las labores asignadas a los profesores para desarrollar sus funciones en condiciones de calidad.</t>
  </si>
  <si>
    <t>MediaMayor</t>
  </si>
  <si>
    <t xml:space="preserve">Ofrecer a la comunidad académica servicios y recursos pertinentes encaminados a fortalecer los procesos de transmisión y apropiación del conocimiento. </t>
  </si>
  <si>
    <t>Desarrollo de iniciativas de transferencia del conocimiento científico y tecnológico que permitan la efectiva integración a contextos locales y sociales específicos, contribuyendo a su desarrollo.</t>
  </si>
  <si>
    <t>MediaCatastrófico</t>
  </si>
  <si>
    <t>Evaluación Control y Seguimiento Institucional</t>
  </si>
  <si>
    <t xml:space="preserve">Verificar el cumplimiento de las actividades y lineamientos normativos aplicables a los procesos, de acuerdo al Modelo Estándar de Control Interno (MECI) y a la normatividad interna vigente aplicable. En el evento del incumplimiento de los deberes, la violación al régimen de prohibiciones o estar inmerso en una causal de inhabilidad e incompatibilidad, realizar la respectiva investigación, evaluación y sanción. </t>
  </si>
  <si>
    <t>Compromiso del profesorado y de los estudiantes en la construcción y sistematización del saber, como forma de actualización permanente.</t>
  </si>
  <si>
    <t>Eficacia de los sistemas de información y seguimiento a los graduados.</t>
  </si>
  <si>
    <t>AltaInsignificante</t>
  </si>
  <si>
    <t xml:space="preserve">Fortalcer y garantizar las condiciones de calidad institucionales y de los programas académicos, con miras al aseguramiento de la calidad académica. </t>
  </si>
  <si>
    <t>Estrategias y apoyos institucionales que faciliten la construcción y sistematización de conocimientos a los profesores y a los estudiantes.</t>
  </si>
  <si>
    <t>AltaMenor</t>
  </si>
  <si>
    <t>Existencia de elementos de flexibilización curricular que permitan el ejercicio de procesos de investigación por parte de profesores y estudiantes.</t>
  </si>
  <si>
    <t>AltaModerado</t>
  </si>
  <si>
    <t>Facilidades para la participación de los estudiantes en actividades académicas relacionadas con la investigación científica y/o la creación artística y cultural.</t>
  </si>
  <si>
    <t>AltaMayor</t>
  </si>
  <si>
    <t>Evaluación y acciones de mejora relacionadas con las políticas y estrategias de enseñanza y de aprendizaje en el marco de la formación para la investigación.</t>
  </si>
  <si>
    <t>AltaCatastrófico</t>
  </si>
  <si>
    <t>Muy altaInsignificante</t>
  </si>
  <si>
    <t>Existencia y grado de desarrollo de las unidades de investigación, tales como: institutos, centros, grupos, redes, programas, entre otros.</t>
  </si>
  <si>
    <t>Muy altaMenor</t>
  </si>
  <si>
    <t>Publicaciones resultado de investigación elaboradas por profesores de la institución de acuerdo con su tipo y naturaleza, tales como artículos en revistas indexadas y especializadas nacionales e internacionales, innovaciones, patentes, productos o procesos técnicos y tecnológicos patentables o no patentables o protegidas por secreto industrial, libros, capítulos de libros, dirección de trabajos de grado de maestría y doctorado, paquetes tecnológicos, normas resultado de investigación, producción artística y cultural, productos de apropiación social del conocimiento, productos asociados a servicios técnicos o consultoría cualificada, elaborados por profesores de la institución de acuerdo con su tipo y naturaleza.</t>
  </si>
  <si>
    <t>Muy altaModerado</t>
  </si>
  <si>
    <t>Premios y distinciones por trabajos de investigación obtenidos por los docentes otorgados por instituciones de reconocido prestigio académico.</t>
  </si>
  <si>
    <t>Muy altaMayor</t>
  </si>
  <si>
    <t>Apoyo administrativo y financiero para el desarrollo y gestión de la investigación, la creación de empresas y de planes de negocios (como los centros de incubación y financiación empresarial o como los centros de investigación y desarrollo tecnológico, entre otros) y la creación artística y cultural.</t>
  </si>
  <si>
    <t>Muy altaCatastrófico</t>
  </si>
  <si>
    <t>Capacidad de gestión de recursos externos para la investigación.</t>
  </si>
  <si>
    <t>Existencia de régimen de propiedad intelectual y de explotación comercial.</t>
  </si>
  <si>
    <t>Existencia y aplicación de mecanismos de evaluación de la producción académica de los profesores.</t>
  </si>
</sst>
</file>

<file path=xl/styles.xml><?xml version="1.0" encoding="utf-8"?>
<styleSheet xmlns="http://schemas.openxmlformats.org/spreadsheetml/2006/main" xmlns:x14ac="http://schemas.microsoft.com/office/spreadsheetml/2009/9/ac" xmlns:mc="http://schemas.openxmlformats.org/markup-compatibility/2006">
  <numFmts count="11">
    <numFmt numFmtId="164" formatCode="dd/mm/yyyy"/>
    <numFmt numFmtId="165" formatCode="dd mmmm yyyy"/>
    <numFmt numFmtId="166" formatCode="dd mmmm"/>
    <numFmt numFmtId="167" formatCode="d&quot; de &quot;mmmm"/>
    <numFmt numFmtId="168" formatCode="d/m/yyyy"/>
    <numFmt numFmtId="169" formatCode="d&quot; de &quot;mmmm yyyy"/>
    <numFmt numFmtId="170" formatCode="mmmm yyyy"/>
    <numFmt numFmtId="171" formatCode="dd&quot; de &quot;mmmm"/>
    <numFmt numFmtId="172" formatCode="dd-mm-yy"/>
    <numFmt numFmtId="173" formatCode="yyyy-mm-dd"/>
    <numFmt numFmtId="174" formatCode="d mmmm yyyy"/>
  </numFmts>
  <fonts count="31">
    <font>
      <sz val="11.0"/>
      <color rgb="FF000000"/>
      <name val="Calibri"/>
    </font>
    <font>
      <sz val="9.0"/>
      <name val="Arial"/>
    </font>
    <font/>
    <font>
      <b/>
      <sz val="12.0"/>
      <name val="Arial"/>
    </font>
    <font>
      <b/>
      <sz val="10.0"/>
      <name val="Arial"/>
    </font>
    <font>
      <i/>
      <sz val="9.0"/>
      <name val="Arial"/>
    </font>
    <font>
      <sz val="10.0"/>
      <name val="Arial"/>
    </font>
    <font>
      <b/>
      <u/>
      <sz val="9.0"/>
      <color rgb="FF1155CC"/>
      <name val="Arial"/>
    </font>
    <font>
      <b/>
      <u/>
      <sz val="10.0"/>
      <color rgb="FF0000FF"/>
      <name val="Arial"/>
    </font>
    <font>
      <b/>
      <sz val="9.0"/>
      <name val="Arial"/>
    </font>
    <font>
      <b/>
      <sz val="8.0"/>
      <name val="Arial"/>
    </font>
    <font>
      <b/>
      <sz val="11.0"/>
      <name val="Arial"/>
    </font>
    <font>
      <sz val="9.0"/>
      <color rgb="FF000000"/>
      <name val="Arial"/>
    </font>
    <font>
      <b/>
      <sz val="9.0"/>
      <color rgb="FF000000"/>
      <name val="Arial"/>
    </font>
    <font>
      <sz val="10.0"/>
      <color rgb="FF000000"/>
      <name val="Arial"/>
    </font>
    <font>
      <sz val="9.0"/>
      <color rgb="FFFFFFFF"/>
      <name val="Arial"/>
    </font>
    <font>
      <b/>
      <i/>
      <sz val="10.0"/>
      <name val="Arial"/>
    </font>
    <font>
      <i/>
      <sz val="10.0"/>
      <name val="Arial"/>
    </font>
    <font>
      <b/>
      <name val="Arial"/>
    </font>
    <font>
      <b/>
      <color rgb="FF000000"/>
      <name val="Arial"/>
    </font>
    <font>
      <sz val="8.0"/>
      <name val="Arial"/>
    </font>
    <font>
      <sz val="7.0"/>
      <name val="Arial"/>
    </font>
    <font>
      <u/>
      <sz val="9.0"/>
      <color rgb="FF0000FF"/>
      <name val="Arial"/>
    </font>
    <font>
      <u/>
      <sz val="9.0"/>
      <color rgb="FF0000FF"/>
      <name val="Arial"/>
    </font>
    <font>
      <u/>
      <sz val="9.0"/>
      <color rgb="FF0000FF"/>
      <name val="Arial"/>
    </font>
    <font>
      <u/>
      <sz val="9.0"/>
      <color rgb="FF0000FF"/>
      <name val="Arial"/>
    </font>
    <font>
      <u/>
      <sz val="9.0"/>
      <color rgb="FF0000FF"/>
      <name val="Arial"/>
    </font>
    <font>
      <u/>
      <sz val="9.0"/>
      <color rgb="FF0000FF"/>
      <name val="Arial"/>
    </font>
    <font>
      <b/>
      <sz val="9.0"/>
      <color rgb="FFFFFFFF"/>
      <name val="Arial"/>
    </font>
    <font>
      <sz val="9.0"/>
      <color rgb="FF777777"/>
      <name val="Arial"/>
    </font>
    <font>
      <sz val="9.0"/>
      <color rgb="FF010202"/>
      <name val="Arial"/>
    </font>
  </fonts>
  <fills count="27">
    <fill>
      <patternFill patternType="none"/>
    </fill>
    <fill>
      <patternFill patternType="lightGray"/>
    </fill>
    <fill>
      <patternFill patternType="solid">
        <fgColor rgb="FFF2F2F2"/>
        <bgColor rgb="FFF2F2F2"/>
      </patternFill>
    </fill>
    <fill>
      <patternFill patternType="solid">
        <fgColor rgb="FFEFEFEF"/>
        <bgColor rgb="FFEFEFEF"/>
      </patternFill>
    </fill>
    <fill>
      <patternFill patternType="solid">
        <fgColor rgb="FFB6D7A8"/>
        <bgColor rgb="FFB6D7A8"/>
      </patternFill>
    </fill>
    <fill>
      <patternFill patternType="solid">
        <fgColor rgb="FFF3F3F3"/>
        <bgColor rgb="FFF3F3F3"/>
      </patternFill>
    </fill>
    <fill>
      <patternFill patternType="solid">
        <fgColor rgb="FFD9D9D9"/>
        <bgColor rgb="FFD9D9D9"/>
      </patternFill>
    </fill>
    <fill>
      <patternFill patternType="solid">
        <fgColor rgb="FFFFFF66"/>
        <bgColor rgb="FFFFFF66"/>
      </patternFill>
    </fill>
    <fill>
      <patternFill patternType="solid">
        <fgColor rgb="FFE36C09"/>
        <bgColor rgb="FFE36C09"/>
      </patternFill>
    </fill>
    <fill>
      <patternFill patternType="solid">
        <fgColor rgb="FFFF0000"/>
        <bgColor rgb="FFFF0000"/>
      </patternFill>
    </fill>
    <fill>
      <patternFill patternType="solid">
        <fgColor rgb="FFD9EAD3"/>
        <bgColor rgb="FFD9EAD3"/>
      </patternFill>
    </fill>
    <fill>
      <patternFill patternType="solid">
        <fgColor rgb="FF50B1C8"/>
        <bgColor rgb="FF50B1C8"/>
      </patternFill>
    </fill>
    <fill>
      <patternFill patternType="solid">
        <fgColor rgb="FF29FFFF"/>
        <bgColor rgb="FF29FFFF"/>
      </patternFill>
    </fill>
    <fill>
      <patternFill patternType="solid">
        <fgColor rgb="FFD99594"/>
        <bgColor rgb="FFD99594"/>
      </patternFill>
    </fill>
    <fill>
      <patternFill patternType="solid">
        <fgColor rgb="FF93C47D"/>
        <bgColor rgb="FF93C47D"/>
      </patternFill>
    </fill>
    <fill>
      <patternFill patternType="solid">
        <fgColor rgb="FF92CDDC"/>
        <bgColor rgb="FF92CDDC"/>
      </patternFill>
    </fill>
    <fill>
      <patternFill patternType="solid">
        <fgColor rgb="FFFABF8F"/>
        <bgColor rgb="FFFABF8F"/>
      </patternFill>
    </fill>
    <fill>
      <patternFill patternType="solid">
        <fgColor rgb="FFB2A1C7"/>
        <bgColor rgb="FFB2A1C7"/>
      </patternFill>
    </fill>
    <fill>
      <patternFill patternType="solid">
        <fgColor rgb="FFC2D69B"/>
        <bgColor rgb="FFC2D69B"/>
      </patternFill>
    </fill>
    <fill>
      <patternFill patternType="solid">
        <fgColor rgb="FF8DB3E2"/>
        <bgColor rgb="FF8DB3E2"/>
      </patternFill>
    </fill>
    <fill>
      <patternFill patternType="solid">
        <fgColor rgb="FFE5B8B7"/>
        <bgColor rgb="FFE5B8B7"/>
      </patternFill>
    </fill>
    <fill>
      <patternFill patternType="solid">
        <fgColor rgb="FFFFE599"/>
        <bgColor rgb="FFFFE599"/>
      </patternFill>
    </fill>
    <fill>
      <patternFill patternType="solid">
        <fgColor rgb="FFD6E3BC"/>
        <bgColor rgb="FFD6E3BC"/>
      </patternFill>
    </fill>
    <fill>
      <patternFill patternType="solid">
        <fgColor rgb="FFDAEEF3"/>
        <bgColor rgb="FFDAEEF3"/>
      </patternFill>
    </fill>
    <fill>
      <patternFill patternType="solid">
        <fgColor rgb="FFB6DDE8"/>
        <bgColor rgb="FFB6DDE8"/>
      </patternFill>
    </fill>
    <fill>
      <patternFill patternType="solid">
        <fgColor rgb="FF6ED6EE"/>
        <bgColor rgb="FF6ED6EE"/>
      </patternFill>
    </fill>
    <fill>
      <patternFill patternType="solid">
        <fgColor rgb="FF0000FF"/>
        <bgColor rgb="FF0000FF"/>
      </patternFill>
    </fill>
  </fills>
  <borders count="41">
    <border/>
    <border>
      <left style="thin">
        <color rgb="FF666666"/>
      </left>
      <top style="thin">
        <color rgb="FF666666"/>
      </top>
    </border>
    <border>
      <top style="thin">
        <color rgb="FF666666"/>
      </top>
    </border>
    <border>
      <right style="thin">
        <color rgb="FF666666"/>
      </right>
      <top style="thin">
        <color rgb="FF666666"/>
      </top>
    </border>
    <border>
      <left style="thin">
        <color rgb="FF666666"/>
      </left>
      <top style="thin">
        <color rgb="FF666666"/>
      </top>
      <bottom style="thin">
        <color rgb="FF666666"/>
      </bottom>
    </border>
    <border>
      <top style="thin">
        <color rgb="FF666666"/>
      </top>
      <bottom style="thin">
        <color rgb="FF666666"/>
      </bottom>
    </border>
    <border>
      <right style="thin">
        <color rgb="FF666666"/>
      </right>
      <top style="thin">
        <color rgb="FF666666"/>
      </top>
      <bottom style="thin">
        <color rgb="FF666666"/>
      </bottom>
    </border>
    <border>
      <left style="thin">
        <color rgb="FF666666"/>
      </left>
    </border>
    <border>
      <right style="thin">
        <color rgb="FF666666"/>
      </right>
    </border>
    <border>
      <left style="thin">
        <color rgb="FF666666"/>
      </left>
      <bottom style="thin">
        <color rgb="FF666666"/>
      </bottom>
    </border>
    <border>
      <bottom style="thin">
        <color rgb="FF666666"/>
      </bottom>
    </border>
    <border>
      <right style="thin">
        <color rgb="FF666666"/>
      </right>
      <bottom style="thin">
        <color rgb="FF666666"/>
      </bottom>
    </border>
    <border>
      <left style="thin">
        <color rgb="FF595959"/>
      </left>
      <top style="thin">
        <color rgb="FF595959"/>
      </top>
      <bottom style="thin">
        <color rgb="FF595959"/>
      </bottom>
    </border>
    <border>
      <top style="thin">
        <color rgb="FF595959"/>
      </top>
      <bottom style="thin">
        <color rgb="FF595959"/>
      </bottom>
    </border>
    <border>
      <right style="thin">
        <color rgb="FF595959"/>
      </right>
      <top style="thin">
        <color rgb="FF595959"/>
      </top>
      <bottom style="thin">
        <color rgb="FF595959"/>
      </bottom>
    </border>
    <border>
      <left style="thin">
        <color rgb="FF595959"/>
      </left>
      <right style="thin">
        <color rgb="FF595959"/>
      </right>
      <top style="thin">
        <color rgb="FF595959"/>
      </top>
      <bottom style="thin">
        <color rgb="FF595959"/>
      </bottom>
    </border>
    <border>
      <left style="thin">
        <color rgb="FF666666"/>
      </left>
      <right style="thin">
        <color rgb="FF666666"/>
      </right>
      <top style="thin">
        <color rgb="FF666666"/>
      </top>
    </border>
    <border>
      <left style="thin">
        <color rgb="FF666666"/>
      </left>
      <right style="thin">
        <color rgb="FF666666"/>
      </right>
      <top style="thin">
        <color rgb="FF666666"/>
      </top>
      <bottom style="thin">
        <color rgb="FF666666"/>
      </bottom>
    </border>
    <border>
      <left style="thin">
        <color rgb="FF666666"/>
      </left>
      <right style="thin">
        <color rgb="FF666666"/>
      </right>
      <bottom style="thin">
        <color rgb="FF666666"/>
      </bottom>
    </border>
    <border>
      <left style="thin">
        <color rgb="FF595959"/>
      </left>
      <top style="thin">
        <color rgb="FF595959"/>
      </top>
      <bottom style="thin">
        <color rgb="FF666666"/>
      </bottom>
    </border>
    <border>
      <top style="thin">
        <color rgb="FF595959"/>
      </top>
      <bottom style="thin">
        <color rgb="FF666666"/>
      </bottom>
    </border>
    <border>
      <right style="thin">
        <color rgb="FF666666"/>
      </right>
      <top style="thin">
        <color rgb="FF595959"/>
      </top>
      <bottom style="thin">
        <color rgb="FF666666"/>
      </bottom>
    </border>
    <border>
      <left style="thin">
        <color rgb="FF666666"/>
      </left>
      <right style="thin">
        <color rgb="FF666666"/>
      </right>
    </border>
    <border>
      <left style="thin">
        <color rgb="FF595959"/>
      </left>
      <top style="thin">
        <color rgb="FF595959"/>
      </top>
    </border>
    <border>
      <right style="thin">
        <color rgb="FF595959"/>
      </right>
      <top style="thin">
        <color rgb="FF595959"/>
      </top>
    </border>
    <border>
      <left style="thin">
        <color rgb="FF595959"/>
      </left>
    </border>
    <border>
      <right style="thin">
        <color rgb="FF595959"/>
      </right>
    </border>
    <border>
      <left style="thin">
        <color rgb="FF595959"/>
      </left>
      <bottom style="thin">
        <color rgb="FF595959"/>
      </bottom>
    </border>
    <border>
      <right style="thin">
        <color rgb="FF595959"/>
      </right>
      <bottom style="thin">
        <color rgb="FF595959"/>
      </bottom>
    </border>
    <border>
      <left/>
      <top style="thin">
        <color rgb="FF595959"/>
      </top>
      <bottom style="thin">
        <color rgb="FF595959"/>
      </bottom>
    </border>
    <border>
      <top style="thin">
        <color rgb="FF595959"/>
      </top>
    </border>
    <border>
      <left style="thin">
        <color rgb="FF595959"/>
      </left>
      <right style="thin">
        <color rgb="FF595959"/>
      </right>
      <top style="thin">
        <color rgb="FF595959"/>
      </top>
    </border>
    <border>
      <bottom style="thin">
        <color rgb="FF595959"/>
      </bottom>
    </border>
    <border>
      <left style="thin">
        <color rgb="FF595959"/>
      </left>
      <right style="thin">
        <color rgb="FF595959"/>
      </right>
      <bottom style="thin">
        <color rgb="FF595959"/>
      </bottom>
    </border>
    <border>
      <left style="thin">
        <color rgb="FF595959"/>
      </left>
      <right style="thin">
        <color rgb="FF595959"/>
      </right>
    </border>
    <border>
      <left style="thin">
        <color rgb="FF595959"/>
      </left>
      <right style="thin">
        <color rgb="FF666666"/>
      </right>
      <top style="thin">
        <color rgb="FF595959"/>
      </top>
    </border>
    <border>
      <right style="thin">
        <color rgb="FF666666"/>
      </right>
      <top style="thin">
        <color rgb="FF595959"/>
      </top>
    </border>
    <border>
      <left style="thin">
        <color rgb="FF595959"/>
      </left>
      <right style="thin">
        <color rgb="FF666666"/>
      </right>
    </border>
    <border>
      <left style="thin">
        <color rgb="FF595959"/>
      </left>
      <right style="thin">
        <color rgb="FF666666"/>
      </right>
      <bottom style="thin">
        <color rgb="FF595959"/>
      </bottom>
    </border>
    <border>
      <right style="thin">
        <color rgb="FF595959"/>
      </right>
      <bottom style="thin">
        <color rgb="FF666666"/>
      </bottom>
    </border>
    <border>
      <right style="thin">
        <color rgb="FF595959"/>
      </right>
      <top style="thin">
        <color rgb="FF666666"/>
      </top>
    </border>
  </borders>
  <cellStyleXfs count="1">
    <xf borderId="0" fillId="0" fontId="0" numFmtId="0" applyAlignment="1" applyFont="1"/>
  </cellStyleXfs>
  <cellXfs count="253">
    <xf borderId="0" fillId="0" fontId="0" numFmtId="0" xfId="0" applyAlignment="1" applyFont="1">
      <alignment readingOrder="0" shrinkToFit="0" vertical="bottom" wrapText="0"/>
    </xf>
    <xf borderId="0" fillId="0" fontId="1" numFmtId="0" xfId="0" applyAlignment="1" applyFont="1">
      <alignment shrinkToFit="0" vertical="center" wrapText="1"/>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4" fillId="0" fontId="3" numFmtId="0" xfId="0" applyAlignment="1" applyBorder="1" applyFont="1">
      <alignment horizontal="center" readingOrder="0" shrinkToFit="0" vertical="center" wrapText="1"/>
    </xf>
    <xf borderId="5" fillId="0" fontId="2" numFmtId="0" xfId="0" applyBorder="1" applyFont="1"/>
    <xf borderId="6" fillId="0" fontId="2" numFmtId="0" xfId="0" applyBorder="1" applyFont="1"/>
    <xf borderId="7" fillId="0" fontId="2" numFmtId="0" xfId="0" applyBorder="1" applyFont="1"/>
    <xf borderId="8" fillId="0" fontId="2" numFmtId="0" xfId="0" applyBorder="1" applyFont="1"/>
    <xf borderId="4" fillId="0" fontId="4" numFmtId="0" xfId="0" applyAlignment="1" applyBorder="1" applyFont="1">
      <alignment horizontal="center" readingOrder="0" shrinkToFit="0" vertical="center" wrapText="1"/>
    </xf>
    <xf borderId="9" fillId="0" fontId="2" numFmtId="0" xfId="0" applyBorder="1" applyFont="1"/>
    <xf borderId="10" fillId="0" fontId="2" numFmtId="0" xfId="0" applyBorder="1" applyFont="1"/>
    <xf borderId="11" fillId="0" fontId="2" numFmtId="0" xfId="0" applyBorder="1" applyFont="1"/>
    <xf borderId="4" fillId="0" fontId="5" numFmtId="0" xfId="0" applyAlignment="1" applyBorder="1" applyFont="1">
      <alignment horizontal="left" readingOrder="0" shrinkToFit="0" vertical="center" wrapText="1"/>
    </xf>
    <xf borderId="0" fillId="0" fontId="4" numFmtId="0" xfId="0" applyAlignment="1" applyFont="1">
      <alignment shrinkToFit="0" wrapText="1"/>
    </xf>
    <xf borderId="12" fillId="2" fontId="4" numFmtId="0" xfId="0" applyAlignment="1" applyBorder="1" applyFill="1" applyFont="1">
      <alignment horizontal="left" shrinkToFit="0" vertical="center" wrapText="1"/>
    </xf>
    <xf borderId="13" fillId="0" fontId="2" numFmtId="0" xfId="0" applyBorder="1" applyFont="1"/>
    <xf borderId="14" fillId="0" fontId="2" numFmtId="0" xfId="0" applyBorder="1" applyFont="1"/>
    <xf borderId="12" fillId="0" fontId="6" numFmtId="0" xfId="0" applyAlignment="1" applyBorder="1" applyFont="1">
      <alignment horizontal="left" readingOrder="0" shrinkToFit="0" vertical="center" wrapText="1"/>
    </xf>
    <xf borderId="4" fillId="3" fontId="4" numFmtId="0" xfId="0" applyAlignment="1" applyBorder="1" applyFill="1" applyFont="1">
      <alignment horizontal="center" readingOrder="0" shrinkToFit="0" vertical="center" wrapText="1"/>
    </xf>
    <xf borderId="4" fillId="2" fontId="4" numFmtId="0" xfId="0" applyAlignment="1" applyBorder="1" applyFont="1">
      <alignment horizontal="center" readingOrder="0" shrinkToFit="0" vertical="center" wrapText="1"/>
    </xf>
    <xf borderId="4" fillId="0" fontId="1" numFmtId="0" xfId="0" applyAlignment="1" applyBorder="1" applyFont="1">
      <alignment readingOrder="0" shrinkToFit="0" vertical="center" wrapText="1"/>
    </xf>
    <xf borderId="4" fillId="0" fontId="7" numFmtId="0" xfId="0" applyAlignment="1" applyBorder="1" applyFont="1">
      <alignment horizontal="center" readingOrder="0" shrinkToFit="0" vertical="center" wrapText="1"/>
    </xf>
    <xf borderId="4" fillId="0" fontId="8" numFmtId="0" xfId="0" applyAlignment="1" applyBorder="1" applyFont="1">
      <alignment horizontal="center" readingOrder="0" shrinkToFit="0" vertical="center" wrapText="1"/>
    </xf>
    <xf borderId="0" fillId="0" fontId="1" numFmtId="0" xfId="0" applyAlignment="1" applyFont="1">
      <alignment readingOrder="0" shrinkToFit="0" vertical="center" wrapText="1"/>
    </xf>
    <xf borderId="12" fillId="2" fontId="4" numFmtId="0" xfId="0" applyAlignment="1" applyBorder="1" applyFont="1">
      <alignment horizontal="center" readingOrder="0" shrinkToFit="0" vertical="center" wrapText="1"/>
    </xf>
    <xf borderId="15" fillId="2" fontId="4" numFmtId="0" xfId="0" applyAlignment="1" applyBorder="1" applyFont="1">
      <alignment horizontal="center" readingOrder="0" shrinkToFit="0" vertical="center" wrapText="1"/>
    </xf>
    <xf borderId="0" fillId="0" fontId="9" numFmtId="0" xfId="0" applyAlignment="1" applyFont="1">
      <alignment shrinkToFit="0" wrapText="1"/>
    </xf>
    <xf borderId="12" fillId="0" fontId="1" numFmtId="0" xfId="0" applyAlignment="1" applyBorder="1" applyFont="1">
      <alignment horizontal="left" readingOrder="0" shrinkToFit="0" vertical="center" wrapText="1"/>
    </xf>
    <xf borderId="12" fillId="0" fontId="1" numFmtId="0" xfId="0" applyAlignment="1" applyBorder="1" applyFont="1">
      <alignment horizontal="left" shrinkToFit="0" vertical="center" wrapText="1"/>
    </xf>
    <xf borderId="12" fillId="0" fontId="1" numFmtId="0" xfId="0" applyAlignment="1" applyBorder="1" applyFont="1">
      <alignment horizontal="center" readingOrder="0" shrinkToFit="0" vertical="center" wrapText="1"/>
    </xf>
    <xf borderId="15" fillId="0" fontId="1" numFmtId="0" xfId="0" applyAlignment="1" applyBorder="1" applyFont="1">
      <alignment horizontal="center" shrinkToFit="0" vertical="center" wrapText="1"/>
    </xf>
    <xf borderId="0" fillId="0" fontId="4" numFmtId="0" xfId="0" applyAlignment="1" applyFont="1">
      <alignment shrinkToFit="0" vertical="center" wrapText="1"/>
    </xf>
    <xf borderId="0" fillId="0" fontId="6" numFmtId="0" xfId="0" applyAlignment="1" applyFont="1">
      <alignment horizontal="center" shrinkToFit="0" vertical="center" wrapText="1"/>
    </xf>
    <xf borderId="1" fillId="2" fontId="4" numFmtId="0" xfId="0" applyAlignment="1" applyBorder="1" applyFont="1">
      <alignment horizontal="center" readingOrder="0" shrinkToFit="0" vertical="center" wrapText="1"/>
    </xf>
    <xf borderId="16" fillId="2" fontId="10" numFmtId="0" xfId="0" applyAlignment="1" applyBorder="1" applyFont="1">
      <alignment horizontal="center" readingOrder="0" shrinkToFit="0" vertical="center" wrapText="1"/>
    </xf>
    <xf borderId="17" fillId="2" fontId="9" numFmtId="0" xfId="0" applyAlignment="1" applyBorder="1" applyFont="1">
      <alignment horizontal="center" shrinkToFit="0" vertical="center" wrapText="1"/>
    </xf>
    <xf borderId="18" fillId="0" fontId="2" numFmtId="0" xfId="0" applyBorder="1" applyFont="1"/>
    <xf borderId="5" fillId="0" fontId="1" numFmtId="0" xfId="0" applyAlignment="1" applyBorder="1" applyFont="1">
      <alignment horizontal="left" readingOrder="0" shrinkToFit="0" vertical="center" wrapText="1"/>
    </xf>
    <xf borderId="17" fillId="0" fontId="1" numFmtId="0" xfId="0" applyAlignment="1" applyBorder="1" applyFont="1">
      <alignment horizontal="center" readingOrder="0" shrinkToFit="0" vertical="center" wrapText="1"/>
    </xf>
    <xf borderId="17" fillId="0" fontId="1" numFmtId="0" xfId="0" applyAlignment="1" applyBorder="1" applyFont="1">
      <alignment horizontal="center" shrinkToFit="0" vertical="center" wrapText="1"/>
    </xf>
    <xf borderId="17" fillId="0" fontId="1" numFmtId="2" xfId="0" applyAlignment="1" applyBorder="1" applyFont="1" applyNumberFormat="1">
      <alignment horizontal="center" shrinkToFit="0" vertical="center" wrapText="1"/>
    </xf>
    <xf borderId="1" fillId="0" fontId="1" numFmtId="0" xfId="0" applyAlignment="1" applyBorder="1" applyFont="1">
      <alignment horizontal="left" shrinkToFit="0" vertical="center" wrapText="1"/>
    </xf>
    <xf borderId="0" fillId="4" fontId="6" numFmtId="0" xfId="0" applyAlignment="1" applyFill="1" applyFont="1">
      <alignment horizontal="left" shrinkToFit="0" vertical="center" wrapText="1"/>
    </xf>
    <xf borderId="4" fillId="2" fontId="4" numFmtId="0" xfId="0" applyAlignment="1" applyBorder="1" applyFont="1">
      <alignment horizontal="center" shrinkToFit="0" vertical="center" wrapText="1"/>
    </xf>
    <xf borderId="0" fillId="0" fontId="11" numFmtId="0" xfId="0" applyAlignment="1" applyFont="1">
      <alignment horizontal="center" shrinkToFit="0" vertical="center" wrapText="1"/>
    </xf>
    <xf borderId="4" fillId="5" fontId="4" numFmtId="0" xfId="0" applyAlignment="1" applyBorder="1" applyFill="1" applyFont="1">
      <alignment horizontal="center" readingOrder="0" shrinkToFit="0" vertical="center" wrapText="1"/>
    </xf>
    <xf borderId="4" fillId="5" fontId="9" numFmtId="0" xfId="0" applyAlignment="1" applyBorder="1" applyFont="1">
      <alignment horizontal="center" readingOrder="0" shrinkToFit="0" vertical="center" wrapText="1"/>
    </xf>
    <xf borderId="4" fillId="0" fontId="1" numFmtId="9" xfId="0" applyAlignment="1" applyBorder="1" applyFont="1" applyNumberFormat="1">
      <alignment horizontal="center" readingOrder="0" shrinkToFit="0" vertical="center" wrapText="1"/>
    </xf>
    <xf borderId="4" fillId="0" fontId="1" numFmtId="0" xfId="0" applyAlignment="1" applyBorder="1" applyFont="1">
      <alignment horizontal="left" readingOrder="0" shrinkToFit="0" vertical="center" wrapText="1"/>
    </xf>
    <xf borderId="1" fillId="0" fontId="12" numFmtId="0" xfId="0" applyAlignment="1" applyBorder="1" applyFont="1">
      <alignment horizontal="center" readingOrder="0" shrinkToFit="0" vertical="center" wrapText="1"/>
    </xf>
    <xf borderId="1" fillId="0" fontId="1" numFmtId="10" xfId="0" applyAlignment="1" applyBorder="1" applyFont="1" applyNumberFormat="1">
      <alignment horizontal="center" shrinkToFit="0" vertical="center" wrapText="1"/>
    </xf>
    <xf borderId="0" fillId="4" fontId="1" numFmtId="10" xfId="0" applyAlignment="1" applyFont="1" applyNumberFormat="1">
      <alignment shrinkToFit="0" vertical="center" wrapText="1"/>
    </xf>
    <xf borderId="4" fillId="0" fontId="9" numFmtId="0" xfId="0" applyAlignment="1" applyBorder="1" applyFont="1">
      <alignment horizontal="center" readingOrder="0" shrinkToFit="0" vertical="center" wrapText="1"/>
    </xf>
    <xf borderId="15" fillId="0" fontId="13" numFmtId="0" xfId="0" applyAlignment="1" applyBorder="1" applyFont="1">
      <alignment horizontal="center" readingOrder="0" shrinkToFit="0" vertical="center" wrapText="1"/>
    </xf>
    <xf borderId="0" fillId="0" fontId="1" numFmtId="0" xfId="0" applyAlignment="1" applyFont="1">
      <alignment horizontal="left" readingOrder="0" shrinkToFit="0" vertical="center" wrapText="1"/>
    </xf>
    <xf borderId="0" fillId="0" fontId="1" numFmtId="10" xfId="0" applyAlignment="1" applyFont="1" applyNumberFormat="1">
      <alignment horizontal="left" readingOrder="0" shrinkToFit="0" vertical="center" wrapText="1"/>
    </xf>
    <xf borderId="4" fillId="0" fontId="1" numFmtId="0" xfId="0" applyAlignment="1" applyBorder="1" applyFont="1">
      <alignment shrinkToFit="0" vertical="center" wrapText="1"/>
    </xf>
    <xf borderId="19" fillId="0" fontId="12" numFmtId="0" xfId="0" applyAlignment="1" applyBorder="1" applyFont="1">
      <alignment horizontal="left" shrinkToFit="0" vertical="center" wrapText="1"/>
    </xf>
    <xf borderId="20" fillId="0" fontId="2" numFmtId="0" xfId="0" applyBorder="1" applyFont="1"/>
    <xf borderId="21" fillId="0" fontId="2" numFmtId="0" xfId="0" applyBorder="1" applyFont="1"/>
    <xf borderId="4" fillId="0" fontId="14" numFmtId="0" xfId="0" applyAlignment="1" applyBorder="1" applyFont="1">
      <alignment horizontal="center" readingOrder="0" shrinkToFit="0" vertical="center" wrapText="1"/>
    </xf>
    <xf borderId="17" fillId="6" fontId="9" numFmtId="0" xfId="0" applyAlignment="1" applyBorder="1" applyFill="1" applyFont="1">
      <alignment horizontal="center" readingOrder="0" shrinkToFit="0" vertical="center" wrapText="1"/>
    </xf>
    <xf borderId="4" fillId="0" fontId="15" numFmtId="0" xfId="0" applyAlignment="1" applyBorder="1" applyFont="1">
      <alignment readingOrder="0" shrinkToFit="0" vertical="center" wrapText="1"/>
    </xf>
    <xf borderId="5" fillId="0" fontId="15" numFmtId="0" xfId="0" applyAlignment="1" applyBorder="1" applyFont="1">
      <alignment shrinkToFit="0" vertical="center" wrapText="1"/>
    </xf>
    <xf borderId="1" fillId="5" fontId="1" numFmtId="0" xfId="0" applyAlignment="1" applyBorder="1" applyFont="1">
      <alignment readingOrder="0" shrinkToFit="0" vertical="center" wrapText="1"/>
    </xf>
    <xf borderId="4" fillId="7" fontId="9" numFmtId="0" xfId="0" applyAlignment="1" applyBorder="1" applyFill="1" applyFont="1">
      <alignment readingOrder="0" shrinkToFit="0" vertical="center" wrapText="1"/>
    </xf>
    <xf borderId="4" fillId="5" fontId="1" numFmtId="0" xfId="0" applyAlignment="1" applyBorder="1" applyFont="1">
      <alignment readingOrder="0" shrinkToFit="0" vertical="center" wrapText="1"/>
    </xf>
    <xf borderId="4" fillId="8" fontId="9" numFmtId="0" xfId="0" applyAlignment="1" applyBorder="1" applyFill="1" applyFont="1">
      <alignment readingOrder="0" shrinkToFit="0" vertical="center" wrapText="1"/>
    </xf>
    <xf borderId="4" fillId="9" fontId="9" numFmtId="0" xfId="0" applyAlignment="1" applyBorder="1" applyFill="1" applyFont="1">
      <alignment readingOrder="0" shrinkToFit="0" vertical="center" wrapText="1"/>
    </xf>
    <xf borderId="16" fillId="0" fontId="4" numFmtId="0" xfId="0" applyAlignment="1" applyBorder="1" applyFont="1">
      <alignment horizontal="center" readingOrder="0" shrinkToFit="0" textRotation="90" vertical="center" wrapText="1"/>
    </xf>
    <xf borderId="17" fillId="0" fontId="9" numFmtId="0" xfId="0" applyAlignment="1" applyBorder="1" applyFont="1">
      <alignment horizontal="left" readingOrder="0" shrinkToFit="0" vertical="center" wrapText="1"/>
    </xf>
    <xf borderId="22" fillId="0" fontId="2" numFmtId="0" xfId="0" applyBorder="1" applyFont="1"/>
    <xf borderId="0" fillId="10" fontId="1" numFmtId="0" xfId="0" applyAlignment="1" applyFill="1" applyFont="1">
      <alignment readingOrder="0" shrinkToFit="0" vertical="center" wrapText="1"/>
    </xf>
    <xf borderId="0" fillId="10" fontId="1" numFmtId="0" xfId="0" applyAlignment="1" applyFont="1">
      <alignment shrinkToFit="0" vertical="center" wrapText="1"/>
    </xf>
    <xf borderId="0" fillId="10" fontId="1" numFmtId="10" xfId="0" applyAlignment="1" applyFont="1" applyNumberFormat="1">
      <alignment shrinkToFit="0" vertical="center" wrapText="1"/>
    </xf>
    <xf borderId="4" fillId="0" fontId="4" numFmtId="0" xfId="0" applyAlignment="1" applyBorder="1" applyFont="1">
      <alignment readingOrder="0" shrinkToFit="0" vertical="center" wrapText="1"/>
    </xf>
    <xf borderId="1" fillId="0" fontId="1" numFmtId="0" xfId="0" applyAlignment="1" applyBorder="1" applyFont="1">
      <alignment horizontal="left" shrinkToFit="0" vertical="center" wrapText="1"/>
    </xf>
    <xf borderId="4" fillId="0" fontId="1" numFmtId="0" xfId="0" applyAlignment="1" applyBorder="1" applyFont="1">
      <alignment horizontal="left" shrinkToFit="0" vertical="center" wrapText="1"/>
    </xf>
    <xf borderId="16" fillId="0" fontId="9" numFmtId="0" xfId="0" applyAlignment="1" applyBorder="1" applyFont="1">
      <alignment horizontal="center" readingOrder="0" shrinkToFit="0" textRotation="90" vertical="center" wrapText="1"/>
    </xf>
    <xf borderId="1" fillId="0" fontId="1" numFmtId="0" xfId="0" applyAlignment="1" applyBorder="1" applyFont="1">
      <alignment horizontal="center" readingOrder="0" shrinkToFit="0" vertical="center" wrapText="1"/>
    </xf>
    <xf borderId="4" fillId="0" fontId="9" numFmtId="0" xfId="0" applyAlignment="1" applyBorder="1" applyFont="1">
      <alignment readingOrder="0" shrinkToFit="0" vertical="center" wrapText="1"/>
    </xf>
    <xf borderId="4" fillId="0" fontId="1" numFmtId="0" xfId="0" applyAlignment="1" applyBorder="1" applyFont="1">
      <alignment horizontal="center" readingOrder="0" shrinkToFit="0" vertical="center" wrapText="1"/>
    </xf>
    <xf borderId="0" fillId="0" fontId="1" numFmtId="0" xfId="0" applyAlignment="1" applyFont="1">
      <alignment horizontal="center" shrinkToFit="0" vertical="center" wrapText="1"/>
    </xf>
    <xf borderId="4" fillId="0" fontId="1" numFmtId="0" xfId="0" applyAlignment="1" applyBorder="1" applyFont="1">
      <alignment horizontal="center" shrinkToFit="0" vertical="center" wrapText="1"/>
    </xf>
    <xf borderId="0" fillId="0" fontId="6" numFmtId="0" xfId="0" applyAlignment="1" applyFont="1">
      <alignment shrinkToFit="0" vertical="center" wrapText="1"/>
    </xf>
    <xf borderId="0" fillId="0" fontId="6" numFmtId="0" xfId="0" applyAlignment="1" applyFont="1">
      <alignment shrinkToFit="0" vertical="top" wrapText="1"/>
    </xf>
    <xf borderId="0" fillId="0" fontId="6" numFmtId="0" xfId="0" applyAlignment="1" applyFont="1">
      <alignment horizontal="left" shrinkToFit="0" vertical="center" wrapText="1"/>
    </xf>
    <xf borderId="23" fillId="0" fontId="6" numFmtId="0" xfId="0" applyAlignment="1" applyBorder="1" applyFont="1">
      <alignment horizontal="center" shrinkToFit="0" vertical="top" wrapText="1"/>
    </xf>
    <xf borderId="24" fillId="0" fontId="2" numFmtId="0" xfId="0" applyBorder="1" applyFont="1"/>
    <xf borderId="12" fillId="0" fontId="3" numFmtId="0" xfId="0" applyAlignment="1" applyBorder="1" applyFont="1">
      <alignment horizontal="center" shrinkToFit="0" vertical="center" wrapText="1"/>
    </xf>
    <xf borderId="0" fillId="0" fontId="3" numFmtId="0" xfId="0" applyAlignment="1" applyFont="1">
      <alignment horizontal="center" shrinkToFit="0" vertical="center" wrapText="1"/>
    </xf>
    <xf borderId="25" fillId="0" fontId="2" numFmtId="0" xfId="0" applyBorder="1" applyFont="1"/>
    <xf borderId="26" fillId="0" fontId="2" numFmtId="0" xfId="0" applyBorder="1" applyFont="1"/>
    <xf borderId="12" fillId="0" fontId="4" numFmtId="0" xfId="0" applyAlignment="1" applyBorder="1" applyFont="1">
      <alignment horizontal="center" readingOrder="0" shrinkToFit="0" vertical="center" wrapText="1"/>
    </xf>
    <xf borderId="0" fillId="0" fontId="4" numFmtId="0" xfId="0" applyAlignment="1" applyFont="1">
      <alignment horizontal="center" readingOrder="0" shrinkToFit="0" vertical="center" wrapText="1"/>
    </xf>
    <xf borderId="27" fillId="0" fontId="2" numFmtId="0" xfId="0" applyBorder="1" applyFont="1"/>
    <xf borderId="28" fillId="0" fontId="2" numFmtId="0" xfId="0" applyBorder="1" applyFont="1"/>
    <xf borderId="12" fillId="0" fontId="16" numFmtId="0" xfId="0" applyAlignment="1" applyBorder="1" applyFont="1">
      <alignment shrinkToFit="0" vertical="center" wrapText="1"/>
    </xf>
    <xf borderId="4" fillId="0" fontId="17" numFmtId="0" xfId="0" applyAlignment="1" applyBorder="1" applyFont="1">
      <alignment horizontal="left" shrinkToFit="0" vertical="center" wrapText="1"/>
    </xf>
    <xf borderId="0" fillId="0" fontId="17" numFmtId="0" xfId="0" applyAlignment="1" applyFont="1">
      <alignment shrinkToFit="0" vertical="center" wrapText="1"/>
    </xf>
    <xf borderId="0" fillId="0" fontId="4" numFmtId="0" xfId="0" applyAlignment="1" applyFont="1">
      <alignment horizontal="center" shrinkToFit="0" vertical="top" wrapText="1"/>
    </xf>
    <xf borderId="0" fillId="0" fontId="4" numFmtId="0" xfId="0" applyAlignment="1" applyFont="1">
      <alignment horizontal="center" shrinkToFit="0" vertical="center" wrapText="1"/>
    </xf>
    <xf borderId="12" fillId="11" fontId="4" numFmtId="0" xfId="0" applyAlignment="1" applyBorder="1" applyFill="1" applyFont="1">
      <alignment horizontal="center" shrinkToFit="0" vertical="top" wrapText="1"/>
    </xf>
    <xf borderId="12" fillId="12" fontId="4" numFmtId="0" xfId="0" applyAlignment="1" applyBorder="1" applyFill="1" applyFont="1">
      <alignment horizontal="center" shrinkToFit="0" vertical="center" wrapText="1"/>
    </xf>
    <xf borderId="12" fillId="13" fontId="18" numFmtId="0" xfId="0" applyAlignment="1" applyBorder="1" applyFill="1" applyFont="1">
      <alignment horizontal="center" shrinkToFit="0" vertical="center" wrapText="1"/>
    </xf>
    <xf borderId="29" fillId="14" fontId="18" numFmtId="0" xfId="0" applyAlignment="1" applyBorder="1" applyFill="1" applyFont="1">
      <alignment horizontal="center" shrinkToFit="0" vertical="center" wrapText="1"/>
    </xf>
    <xf borderId="0" fillId="0" fontId="18" numFmtId="0" xfId="0" applyAlignment="1" applyFont="1">
      <alignment horizontal="center" shrinkToFit="0" vertical="center" wrapText="1"/>
    </xf>
    <xf borderId="23" fillId="15" fontId="4" numFmtId="0" xfId="0" applyAlignment="1" applyBorder="1" applyFill="1" applyFont="1">
      <alignment horizontal="center" shrinkToFit="0" vertical="top" wrapText="1"/>
    </xf>
    <xf borderId="30" fillId="0" fontId="2" numFmtId="0" xfId="0" applyBorder="1" applyFont="1"/>
    <xf borderId="23" fillId="16" fontId="4" numFmtId="0" xfId="0" applyAlignment="1" applyBorder="1" applyFill="1" applyFont="1">
      <alignment horizontal="center" shrinkToFit="0" vertical="center" wrapText="1"/>
    </xf>
    <xf borderId="31" fillId="17" fontId="4" numFmtId="0" xfId="0" applyAlignment="1" applyBorder="1" applyFill="1" applyFont="1">
      <alignment horizontal="center" shrinkToFit="0" vertical="center" wrapText="1"/>
    </xf>
    <xf borderId="23" fillId="18" fontId="4" numFmtId="0" xfId="0" applyAlignment="1" applyBorder="1" applyFill="1" applyFont="1">
      <alignment horizontal="center" shrinkToFit="0" vertical="center" wrapText="1"/>
    </xf>
    <xf borderId="12" fillId="19" fontId="4" numFmtId="0" xfId="0" applyAlignment="1" applyBorder="1" applyFill="1" applyFont="1">
      <alignment horizontal="center" shrinkToFit="0" vertical="center" wrapText="1"/>
    </xf>
    <xf borderId="23" fillId="20" fontId="11" numFmtId="0" xfId="0" applyAlignment="1" applyBorder="1" applyFill="1" applyFont="1">
      <alignment horizontal="center" shrinkToFit="0" vertical="center" wrapText="1"/>
    </xf>
    <xf borderId="23" fillId="21" fontId="11" numFmtId="0" xfId="0" applyAlignment="1" applyBorder="1" applyFill="1" applyFont="1">
      <alignment horizontal="center" shrinkToFit="0" vertical="center" wrapText="1"/>
    </xf>
    <xf borderId="23" fillId="22" fontId="18" numFmtId="0" xfId="0" applyAlignment="1" applyBorder="1" applyFill="1" applyFont="1">
      <alignment horizontal="center" shrinkToFit="0" vertical="center" wrapText="1"/>
    </xf>
    <xf borderId="32" fillId="0" fontId="2" numFmtId="0" xfId="0" applyBorder="1" applyFont="1"/>
    <xf borderId="33" fillId="0" fontId="2" numFmtId="0" xfId="0" applyBorder="1" applyFont="1"/>
    <xf borderId="12" fillId="19" fontId="4" numFmtId="0" xfId="0" applyAlignment="1" applyBorder="1" applyFont="1">
      <alignment horizontal="center" readingOrder="0" shrinkToFit="0" vertical="center" wrapText="1"/>
    </xf>
    <xf borderId="31" fillId="23" fontId="4" numFmtId="0" xfId="0" applyAlignment="1" applyBorder="1" applyFill="1" applyFont="1">
      <alignment horizontal="center" shrinkToFit="0" vertical="top" wrapText="1"/>
    </xf>
    <xf borderId="31" fillId="23" fontId="4" numFmtId="0" xfId="0" applyAlignment="1" applyBorder="1" applyFont="1">
      <alignment horizontal="center" shrinkToFit="0" vertical="center" wrapText="1"/>
    </xf>
    <xf borderId="31" fillId="23" fontId="4" numFmtId="0" xfId="0" applyAlignment="1" applyBorder="1" applyFont="1">
      <alignment horizontal="center" readingOrder="0" shrinkToFit="0" vertical="center" wrapText="1"/>
    </xf>
    <xf borderId="31" fillId="24" fontId="9" numFmtId="0" xfId="0" applyAlignment="1" applyBorder="1" applyFill="1" applyFont="1">
      <alignment horizontal="center" shrinkToFit="0" vertical="center" wrapText="1"/>
    </xf>
    <xf borderId="31" fillId="24" fontId="9" numFmtId="0" xfId="0" applyAlignment="1" applyBorder="1" applyFont="1">
      <alignment horizontal="center" readingOrder="0" shrinkToFit="0" vertical="center" wrapText="1"/>
    </xf>
    <xf borderId="31" fillId="24" fontId="4" numFmtId="0" xfId="0" applyAlignment="1" applyBorder="1" applyFont="1">
      <alignment horizontal="center" shrinkToFit="0" vertical="center" wrapText="1"/>
    </xf>
    <xf borderId="31" fillId="24" fontId="4" numFmtId="0" xfId="0" applyAlignment="1" applyBorder="1" applyFont="1">
      <alignment horizontal="center" readingOrder="0" shrinkToFit="0" vertical="center" wrapText="1"/>
    </xf>
    <xf borderId="31" fillId="20" fontId="18" numFmtId="0" xfId="0" applyAlignment="1" applyBorder="1" applyFont="1">
      <alignment horizontal="center" shrinkToFit="0" vertical="center" wrapText="1"/>
    </xf>
    <xf borderId="31" fillId="20" fontId="9" numFmtId="0" xfId="0" applyAlignment="1" applyBorder="1" applyFont="1">
      <alignment horizontal="center" shrinkToFit="0" vertical="center" wrapText="1"/>
    </xf>
    <xf borderId="31" fillId="20" fontId="18" numFmtId="0" xfId="0" applyAlignment="1" applyBorder="1" applyFont="1">
      <alignment horizontal="center" shrinkToFit="0" vertical="center" wrapText="1"/>
    </xf>
    <xf borderId="31" fillId="20" fontId="19" numFmtId="0" xfId="0" applyAlignment="1" applyBorder="1" applyFont="1">
      <alignment horizontal="center" shrinkToFit="0" vertical="center" wrapText="1"/>
    </xf>
    <xf borderId="31" fillId="20" fontId="18" numFmtId="0" xfId="0" applyAlignment="1" applyBorder="1" applyFont="1">
      <alignment horizontal="center" readingOrder="0" shrinkToFit="0" vertical="center" wrapText="1"/>
    </xf>
    <xf borderId="31" fillId="22" fontId="4" numFmtId="0" xfId="0" applyAlignment="1" applyBorder="1" applyFont="1">
      <alignment horizontal="center" shrinkToFit="0" vertical="center" wrapText="1"/>
    </xf>
    <xf borderId="31" fillId="22" fontId="20" numFmtId="0" xfId="0" applyAlignment="1" applyBorder="1" applyFont="1">
      <alignment horizontal="center" shrinkToFit="0" vertical="center" wrapText="1"/>
    </xf>
    <xf borderId="31" fillId="22" fontId="21" numFmtId="0" xfId="0" applyAlignment="1" applyBorder="1" applyFont="1">
      <alignment horizontal="center" shrinkToFit="0" vertical="center" wrapText="1"/>
    </xf>
    <xf borderId="16" fillId="22" fontId="18" numFmtId="0" xfId="0" applyAlignment="1" applyBorder="1" applyFont="1">
      <alignment horizontal="center" shrinkToFit="0" vertical="center" wrapText="1"/>
    </xf>
    <xf borderId="34" fillId="21" fontId="18" numFmtId="0" xfId="0" applyAlignment="1" applyBorder="1" applyFont="1">
      <alignment horizontal="center" shrinkToFit="0" vertical="center" wrapText="1"/>
    </xf>
    <xf borderId="31" fillId="21" fontId="18" numFmtId="0" xfId="0" applyAlignment="1" applyBorder="1" applyFont="1">
      <alignment horizontal="center" shrinkToFit="0" vertical="center" wrapText="1"/>
    </xf>
    <xf borderId="0" fillId="0" fontId="1" numFmtId="0" xfId="0" applyAlignment="1" applyFont="1">
      <alignment horizontal="left" shrinkToFit="0" vertical="center" wrapText="1"/>
    </xf>
    <xf borderId="16" fillId="0" fontId="22" numFmtId="0" xfId="0" applyAlignment="1" applyBorder="1" applyFont="1">
      <alignment horizontal="center" readingOrder="0" shrinkToFit="0" vertical="top" wrapText="1"/>
    </xf>
    <xf borderId="16" fillId="0" fontId="1" numFmtId="0" xfId="0" applyAlignment="1" applyBorder="1" applyFont="1">
      <alignment horizontal="center" shrinkToFit="0" vertical="top" wrapText="1"/>
    </xf>
    <xf borderId="16" fillId="0" fontId="1" numFmtId="0" xfId="0" applyAlignment="1" applyBorder="1" applyFont="1">
      <alignment horizontal="left" shrinkToFit="0" vertical="center" wrapText="1"/>
    </xf>
    <xf borderId="24" fillId="0" fontId="1" numFmtId="0" xfId="0" applyAlignment="1" applyBorder="1" applyFont="1">
      <alignment horizontal="left" shrinkToFit="0" vertical="center" wrapText="1"/>
    </xf>
    <xf borderId="31" fillId="0" fontId="1" numFmtId="0" xfId="0" applyAlignment="1" applyBorder="1" applyFont="1">
      <alignment horizontal="left" shrinkToFit="0" vertical="center" wrapText="1"/>
    </xf>
    <xf borderId="31" fillId="0" fontId="1" numFmtId="0" xfId="0" applyAlignment="1" applyBorder="1" applyFont="1">
      <alignment horizontal="center" shrinkToFit="0" vertical="center" wrapText="1"/>
    </xf>
    <xf borderId="35" fillId="0" fontId="1" numFmtId="0" xfId="0" applyAlignment="1" applyBorder="1" applyFont="1">
      <alignment horizontal="center" shrinkToFit="0" vertical="center" wrapText="1"/>
    </xf>
    <xf borderId="36" fillId="0" fontId="1" numFmtId="0" xfId="0" applyAlignment="1" applyBorder="1" applyFont="1">
      <alignment shrinkToFit="0" vertical="center" wrapText="1"/>
    </xf>
    <xf borderId="36" fillId="0" fontId="1" numFmtId="14" xfId="0" applyAlignment="1" applyBorder="1" applyFont="1" applyNumberFormat="1">
      <alignment horizontal="center" shrinkToFit="0" vertical="center" wrapText="1"/>
    </xf>
    <xf borderId="24" fillId="0" fontId="1" numFmtId="0" xfId="0" applyAlignment="1" applyBorder="1" applyFont="1">
      <alignment horizontal="center" shrinkToFit="0" vertical="center" wrapText="1"/>
    </xf>
    <xf borderId="15" fillId="0" fontId="1" numFmtId="0" xfId="0" applyAlignment="1" applyBorder="1" applyFont="1">
      <alignment horizontal="left" shrinkToFit="0" vertical="center" wrapText="1"/>
    </xf>
    <xf borderId="15" fillId="0" fontId="1" numFmtId="164" xfId="0" applyAlignment="1" applyBorder="1" applyFont="1" applyNumberFormat="1">
      <alignment horizontal="center" shrinkToFit="0" vertical="center" wrapText="1"/>
    </xf>
    <xf borderId="15" fillId="0" fontId="1" numFmtId="0" xfId="0" applyAlignment="1" applyBorder="1" applyFont="1">
      <alignment horizontal="left" readingOrder="0" shrinkToFit="0" vertical="center" wrapText="1"/>
    </xf>
    <xf borderId="15" fillId="0" fontId="23" numFmtId="0" xfId="0" applyAlignment="1" applyBorder="1" applyFont="1">
      <alignment horizontal="center" shrinkToFit="0" vertical="center" wrapText="1"/>
    </xf>
    <xf borderId="33" fillId="0" fontId="1" numFmtId="0" xfId="0" applyAlignment="1" applyBorder="1" applyFont="1">
      <alignment horizontal="center" shrinkToFit="0" vertical="center" wrapText="1"/>
    </xf>
    <xf borderId="33" fillId="0" fontId="1" numFmtId="0" xfId="0" applyAlignment="1" applyBorder="1" applyFont="1">
      <alignment horizontal="left" shrinkToFit="0" vertical="center" wrapText="1"/>
    </xf>
    <xf borderId="34" fillId="0" fontId="2" numFmtId="0" xfId="0" applyBorder="1" applyFont="1"/>
    <xf borderId="37" fillId="0" fontId="2" numFmtId="0" xfId="0" applyBorder="1" applyFont="1"/>
    <xf borderId="8" fillId="0" fontId="1" numFmtId="0" xfId="0" applyAlignment="1" applyBorder="1" applyFont="1">
      <alignment shrinkToFit="0" vertical="center" wrapText="1"/>
    </xf>
    <xf borderId="8" fillId="0" fontId="1" numFmtId="14" xfId="0" applyAlignment="1" applyBorder="1" applyFont="1" applyNumberFormat="1">
      <alignment horizontal="center" shrinkToFit="0" vertical="center" wrapText="1"/>
    </xf>
    <xf borderId="15" fillId="0" fontId="24" numFmtId="0" xfId="0" applyAlignment="1" applyBorder="1" applyFont="1">
      <alignment horizontal="center" readingOrder="0" shrinkToFit="0" vertical="center" wrapText="1"/>
    </xf>
    <xf borderId="0" fillId="0" fontId="1" numFmtId="0" xfId="0" applyAlignment="1" applyFont="1">
      <alignment shrinkToFit="0" vertical="center" wrapText="1"/>
    </xf>
    <xf borderId="38" fillId="0" fontId="2" numFmtId="0" xfId="0" applyBorder="1" applyFont="1"/>
    <xf borderId="11" fillId="0" fontId="1" numFmtId="0" xfId="0" applyAlignment="1" applyBorder="1" applyFont="1">
      <alignment shrinkToFit="0" vertical="center" wrapText="1"/>
    </xf>
    <xf borderId="11" fillId="0" fontId="1" numFmtId="14" xfId="0" applyAlignment="1" applyBorder="1" applyFont="1" applyNumberFormat="1">
      <alignment horizontal="center" shrinkToFit="0" vertical="center" wrapText="1"/>
    </xf>
    <xf borderId="15" fillId="0" fontId="1" numFmtId="165" xfId="0" applyAlignment="1" applyBorder="1" applyFont="1" applyNumberFormat="1">
      <alignment horizontal="center" shrinkToFit="0" vertical="center" wrapText="1"/>
    </xf>
    <xf borderId="34" fillId="0" fontId="1" numFmtId="0" xfId="0" applyAlignment="1" applyBorder="1" applyFont="1">
      <alignment horizontal="center" shrinkToFit="0" vertical="center" wrapText="1"/>
    </xf>
    <xf borderId="26" fillId="0" fontId="1" numFmtId="0" xfId="0" applyAlignment="1" applyBorder="1" applyFont="1">
      <alignment shrinkToFit="0" vertical="center" wrapText="1"/>
    </xf>
    <xf borderId="26" fillId="0" fontId="1" numFmtId="14" xfId="0" applyAlignment="1" applyBorder="1" applyFont="1" applyNumberFormat="1">
      <alignment horizontal="center" shrinkToFit="0" vertical="center" wrapText="1"/>
    </xf>
    <xf borderId="26" fillId="0" fontId="1" numFmtId="0" xfId="0" applyAlignment="1" applyBorder="1" applyFont="1">
      <alignment horizontal="center" shrinkToFit="0" vertical="center" wrapText="1"/>
    </xf>
    <xf borderId="8" fillId="0" fontId="1" numFmtId="0" xfId="0" applyAlignment="1" applyBorder="1" applyFont="1">
      <alignment horizontal="center" shrinkToFit="0" vertical="center" wrapText="1"/>
    </xf>
    <xf borderId="15" fillId="0" fontId="1" numFmtId="166" xfId="0" applyAlignment="1" applyBorder="1" applyFont="1" applyNumberFormat="1">
      <alignment horizontal="center" shrinkToFit="0" vertical="center" wrapText="1"/>
    </xf>
    <xf borderId="15" fillId="0" fontId="1" numFmtId="167" xfId="0" applyAlignment="1" applyBorder="1" applyFont="1" applyNumberFormat="1">
      <alignment horizontal="center" shrinkToFit="0" vertical="center" wrapText="1"/>
    </xf>
    <xf borderId="39" fillId="0" fontId="1" numFmtId="0" xfId="0" applyAlignment="1" applyBorder="1" applyFont="1">
      <alignment shrinkToFit="0" vertical="center" wrapText="1"/>
    </xf>
    <xf borderId="39" fillId="0" fontId="1" numFmtId="14" xfId="0" applyAlignment="1" applyBorder="1" applyFont="1" applyNumberFormat="1">
      <alignment horizontal="center" shrinkToFit="0" vertical="center" wrapText="1"/>
    </xf>
    <xf borderId="39" fillId="0" fontId="1" numFmtId="0" xfId="0" applyAlignment="1" applyBorder="1" applyFont="1">
      <alignment horizontal="center" shrinkToFit="0" vertical="center" wrapText="1"/>
    </xf>
    <xf borderId="11" fillId="0" fontId="1" numFmtId="0" xfId="0" applyAlignment="1" applyBorder="1" applyFont="1">
      <alignment horizontal="center" shrinkToFit="0" vertical="center" wrapText="1"/>
    </xf>
    <xf borderId="34" fillId="0" fontId="1" numFmtId="0" xfId="0" applyAlignment="1" applyBorder="1" applyFont="1">
      <alignment horizontal="left" shrinkToFit="0" vertical="center" wrapText="1"/>
    </xf>
    <xf borderId="37" fillId="0" fontId="1" numFmtId="0" xfId="0" applyAlignment="1" applyBorder="1" applyFont="1">
      <alignment horizontal="center" shrinkToFit="0" vertical="center" wrapText="1"/>
    </xf>
    <xf borderId="15" fillId="0" fontId="1" numFmtId="168" xfId="0" applyAlignment="1" applyBorder="1" applyFont="1" applyNumberFormat="1">
      <alignment horizontal="center" shrinkToFit="0" vertical="center" wrapText="1"/>
    </xf>
    <xf borderId="16" fillId="0" fontId="1" numFmtId="15" xfId="0" applyAlignment="1" applyBorder="1" applyFont="1" applyNumberFormat="1">
      <alignment horizontal="center" shrinkToFit="0" vertical="top" wrapText="1"/>
    </xf>
    <xf borderId="15" fillId="0" fontId="1" numFmtId="169" xfId="0" applyAlignment="1" applyBorder="1" applyFont="1" applyNumberFormat="1">
      <alignment horizontal="center" shrinkToFit="0" vertical="center" wrapText="1"/>
    </xf>
    <xf borderId="15" fillId="0" fontId="25" numFmtId="0" xfId="0" applyAlignment="1" applyBorder="1" applyFont="1">
      <alignment horizontal="left" shrinkToFit="0" vertical="center" wrapText="1"/>
    </xf>
    <xf borderId="15" fillId="0" fontId="1" numFmtId="170" xfId="0" applyAlignment="1" applyBorder="1" applyFont="1" applyNumberFormat="1">
      <alignment horizontal="center" shrinkToFit="0" vertical="center" wrapText="1"/>
    </xf>
    <xf borderId="15" fillId="0" fontId="1" numFmtId="171" xfId="0" applyAlignment="1" applyBorder="1" applyFont="1" applyNumberFormat="1">
      <alignment horizontal="center" shrinkToFit="0" vertical="center" wrapText="1"/>
    </xf>
    <xf borderId="25" fillId="0" fontId="1" numFmtId="0" xfId="0" applyAlignment="1" applyBorder="1" applyFont="1">
      <alignment horizontal="center" shrinkToFit="0" vertical="center" wrapText="1"/>
    </xf>
    <xf borderId="16" fillId="0" fontId="1" numFmtId="0" xfId="0" applyAlignment="1" applyBorder="1" applyFont="1">
      <alignment shrinkToFit="0" vertical="center" wrapText="1"/>
    </xf>
    <xf borderId="16" fillId="0" fontId="1" numFmtId="14" xfId="0" applyAlignment="1" applyBorder="1" applyFont="1" applyNumberFormat="1">
      <alignment horizontal="center" shrinkToFit="0" vertical="center" wrapText="1"/>
    </xf>
    <xf borderId="16" fillId="0" fontId="1" numFmtId="0" xfId="0" applyAlignment="1" applyBorder="1" applyFont="1">
      <alignment horizontal="center" shrinkToFit="0" vertical="center" wrapText="1"/>
    </xf>
    <xf borderId="40" fillId="0" fontId="1" numFmtId="0" xfId="0" applyAlignment="1" applyBorder="1" applyFont="1">
      <alignment horizontal="center" shrinkToFit="0" vertical="center" wrapText="1"/>
    </xf>
    <xf borderId="3" fillId="0" fontId="1" numFmtId="0" xfId="0" applyAlignment="1" applyBorder="1" applyFont="1">
      <alignment horizontal="center" shrinkToFit="0" vertical="center" wrapText="1"/>
    </xf>
    <xf borderId="14" fillId="0" fontId="1" numFmtId="0" xfId="0" applyAlignment="1" applyBorder="1" applyFont="1">
      <alignment horizontal="left" shrinkToFit="0" vertical="center" wrapText="1"/>
    </xf>
    <xf borderId="22" fillId="0" fontId="1" numFmtId="0" xfId="0" applyAlignment="1" applyBorder="1" applyFont="1">
      <alignment shrinkToFit="0" vertical="center" wrapText="1"/>
    </xf>
    <xf borderId="22" fillId="0" fontId="1" numFmtId="14" xfId="0" applyAlignment="1" applyBorder="1" applyFont="1" applyNumberFormat="1">
      <alignment horizontal="center" shrinkToFit="0" vertical="center" wrapText="1"/>
    </xf>
    <xf borderId="22" fillId="0" fontId="1" numFmtId="0" xfId="0" applyAlignment="1" applyBorder="1" applyFont="1">
      <alignment horizontal="center" shrinkToFit="0" vertical="center" wrapText="1"/>
    </xf>
    <xf borderId="18" fillId="0" fontId="1" numFmtId="0" xfId="0" applyAlignment="1" applyBorder="1" applyFont="1">
      <alignment shrinkToFit="0" vertical="center" wrapText="1"/>
    </xf>
    <xf borderId="18" fillId="0" fontId="1" numFmtId="14" xfId="0" applyAlignment="1" applyBorder="1" applyFont="1" applyNumberFormat="1">
      <alignment horizontal="center" shrinkToFit="0" vertical="center" wrapText="1"/>
    </xf>
    <xf borderId="18" fillId="0" fontId="1" numFmtId="0" xfId="0" applyAlignment="1" applyBorder="1" applyFont="1">
      <alignment horizontal="center" shrinkToFit="0" vertical="center" wrapText="1"/>
    </xf>
    <xf borderId="39" fillId="0" fontId="2" numFmtId="0" xfId="0" applyBorder="1" applyFont="1"/>
    <xf borderId="22" fillId="0" fontId="26" numFmtId="0" xfId="0" applyAlignment="1" applyBorder="1" applyFont="1">
      <alignment horizontal="center" readingOrder="0" shrinkToFit="0" vertical="top" wrapText="1"/>
    </xf>
    <xf borderId="22" fillId="0" fontId="1" numFmtId="0" xfId="0" applyAlignment="1" applyBorder="1" applyFont="1">
      <alignment horizontal="center" shrinkToFit="0" vertical="top" wrapText="1"/>
    </xf>
    <xf borderId="15" fillId="0" fontId="1" numFmtId="172" xfId="0" applyAlignment="1" applyBorder="1" applyFont="1" applyNumberFormat="1">
      <alignment horizontal="center" shrinkToFit="0" vertical="center" wrapText="1"/>
    </xf>
    <xf borderId="31" fillId="0" fontId="1" numFmtId="0" xfId="0" applyAlignment="1" applyBorder="1" applyFont="1">
      <alignment horizontal="left" readingOrder="0" shrinkToFit="0" vertical="center" wrapText="1"/>
    </xf>
    <xf borderId="16" fillId="0" fontId="1" numFmtId="0" xfId="0" applyAlignment="1" applyBorder="1" applyFont="1">
      <alignment horizontal="center" readingOrder="0" shrinkToFit="0" vertical="top" wrapText="1"/>
    </xf>
    <xf borderId="15" fillId="0" fontId="1" numFmtId="173" xfId="0" applyAlignment="1" applyBorder="1" applyFont="1" applyNumberFormat="1">
      <alignment horizontal="center" shrinkToFit="0" vertical="center" wrapText="1"/>
    </xf>
    <xf borderId="15" fillId="0" fontId="1" numFmtId="174" xfId="0" applyAlignment="1" applyBorder="1" applyFont="1" applyNumberFormat="1">
      <alignment horizontal="center" shrinkToFit="0" vertical="center" wrapText="1"/>
    </xf>
    <xf borderId="31" fillId="0" fontId="1" numFmtId="0" xfId="0" applyAlignment="1" applyBorder="1" applyFont="1">
      <alignment shrinkToFit="0" vertical="center" wrapText="1"/>
    </xf>
    <xf borderId="37" fillId="0" fontId="1" numFmtId="0" xfId="0" applyAlignment="1" applyBorder="1" applyFont="1">
      <alignment shrinkToFit="0" vertical="center" wrapText="1"/>
    </xf>
    <xf borderId="15" fillId="0" fontId="1" numFmtId="0" xfId="0" applyAlignment="1" applyBorder="1" applyFont="1">
      <alignment shrinkToFit="0" vertical="center" wrapText="1"/>
    </xf>
    <xf borderId="15" fillId="0" fontId="1" numFmtId="167" xfId="0" applyAlignment="1" applyBorder="1" applyFont="1" applyNumberFormat="1">
      <alignment shrinkToFit="0" vertical="center" wrapText="1"/>
    </xf>
    <xf borderId="15" fillId="0" fontId="1" numFmtId="0" xfId="0" applyAlignment="1" applyBorder="1" applyFont="1">
      <alignment horizontal="left" shrinkToFit="0" vertical="center" wrapText="1"/>
    </xf>
    <xf borderId="15" fillId="0" fontId="1" numFmtId="0" xfId="0" applyAlignment="1" applyBorder="1" applyFont="1">
      <alignment shrinkToFit="0" vertical="center" wrapText="1"/>
    </xf>
    <xf borderId="15" fillId="0" fontId="1" numFmtId="171" xfId="0" applyAlignment="1" applyBorder="1" applyFont="1" applyNumberFormat="1">
      <alignment shrinkToFit="0" vertical="center" wrapText="1"/>
    </xf>
    <xf borderId="24" fillId="0" fontId="1" numFmtId="0" xfId="0" applyAlignment="1" applyBorder="1" applyFont="1">
      <alignment shrinkToFit="0" vertical="center" wrapText="1"/>
    </xf>
    <xf borderId="24" fillId="0" fontId="1" numFmtId="0" xfId="0" applyAlignment="1" applyBorder="1" applyFont="1">
      <alignment readingOrder="0" shrinkToFit="0" vertical="center" wrapText="1"/>
    </xf>
    <xf borderId="31" fillId="0" fontId="1" numFmtId="0" xfId="0" applyAlignment="1" applyBorder="1" applyFont="1">
      <alignment readingOrder="0" shrinkToFit="0" vertical="center" wrapText="1"/>
    </xf>
    <xf borderId="37" fillId="0" fontId="1" numFmtId="0" xfId="0" applyAlignment="1" applyBorder="1" applyFont="1">
      <alignment readingOrder="0" shrinkToFit="0" vertical="center" wrapText="1"/>
    </xf>
    <xf borderId="16" fillId="0" fontId="1" numFmtId="0" xfId="0" applyAlignment="1" applyBorder="1" applyFont="1">
      <alignment readingOrder="0" shrinkToFit="0" vertical="center" wrapText="1"/>
    </xf>
    <xf borderId="3" fillId="0" fontId="1" numFmtId="14" xfId="0" applyAlignment="1" applyBorder="1" applyFont="1" applyNumberFormat="1">
      <alignment horizontal="center" readingOrder="0" shrinkToFit="0" vertical="center" wrapText="1"/>
    </xf>
    <xf borderId="26" fillId="0" fontId="1" numFmtId="0" xfId="0" applyAlignment="1" applyBorder="1" applyFont="1">
      <alignment readingOrder="0" shrinkToFit="0" vertical="center" wrapText="1"/>
    </xf>
    <xf borderId="3" fillId="0" fontId="1" numFmtId="0" xfId="0" applyAlignment="1" applyBorder="1" applyFont="1">
      <alignment horizontal="center" readingOrder="0" shrinkToFit="0" vertical="center" wrapText="1"/>
    </xf>
    <xf borderId="15" fillId="0" fontId="1" numFmtId="170" xfId="0" applyAlignment="1" applyBorder="1" applyFont="1" applyNumberFormat="1">
      <alignment shrinkToFit="0" vertical="center" wrapText="1"/>
    </xf>
    <xf borderId="15" fillId="0" fontId="1" numFmtId="164" xfId="0" applyAlignment="1" applyBorder="1" applyFont="1" applyNumberFormat="1">
      <alignment shrinkToFit="0" vertical="center" wrapText="1"/>
    </xf>
    <xf borderId="25" fillId="0" fontId="1" numFmtId="0" xfId="0" applyAlignment="1" applyBorder="1" applyFont="1">
      <alignment readingOrder="0" shrinkToFit="0" vertical="center" wrapText="1"/>
    </xf>
    <xf borderId="3" fillId="0" fontId="1" numFmtId="14" xfId="0" applyAlignment="1" applyBorder="1" applyFont="1" applyNumberFormat="1">
      <alignment horizontal="center" shrinkToFit="0" vertical="center" wrapText="1"/>
    </xf>
    <xf borderId="16" fillId="0" fontId="27" numFmtId="0" xfId="0" applyAlignment="1" applyBorder="1" applyFont="1">
      <alignment readingOrder="0" shrinkToFit="0" vertical="top" wrapText="1"/>
    </xf>
    <xf borderId="16" fillId="0" fontId="1" numFmtId="0" xfId="0" applyAlignment="1" applyBorder="1" applyFont="1">
      <alignment shrinkToFit="0" vertical="top" wrapText="1"/>
    </xf>
    <xf borderId="15" fillId="0" fontId="1" numFmtId="168" xfId="0" applyAlignment="1" applyBorder="1" applyFont="1" applyNumberFormat="1">
      <alignment shrinkToFit="0" vertical="center" wrapText="1"/>
    </xf>
    <xf borderId="0" fillId="0" fontId="1" numFmtId="0" xfId="0" applyAlignment="1" applyFont="1">
      <alignment shrinkToFit="0" vertical="center" wrapText="0"/>
    </xf>
    <xf borderId="0" fillId="0" fontId="13" numFmtId="0" xfId="0" applyAlignment="1" applyFont="1">
      <alignment horizontal="center" readingOrder="0" shrinkToFit="0" vertical="bottom" wrapText="0"/>
    </xf>
    <xf borderId="0" fillId="25" fontId="9" numFmtId="0" xfId="0" applyAlignment="1" applyFill="1" applyFont="1">
      <alignment horizontal="center" shrinkToFit="0" vertical="center" wrapText="0"/>
    </xf>
    <xf borderId="0" fillId="0" fontId="9" numFmtId="0" xfId="0" applyAlignment="1" applyFont="1">
      <alignment shrinkToFit="0" vertical="center" wrapText="0"/>
    </xf>
    <xf borderId="0" fillId="0" fontId="9" numFmtId="0" xfId="0" applyAlignment="1" applyFont="1">
      <alignment horizontal="center" readingOrder="0" shrinkToFit="0" vertical="center" wrapText="0"/>
    </xf>
    <xf borderId="0" fillId="0" fontId="9" numFmtId="0" xfId="0" applyAlignment="1" applyFont="1">
      <alignment horizontal="left" shrinkToFit="0" vertical="center" wrapText="0"/>
    </xf>
    <xf borderId="0" fillId="0" fontId="13" numFmtId="0" xfId="0" applyAlignment="1" applyFont="1">
      <alignment horizontal="left" readingOrder="0" shrinkToFit="0" vertical="bottom" wrapText="0"/>
    </xf>
    <xf borderId="0" fillId="26" fontId="28" numFmtId="0" xfId="0" applyAlignment="1" applyFill="1" applyFont="1">
      <alignment horizontal="left" readingOrder="0" shrinkToFit="0" vertical="center" wrapText="0"/>
    </xf>
    <xf borderId="0" fillId="0" fontId="13" numFmtId="0" xfId="0" applyAlignment="1" applyFont="1">
      <alignment horizontal="left" readingOrder="0" shrinkToFit="0" wrapText="0"/>
    </xf>
    <xf borderId="0" fillId="0" fontId="9" numFmtId="0" xfId="0" applyAlignment="1" applyFont="1">
      <alignment horizontal="left" readingOrder="0" shrinkToFit="0" vertical="center" wrapText="0"/>
    </xf>
    <xf borderId="0" fillId="0" fontId="1" numFmtId="0" xfId="0" applyAlignment="1" applyFont="1">
      <alignment horizontal="left" shrinkToFit="0" vertical="center" wrapText="0"/>
    </xf>
    <xf borderId="0" fillId="0" fontId="12" numFmtId="0" xfId="0" applyAlignment="1" applyFont="1">
      <alignment horizontal="left" readingOrder="0" shrinkToFit="0" wrapText="0"/>
    </xf>
    <xf borderId="0" fillId="0" fontId="12" numFmtId="0" xfId="0" applyAlignment="1" applyFont="1">
      <alignment readingOrder="0" shrinkToFit="0" vertical="bottom" wrapText="0"/>
    </xf>
    <xf borderId="0" fillId="0" fontId="12" numFmtId="0" xfId="0" applyAlignment="1" applyFont="1">
      <alignment readingOrder="0" shrinkToFit="0" wrapText="0"/>
    </xf>
    <xf borderId="0" fillId="0" fontId="1" numFmtId="0" xfId="0" applyAlignment="1" applyFont="1">
      <alignment readingOrder="0" shrinkToFit="0" vertical="center" wrapText="0"/>
    </xf>
    <xf borderId="0" fillId="0" fontId="1" numFmtId="0" xfId="0" applyFont="1"/>
    <xf borderId="0" fillId="0" fontId="1" numFmtId="0" xfId="0" applyAlignment="1" applyFont="1">
      <alignment readingOrder="0"/>
    </xf>
    <xf borderId="0" fillId="0" fontId="12" numFmtId="0" xfId="0" applyAlignment="1" applyFont="1">
      <alignment horizontal="left" shrinkToFit="0" wrapText="0"/>
    </xf>
    <xf borderId="0" fillId="0" fontId="1" numFmtId="15" xfId="0" applyAlignment="1" applyFont="1" applyNumberFormat="1">
      <alignment horizontal="left" shrinkToFit="0" vertical="center" wrapText="0"/>
    </xf>
    <xf borderId="0" fillId="0" fontId="12" numFmtId="0" xfId="0" applyAlignment="1" applyFont="1">
      <alignment shrinkToFit="0" vertical="bottom" wrapText="0"/>
    </xf>
    <xf borderId="0" fillId="0" fontId="12" numFmtId="0" xfId="0" applyAlignment="1" applyFont="1">
      <alignment readingOrder="0" shrinkToFit="0" vertical="top" wrapText="0"/>
    </xf>
    <xf borderId="0" fillId="0" fontId="29" numFmtId="0" xfId="0" applyAlignment="1" applyFont="1">
      <alignment readingOrder="0" shrinkToFit="0" vertical="bottom" wrapText="0"/>
    </xf>
    <xf borderId="0" fillId="0" fontId="30" numFmtId="0" xfId="0" applyAlignment="1" applyFont="1">
      <alignment readingOrder="0" shrinkToFit="0" vertical="bottom" wrapText="0"/>
    </xf>
    <xf borderId="0" fillId="0" fontId="30" numFmtId="0" xfId="0" applyAlignment="1" applyFont="1">
      <alignment readingOrder="0" shrinkToFit="0" wrapText="0"/>
    </xf>
    <xf borderId="0" fillId="0" fontId="12" numFmtId="0" xfId="0" applyAlignment="1" applyFont="1">
      <alignment shrinkToFit="0" wrapText="0"/>
    </xf>
  </cellXfs>
  <cellStyles count="1">
    <cellStyle xfId="0" name="Normal" builtinId="0"/>
  </cellStyles>
  <dxfs count="14">
    <dxf>
      <font/>
      <fill>
        <patternFill patternType="solid">
          <fgColor rgb="FFFFFFDD"/>
          <bgColor rgb="FFFFFFDD"/>
        </patternFill>
      </fill>
      <border/>
    </dxf>
    <dxf>
      <font/>
      <fill>
        <patternFill patternType="solid">
          <fgColor rgb="FFEAF1DD"/>
          <bgColor rgb="FFEAF1DD"/>
        </patternFill>
      </fill>
      <border/>
    </dxf>
    <dxf>
      <font/>
      <fill>
        <patternFill patternType="solid">
          <fgColor rgb="FF33CC33"/>
          <bgColor rgb="FF33CC33"/>
        </patternFill>
      </fill>
      <border/>
    </dxf>
    <dxf>
      <font/>
      <fill>
        <patternFill patternType="solid">
          <fgColor rgb="FFFFFF66"/>
          <bgColor rgb="FFFFFF66"/>
        </patternFill>
      </fill>
      <border/>
    </dxf>
    <dxf>
      <font/>
      <fill>
        <patternFill patternType="solid">
          <fgColor rgb="FFE36C09"/>
          <bgColor rgb="FFE36C09"/>
        </patternFill>
      </fill>
      <border/>
    </dxf>
    <dxf>
      <font/>
      <fill>
        <patternFill patternType="solid">
          <fgColor rgb="FFFF0000"/>
          <bgColor rgb="FFFF0000"/>
        </patternFill>
      </fill>
      <border/>
    </dxf>
    <dxf>
      <font>
        <b/>
      </font>
      <fill>
        <patternFill patternType="solid">
          <fgColor rgb="FF33CC33"/>
          <bgColor rgb="FF33CC33"/>
        </patternFill>
      </fill>
      <border/>
    </dxf>
    <dxf>
      <font>
        <b/>
      </font>
      <fill>
        <patternFill patternType="solid">
          <fgColor rgb="FFE26B0A"/>
          <bgColor rgb="FFE26B0A"/>
        </patternFill>
      </fill>
      <border/>
    </dxf>
    <dxf>
      <font>
        <b/>
        <color rgb="FFFFFFFF"/>
      </font>
      <fill>
        <patternFill patternType="solid">
          <fgColor rgb="FFFF0000"/>
          <bgColor rgb="FFFF0000"/>
        </patternFill>
      </fill>
      <border/>
    </dxf>
    <dxf>
      <font>
        <color rgb="FFDAEEF3"/>
        <name val="Cambria"/>
      </font>
      <fill>
        <patternFill patternType="solid">
          <fgColor rgb="FFDAEEF3"/>
          <bgColor rgb="FFDAEEF3"/>
        </patternFill>
      </fill>
      <border/>
    </dxf>
    <dxf>
      <font/>
      <fill>
        <patternFill patternType="solid">
          <fgColor rgb="FF93C47D"/>
          <bgColor rgb="FF93C47D"/>
        </patternFill>
      </fill>
      <border/>
    </dxf>
    <dxf>
      <font/>
      <fill>
        <patternFill patternType="solid">
          <fgColor rgb="FFFFE599"/>
          <bgColor rgb="FFFFE599"/>
        </patternFill>
      </fill>
      <border/>
    </dxf>
    <dxf>
      <font/>
      <fill>
        <patternFill patternType="solid">
          <fgColor rgb="FFE06666"/>
          <bgColor rgb="FFE06666"/>
        </patternFill>
      </fill>
      <border/>
    </dxf>
    <dxf>
      <font/>
      <fill>
        <patternFill patternType="solid">
          <fgColor rgb="FF9FC5E8"/>
          <bgColor rgb="FF9FC5E8"/>
        </patternFill>
      </fill>
      <border/>
    </dxf>
  </dxfs>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sharedStrings" Target="sharedStrings.xml"/><Relationship Id="rId3" Type="http://schemas.openxmlformats.org/officeDocument/2006/relationships/worksheet" Target="worksheets/sheet1.xml"/><Relationship Id="rId4" Type="http://schemas.openxmlformats.org/officeDocument/2006/relationships/worksheet" Target="worksheets/sheet2.xml"/><Relationship Id="rId9" Type="http://schemas.openxmlformats.org/officeDocument/2006/relationships/worksheet" Target="worksheets/sheet7.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worksheet" Target="worksheets/sheet6.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0</xdr:colOff>
      <xdr:row>1</xdr:row>
      <xdr:rowOff>0</xdr:rowOff>
    </xdr:from>
    <xdr:ext cx="590550" cy="18097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0</xdr:colOff>
      <xdr:row>1</xdr:row>
      <xdr:rowOff>0</xdr:rowOff>
    </xdr:from>
    <xdr:ext cx="590550" cy="18097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0</xdr:colOff>
      <xdr:row>1</xdr:row>
      <xdr:rowOff>0</xdr:rowOff>
    </xdr:from>
    <xdr:ext cx="590550" cy="18097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0</xdr:colOff>
      <xdr:row>1</xdr:row>
      <xdr:rowOff>0</xdr:rowOff>
    </xdr:from>
    <xdr:ext cx="590550" cy="18097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0</xdr:colOff>
      <xdr:row>1</xdr:row>
      <xdr:rowOff>0</xdr:rowOff>
    </xdr:from>
    <xdr:ext cx="590550" cy="18097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0</xdr:colOff>
      <xdr:row>1</xdr:row>
      <xdr:rowOff>0</xdr:rowOff>
    </xdr:from>
    <xdr:ext cx="561975" cy="180975"/>
    <xdr:pic>
      <xdr:nvPicPr>
        <xdr:cNvPr id="0" name="image2.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worksheets/_rels/sheet1.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hyperlink" Target="https://sig.unillanos.edu.co/index.php/sistema-de-gestion/analisis-del-contexto" TargetMode="External"/><Relationship Id="rId3" Type="http://schemas.openxmlformats.org/officeDocument/2006/relationships/drawing" Target="../drawings/drawing1.x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hyperlink" Target="https://sig.unillanos.edu.co/index.php/sistema-de-gestion/analisis-del-contexto" TargetMode="External"/><Relationship Id="rId3" Type="http://schemas.openxmlformats.org/officeDocument/2006/relationships/drawing" Target="../drawings/drawing2.xml"/><Relationship Id="rId4"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hyperlink" Target="https://sig.unillanos.edu.co/index.php/sistema-de-gestion/analisis-del-contexto" TargetMode="External"/><Relationship Id="rId3" Type="http://schemas.openxmlformats.org/officeDocument/2006/relationships/drawing" Target="../drawings/drawing3.xml"/><Relationship Id="rId4" Type="http://schemas.openxmlformats.org/officeDocument/2006/relationships/vmlDrawing" Target="../drawings/vmlDrawing3.vml"/></Relationships>
</file>

<file path=xl/worksheets/_rels/sheet4.xml.rels><?xml version="1.0" encoding="UTF-8" standalone="yes"?><Relationships xmlns="http://schemas.openxmlformats.org/package/2006/relationships"><Relationship Id="rId1" Type="http://schemas.openxmlformats.org/officeDocument/2006/relationships/comments" Target="../comments4.xml"/><Relationship Id="rId2" Type="http://schemas.openxmlformats.org/officeDocument/2006/relationships/hyperlink" Target="https://sig.unillanos.edu.co/index.php/sistema-de-gestion/analisis-del-contexto" TargetMode="External"/><Relationship Id="rId3" Type="http://schemas.openxmlformats.org/officeDocument/2006/relationships/drawing" Target="../drawings/drawing4.xml"/><Relationship Id="rId4" Type="http://schemas.openxmlformats.org/officeDocument/2006/relationships/vmlDrawing" Target="../drawings/vmlDrawing4.vml"/></Relationships>
</file>

<file path=xl/worksheets/_rels/sheet5.xml.rels><?xml version="1.0" encoding="UTF-8" standalone="yes"?><Relationships xmlns="http://schemas.openxmlformats.org/package/2006/relationships"><Relationship Id="rId1" Type="http://schemas.openxmlformats.org/officeDocument/2006/relationships/comments" Target="../comments5.xml"/><Relationship Id="rId2" Type="http://schemas.openxmlformats.org/officeDocument/2006/relationships/hyperlink" Target="https://sig.unillanos.edu.co/index.php/sistema-de-gestion/analisis-del-contexto" TargetMode="External"/><Relationship Id="rId3" Type="http://schemas.openxmlformats.org/officeDocument/2006/relationships/drawing" Target="../drawings/drawing5.xml"/><Relationship Id="rId4" Type="http://schemas.openxmlformats.org/officeDocument/2006/relationships/vmlDrawing" Target="../drawings/vmlDrawing5.vml"/></Relationships>
</file>

<file path=xl/worksheets/_rels/sheet6.xml.rels><?xml version="1.0" encoding="UTF-8" standalone="yes"?><Relationships xmlns="http://schemas.openxmlformats.org/package/2006/relationships"><Relationship Id="rId40" Type="http://schemas.openxmlformats.org/officeDocument/2006/relationships/hyperlink" Target="https://docs.google.com/spreadsheets/d/12ZMJk16sp2j1XHBJNcwz2T_3sUaUkYGbF_arLSi931E/edit?gid=2098233099" TargetMode="External"/><Relationship Id="rId42" Type="http://schemas.openxmlformats.org/officeDocument/2006/relationships/hyperlink" Target="https://drive.google.com/drive/u/5/folders/16EhLa9oADzKYwvph0ZYYRADsm3u7rPS4" TargetMode="External"/><Relationship Id="rId41" Type="http://schemas.openxmlformats.org/officeDocument/2006/relationships/hyperlink" Target="https://drive.google.com/drive/u/5/folders/16EhLa9oADzKYwvph0ZYYRADsm3u7rPS4" TargetMode="External"/><Relationship Id="rId44" Type="http://schemas.openxmlformats.org/officeDocument/2006/relationships/hyperlink" Target="https://drive.google.com/drive/u/5/folders/16EhLa9oADzKYwvph0ZYYRADsm3u7rPS4" TargetMode="External"/><Relationship Id="rId43" Type="http://schemas.openxmlformats.org/officeDocument/2006/relationships/hyperlink" Target="https://drive.google.com/drive/u/5/folders/16EhLa9oADzKYwvph0ZYYRADsm3u7rPS4" TargetMode="External"/><Relationship Id="rId46" Type="http://schemas.openxmlformats.org/officeDocument/2006/relationships/hyperlink" Target="https://drive.google.com/drive/u/5/folders/16EhLa9oADzKYwvph0ZYYRADsm3u7rPS4" TargetMode="External"/><Relationship Id="rId45" Type="http://schemas.openxmlformats.org/officeDocument/2006/relationships/hyperlink" Target="https://drive.google.com/drive/u/5/folders/16EhLa9oADzKYwvph0ZYYRADsm3u7rPS4" TargetMode="External"/><Relationship Id="rId107" Type="http://schemas.openxmlformats.org/officeDocument/2006/relationships/hyperlink" Target="https://docs.google.com/spreadsheets/d/1ucSF4U7bKeCj6zDg02UMMENInLsAtk28wup8yHpTSss/edit?gid=2098233099" TargetMode="External"/><Relationship Id="rId106" Type="http://schemas.openxmlformats.org/officeDocument/2006/relationships/hyperlink" Target="https://drive.google.com/drive/u/5/folders/1c8EVUaPLxZJKHPsszZktf6mCMoU4dyo6" TargetMode="External"/><Relationship Id="rId105" Type="http://schemas.openxmlformats.org/officeDocument/2006/relationships/hyperlink" Target="https://drive.google.com/drive/u/5/folders/1c8EVUaPLxZJKHPsszZktf6mCMoU4dyo6" TargetMode="External"/><Relationship Id="rId104" Type="http://schemas.openxmlformats.org/officeDocument/2006/relationships/hyperlink" Target="https://drive.google.com/drive/u/5/folders/1c8EVUaPLxZJKHPsszZktf6mCMoU4dyo6" TargetMode="External"/><Relationship Id="rId109" Type="http://schemas.openxmlformats.org/officeDocument/2006/relationships/hyperlink" Target="https://drive.google.com/drive/u/5/folders/1qkPzZoFl70yOKoKroCW4mm7fXQOs5Pnt" TargetMode="External"/><Relationship Id="rId108" Type="http://schemas.openxmlformats.org/officeDocument/2006/relationships/hyperlink" Target="https://drive.google.com/drive/u/5/folders/1qkPzZoFl70yOKoKroCW4mm7fXQOs5Pnt" TargetMode="External"/><Relationship Id="rId48" Type="http://schemas.openxmlformats.org/officeDocument/2006/relationships/hyperlink" Target="https://drive.google.com/drive/u/5/folders/16EhLa9oADzKYwvph0ZYYRADsm3u7rPS4" TargetMode="External"/><Relationship Id="rId187" Type="http://schemas.openxmlformats.org/officeDocument/2006/relationships/vmlDrawing" Target="../drawings/vmlDrawing6.vml"/><Relationship Id="rId47" Type="http://schemas.openxmlformats.org/officeDocument/2006/relationships/hyperlink" Target="https://drive.google.com/drive/u/5/folders/16EhLa9oADzKYwvph0ZYYRADsm3u7rPS4" TargetMode="External"/><Relationship Id="rId186" Type="http://schemas.openxmlformats.org/officeDocument/2006/relationships/drawing" Target="../drawings/drawing6.xml"/><Relationship Id="rId185" Type="http://schemas.openxmlformats.org/officeDocument/2006/relationships/hyperlink" Target="https://drive.google.com/drive/u/5/folders/19kZv9rYzYer7tiIrgWwGRDjAzePYUvg5" TargetMode="External"/><Relationship Id="rId49" Type="http://schemas.openxmlformats.org/officeDocument/2006/relationships/hyperlink" Target="https://drive.google.com/drive/u/5/folders/16EhLa9oADzKYwvph0ZYYRADsm3u7rPS4" TargetMode="External"/><Relationship Id="rId184" Type="http://schemas.openxmlformats.org/officeDocument/2006/relationships/hyperlink" Target="https://drive.google.com/drive/u/5/folders/19kZv9rYzYer7tiIrgWwGRDjAzePYUvg5" TargetMode="External"/><Relationship Id="rId103" Type="http://schemas.openxmlformats.org/officeDocument/2006/relationships/hyperlink" Target="https://drive.google.com/drive/u/5/folders/1c8EVUaPLxZJKHPsszZktf6mCMoU4dyo6" TargetMode="External"/><Relationship Id="rId102" Type="http://schemas.openxmlformats.org/officeDocument/2006/relationships/hyperlink" Target="https://drive.google.com/drive/u/5/folders/1c8EVUaPLxZJKHPsszZktf6mCMoU4dyo6" TargetMode="External"/><Relationship Id="rId101" Type="http://schemas.openxmlformats.org/officeDocument/2006/relationships/hyperlink" Target="https://drive.google.com/drive/u/5/folders/1c8EVUaPLxZJKHPsszZktf6mCMoU4dyo6" TargetMode="External"/><Relationship Id="rId100" Type="http://schemas.openxmlformats.org/officeDocument/2006/relationships/hyperlink" Target="https://drive.google.com/drive/u/5/folders/1c8EVUaPLxZJKHPsszZktf6mCMoU4dyo6" TargetMode="External"/><Relationship Id="rId31" Type="http://schemas.openxmlformats.org/officeDocument/2006/relationships/hyperlink" Target="https://drive.google.com/drive/folders/1BJVLrGTk1Z3ogvEqX_4k96pSA4_Q-Ndn?usp=sharing" TargetMode="External"/><Relationship Id="rId30" Type="http://schemas.openxmlformats.org/officeDocument/2006/relationships/hyperlink" Target="https://drive.google.com/drive/u/5/folders/1e3a95Kf4fn1-oGkYIIVnZl_yeN5PmuUQ" TargetMode="External"/><Relationship Id="rId33" Type="http://schemas.openxmlformats.org/officeDocument/2006/relationships/hyperlink" Target="https://drive.google.com/drive/u/5/folders/1e3a95Kf4fn1-oGkYIIVnZl_yeN5PmuUQ" TargetMode="External"/><Relationship Id="rId183" Type="http://schemas.openxmlformats.org/officeDocument/2006/relationships/hyperlink" Target="https://drive.google.com/drive/u/5/folders/19kZv9rYzYer7tiIrgWwGRDjAzePYUvg5" TargetMode="External"/><Relationship Id="rId32" Type="http://schemas.openxmlformats.org/officeDocument/2006/relationships/hyperlink" Target="https://drive.google.com/drive/u/5/folders/1e3a95Kf4fn1-oGkYIIVnZl_yeN5PmuUQ" TargetMode="External"/><Relationship Id="rId182" Type="http://schemas.openxmlformats.org/officeDocument/2006/relationships/hyperlink" Target="https://docs.google.com/spreadsheets/d/1BU5nZz9s_XpJvtVsNCVkg15rQonyeipdaFLq7uwhYfg/edit?gid=2098233099" TargetMode="External"/><Relationship Id="rId35" Type="http://schemas.openxmlformats.org/officeDocument/2006/relationships/hyperlink" Target="https://drive.google.com/drive/u/5/folders/1e3a95Kf4fn1-oGkYIIVnZl_yeN5PmuUQ" TargetMode="External"/><Relationship Id="rId181" Type="http://schemas.openxmlformats.org/officeDocument/2006/relationships/hyperlink" Target="https://drive.google.com/drive/u/5/folders/12VpbYbQ9CC_Wtu2YzD9nOiXYCfD2FwGK" TargetMode="External"/><Relationship Id="rId34" Type="http://schemas.openxmlformats.org/officeDocument/2006/relationships/hyperlink" Target="https://drive.google.com/drive/u/5/folders/1e3a95Kf4fn1-oGkYIIVnZl_yeN5PmuUQ" TargetMode="External"/><Relationship Id="rId180" Type="http://schemas.openxmlformats.org/officeDocument/2006/relationships/hyperlink" Target="https://drive.google.com/drive/u/5/folders/12VpbYbQ9CC_Wtu2YzD9nOiXYCfD2FwGK" TargetMode="External"/><Relationship Id="rId37" Type="http://schemas.openxmlformats.org/officeDocument/2006/relationships/hyperlink" Target="https://internacionalizacion.unillanos.edu.co/" TargetMode="External"/><Relationship Id="rId176" Type="http://schemas.openxmlformats.org/officeDocument/2006/relationships/hyperlink" Target="https://drive.google.com/drive/u/5/folders/12VpbYbQ9CC_Wtu2YzD9nOiXYCfD2FwGK" TargetMode="External"/><Relationship Id="rId36" Type="http://schemas.openxmlformats.org/officeDocument/2006/relationships/hyperlink" Target="https://drive.google.com/drive/u/5/folders/1e3a95Kf4fn1-oGkYIIVnZl_yeN5PmuUQ" TargetMode="External"/><Relationship Id="rId175" Type="http://schemas.openxmlformats.org/officeDocument/2006/relationships/hyperlink" Target="https://drive.google.com/drive/u/5/folders/12VpbYbQ9CC_Wtu2YzD9nOiXYCfD2FwGK" TargetMode="External"/><Relationship Id="rId39" Type="http://schemas.openxmlformats.org/officeDocument/2006/relationships/hyperlink" Target="https://drive.google.com/drive/u/5/folders/1e3a95Kf4fn1-oGkYIIVnZl_yeN5PmuUQ" TargetMode="External"/><Relationship Id="rId174" Type="http://schemas.openxmlformats.org/officeDocument/2006/relationships/hyperlink" Target="https://drive.google.com/drive/u/5/folders/12VpbYbQ9CC_Wtu2YzD9nOiXYCfD2FwGK" TargetMode="External"/><Relationship Id="rId38" Type="http://schemas.openxmlformats.org/officeDocument/2006/relationships/hyperlink" Target="https://drive.google.com/drive/u/5/folders/1e3a95Kf4fn1-oGkYIIVnZl_yeN5PmuUQ" TargetMode="External"/><Relationship Id="rId173" Type="http://schemas.openxmlformats.org/officeDocument/2006/relationships/hyperlink" Target="https://drive.google.com/drive/u/5/folders/12VpbYbQ9CC_Wtu2YzD9nOiXYCfD2FwGK" TargetMode="External"/><Relationship Id="rId179" Type="http://schemas.openxmlformats.org/officeDocument/2006/relationships/hyperlink" Target="https://drive.google.com/drive/u/5/folders/12VpbYbQ9CC_Wtu2YzD9nOiXYCfD2FwGK" TargetMode="External"/><Relationship Id="rId178" Type="http://schemas.openxmlformats.org/officeDocument/2006/relationships/hyperlink" Target="https://drive.google.com/drive/u/5/folders/12VpbYbQ9CC_Wtu2YzD9nOiXYCfD2FwGK" TargetMode="External"/><Relationship Id="rId177" Type="http://schemas.openxmlformats.org/officeDocument/2006/relationships/hyperlink" Target="https://drive.google.com/drive/u/5/folders/12VpbYbQ9CC_Wtu2YzD9nOiXYCfD2FwGK" TargetMode="External"/><Relationship Id="rId20" Type="http://schemas.openxmlformats.org/officeDocument/2006/relationships/hyperlink" Target="https://drive.google.com/drive/u/5/folders/1de4ogcAU8E_WDCfzqyCO_mFjShvtQfGg" TargetMode="External"/><Relationship Id="rId22" Type="http://schemas.openxmlformats.org/officeDocument/2006/relationships/hyperlink" Target="https://docs.google.com/spreadsheets/d/1ZO1ZkLmzdWHhQNl_w-zs6fFqDhvZisDccQuhZxGDPLw/edit?gid=794822255" TargetMode="External"/><Relationship Id="rId21" Type="http://schemas.openxmlformats.org/officeDocument/2006/relationships/hyperlink" Target="https://drive.google.com/drive/u/5/folders/1de4ogcAU8E_WDCfzqyCO_mFjShvtQfGg" TargetMode="External"/><Relationship Id="rId24" Type="http://schemas.openxmlformats.org/officeDocument/2006/relationships/hyperlink" Target="https://drive.google.com/drive/u/5/folders/1Rkk3DoaH5OPhTe1XMKqiTG8aU-rsLlMk" TargetMode="External"/><Relationship Id="rId23" Type="http://schemas.openxmlformats.org/officeDocument/2006/relationships/hyperlink" Target="https://drive.google.com/drive/u/5/folders/1Rkk3DoaH5OPhTe1XMKqiTG8aU-rsLlMk" TargetMode="External"/><Relationship Id="rId129" Type="http://schemas.openxmlformats.org/officeDocument/2006/relationships/hyperlink" Target="https://drive.google.com/drive/u/5/folders/1iSQRUbs3mwqrwrHlfMr88hzg4js2h9qB" TargetMode="External"/><Relationship Id="rId128" Type="http://schemas.openxmlformats.org/officeDocument/2006/relationships/hyperlink" Target="https://drive.google.com/drive/u/5/folders/1iSQRUbs3mwqrwrHlfMr88hzg4js2h9qB" TargetMode="External"/><Relationship Id="rId127" Type="http://schemas.openxmlformats.org/officeDocument/2006/relationships/hyperlink" Target="https://drive.google.com/drive/u/5/folders/1iSQRUbs3mwqrwrHlfMr88hzg4js2h9qB" TargetMode="External"/><Relationship Id="rId126" Type="http://schemas.openxmlformats.org/officeDocument/2006/relationships/hyperlink" Target="https://drive.google.com/drive/u/5/folders/1iSQRUbs3mwqrwrHlfMr88hzg4js2h9qB" TargetMode="External"/><Relationship Id="rId26" Type="http://schemas.openxmlformats.org/officeDocument/2006/relationships/hyperlink" Target="https://docs.google.com/spreadsheets/d/1T8UzxcQpMTEf2Wn4mnnu285UC57W3cDwz4Qyo4D3q8I/edit?gid=2098233099" TargetMode="External"/><Relationship Id="rId121" Type="http://schemas.openxmlformats.org/officeDocument/2006/relationships/hyperlink" Target="https://drive.google.com/drive/u/5/folders/1qkPzZoFl70yOKoKroCW4mm7fXQOs5Pnt" TargetMode="External"/><Relationship Id="rId25" Type="http://schemas.openxmlformats.org/officeDocument/2006/relationships/hyperlink" Target="https://drive.google.com/drive/u/5/folders/1Rkk3DoaH5OPhTe1XMKqiTG8aU-rsLlMk" TargetMode="External"/><Relationship Id="rId120" Type="http://schemas.openxmlformats.org/officeDocument/2006/relationships/hyperlink" Target="https://drive.google.com/drive/u/5/folders/1qkPzZoFl70yOKoKroCW4mm7fXQOs5Pnt" TargetMode="External"/><Relationship Id="rId28" Type="http://schemas.openxmlformats.org/officeDocument/2006/relationships/hyperlink" Target="https://drive.google.com/drive/u/5/folders/1e3a95Kf4fn1-oGkYIIVnZl_yeN5PmuUQ" TargetMode="External"/><Relationship Id="rId27" Type="http://schemas.openxmlformats.org/officeDocument/2006/relationships/hyperlink" Target="https://drive.google.com/drive/folders/1BJVLrGTk1Z3ogvEqX_4k96pSA4_Q-Ndn?usp=sharing" TargetMode="External"/><Relationship Id="rId125" Type="http://schemas.openxmlformats.org/officeDocument/2006/relationships/hyperlink" Target="https://drive.google.com/drive/u/5/folders/1iSQRUbs3mwqrwrHlfMr88hzg4js2h9qB" TargetMode="External"/><Relationship Id="rId29" Type="http://schemas.openxmlformats.org/officeDocument/2006/relationships/hyperlink" Target="https://drive.google.com/drive/folders/1BJVLrGTk1Z3ogvEqX_4k96pSA4_Q-Ndn?usp=sharing" TargetMode="External"/><Relationship Id="rId124" Type="http://schemas.openxmlformats.org/officeDocument/2006/relationships/hyperlink" Target="https://docs.google.com/spreadsheets/d/1qj3DMnvAUbpIIUCJRl4h_bOnKt1VeHFMhGA28RNyhPc/edit?gid=2098233099" TargetMode="External"/><Relationship Id="rId123" Type="http://schemas.openxmlformats.org/officeDocument/2006/relationships/hyperlink" Target="https://drive.google.com/drive/u/5/folders/1qkPzZoFl70yOKoKroCW4mm7fXQOs5Pnt" TargetMode="External"/><Relationship Id="rId122" Type="http://schemas.openxmlformats.org/officeDocument/2006/relationships/hyperlink" Target="https://drive.google.com/drive/u/5/folders/1qkPzZoFl70yOKoKroCW4mm7fXQOs5Pnt" TargetMode="External"/><Relationship Id="rId95" Type="http://schemas.openxmlformats.org/officeDocument/2006/relationships/hyperlink" Target="https://drive.google.com/drive/u/5/folders/1c8EVUaPLxZJKHPsszZktf6mCMoU4dyo6" TargetMode="External"/><Relationship Id="rId94" Type="http://schemas.openxmlformats.org/officeDocument/2006/relationships/hyperlink" Target="https://docs.google.com/spreadsheets/d/1D5_u-3n4GfhHb36kTT-gp8Fgb-HFlYDYXWSY0jMlie4/edit?gid=2098233099" TargetMode="External"/><Relationship Id="rId97" Type="http://schemas.openxmlformats.org/officeDocument/2006/relationships/hyperlink" Target="https://drive.google.com/drive/u/5/folders/1c8EVUaPLxZJKHPsszZktf6mCMoU4dyo6" TargetMode="External"/><Relationship Id="rId96" Type="http://schemas.openxmlformats.org/officeDocument/2006/relationships/hyperlink" Target="https://drive.google.com/drive/u/5/folders/1c8EVUaPLxZJKHPsszZktf6mCMoU4dyo6" TargetMode="External"/><Relationship Id="rId11" Type="http://schemas.openxmlformats.org/officeDocument/2006/relationships/hyperlink" Target="https://drive.google.com/drive/u/5/folders/1s2aHUezI3wH6ZWFqCD2X6bg4MXSeU4o9" TargetMode="External"/><Relationship Id="rId99" Type="http://schemas.openxmlformats.org/officeDocument/2006/relationships/hyperlink" Target="https://drive.google.com/drive/u/5/folders/1c8EVUaPLxZJKHPsszZktf6mCMoU4dyo6" TargetMode="External"/><Relationship Id="rId10" Type="http://schemas.openxmlformats.org/officeDocument/2006/relationships/hyperlink" Target="https://drive.google.com/drive/u/5/folders/1s2aHUezI3wH6ZWFqCD2X6bg4MXSeU4o9" TargetMode="External"/><Relationship Id="rId98" Type="http://schemas.openxmlformats.org/officeDocument/2006/relationships/hyperlink" Target="https://drive.google.com/drive/u/5/folders/1c8EVUaPLxZJKHPsszZktf6mCMoU4dyo6" TargetMode="External"/><Relationship Id="rId13" Type="http://schemas.openxmlformats.org/officeDocument/2006/relationships/hyperlink" Target="https://drive.google.com/drive/u/5/folders/1s2aHUezI3wH6ZWFqCD2X6bg4MXSeU4o9" TargetMode="External"/><Relationship Id="rId12" Type="http://schemas.openxmlformats.org/officeDocument/2006/relationships/hyperlink" Target="https://drive.google.com/drive/u/5/folders/1s2aHUezI3wH6ZWFqCD2X6bg4MXSeU4o9" TargetMode="External"/><Relationship Id="rId91" Type="http://schemas.openxmlformats.org/officeDocument/2006/relationships/hyperlink" Target="https://drive.google.com/drive/u/5/folders/1S1ll3d0YAr73OyDq5d4ffuyT9bK-T0vi" TargetMode="External"/><Relationship Id="rId90" Type="http://schemas.openxmlformats.org/officeDocument/2006/relationships/hyperlink" Target="https://drive.google.com/drive/u/5/folders/1S1ll3d0YAr73OyDq5d4ffuyT9bK-T0vi" TargetMode="External"/><Relationship Id="rId93" Type="http://schemas.openxmlformats.org/officeDocument/2006/relationships/hyperlink" Target="https://drive.google.com/drive/u/5/folders/1S1ll3d0YAr73OyDq5d4ffuyT9bK-T0vi" TargetMode="External"/><Relationship Id="rId92" Type="http://schemas.openxmlformats.org/officeDocument/2006/relationships/hyperlink" Target="https://drive.google.com/drive/u/5/folders/1S1ll3d0YAr73OyDq5d4ffuyT9bK-T0vi" TargetMode="External"/><Relationship Id="rId118" Type="http://schemas.openxmlformats.org/officeDocument/2006/relationships/hyperlink" Target="https://drive.google.com/drive/u/5/folders/1qkPzZoFl70yOKoKroCW4mm7fXQOs5Pnt" TargetMode="External"/><Relationship Id="rId117" Type="http://schemas.openxmlformats.org/officeDocument/2006/relationships/hyperlink" Target="https://drive.google.com/drive/u/5/folders/1qkPzZoFl70yOKoKroCW4mm7fXQOs5Pnt" TargetMode="External"/><Relationship Id="rId116" Type="http://schemas.openxmlformats.org/officeDocument/2006/relationships/hyperlink" Target="https://drive.google.com/drive/u/5/folders/1qkPzZoFl70yOKoKroCW4mm7fXQOs5Pnt" TargetMode="External"/><Relationship Id="rId115" Type="http://schemas.openxmlformats.org/officeDocument/2006/relationships/hyperlink" Target="https://drive.google.com/drive/u/5/folders/1qkPzZoFl70yOKoKroCW4mm7fXQOs5Pnt" TargetMode="External"/><Relationship Id="rId119" Type="http://schemas.openxmlformats.org/officeDocument/2006/relationships/hyperlink" Target="https://docs.google.com/spreadsheets/d/1vhuallo6OfzLoVVntgVpBlgX9DxeSKBmdw_H5T2wOKk/edit?usp=sharing" TargetMode="External"/><Relationship Id="rId15" Type="http://schemas.openxmlformats.org/officeDocument/2006/relationships/hyperlink" Target="https://docs.google.com/spreadsheets/d/1dpolrjON1O9jxfEFk690pgGJmuoTO7Tcf864TIT9NVY/edit?gid=2098233099" TargetMode="External"/><Relationship Id="rId110" Type="http://schemas.openxmlformats.org/officeDocument/2006/relationships/hyperlink" Target="https://drive.google.com/drive/u/5/folders/1qkPzZoFl70yOKoKroCW4mm7fXQOs5Pnt" TargetMode="External"/><Relationship Id="rId14" Type="http://schemas.openxmlformats.org/officeDocument/2006/relationships/hyperlink" Target="https://drive.google.com/drive/u/5/folders/1s2aHUezI3wH6ZWFqCD2X6bg4MXSeU4o9" TargetMode="External"/><Relationship Id="rId17" Type="http://schemas.openxmlformats.org/officeDocument/2006/relationships/hyperlink" Target="https://drive.google.com/drive/u/5/folders/1de4ogcAU8E_WDCfzqyCO_mFjShvtQfGg" TargetMode="External"/><Relationship Id="rId16" Type="http://schemas.openxmlformats.org/officeDocument/2006/relationships/hyperlink" Target="https://drive.google.com/drive/u/5/folders/1de4ogcAU8E_WDCfzqyCO_mFjShvtQfGg" TargetMode="External"/><Relationship Id="rId19" Type="http://schemas.openxmlformats.org/officeDocument/2006/relationships/hyperlink" Target="https://drive.google.com/drive/u/5/folders/1de4ogcAU8E_WDCfzqyCO_mFjShvtQfGg" TargetMode="External"/><Relationship Id="rId114" Type="http://schemas.openxmlformats.org/officeDocument/2006/relationships/hyperlink" Target="https://drive.google.com/drive/u/5/folders/1qkPzZoFl70yOKoKroCW4mm7fXQOs5Pnt" TargetMode="External"/><Relationship Id="rId18" Type="http://schemas.openxmlformats.org/officeDocument/2006/relationships/hyperlink" Target="https://drive.google.com/drive/u/5/folders/1de4ogcAU8E_WDCfzqyCO_mFjShvtQfGg" TargetMode="External"/><Relationship Id="rId113" Type="http://schemas.openxmlformats.org/officeDocument/2006/relationships/hyperlink" Target="https://drive.google.com/drive/u/5/folders/1qkPzZoFl70yOKoKroCW4mm7fXQOs5Pnt" TargetMode="External"/><Relationship Id="rId112" Type="http://schemas.openxmlformats.org/officeDocument/2006/relationships/hyperlink" Target="https://drive.google.com/drive/u/5/folders/1qkPzZoFl70yOKoKroCW4mm7fXQOs5Pnt" TargetMode="External"/><Relationship Id="rId111" Type="http://schemas.openxmlformats.org/officeDocument/2006/relationships/hyperlink" Target="https://drive.google.com/drive/u/5/folders/1qkPzZoFl70yOKoKroCW4mm7fXQOs5Pnt" TargetMode="External"/><Relationship Id="rId84" Type="http://schemas.openxmlformats.org/officeDocument/2006/relationships/hyperlink" Target="https://docs.google.com/spreadsheets/d/1S_FRLgvBlpGx26qvs4uDy38e--4PrQfS5l00mIKMSq8/edit?gid=2098233099" TargetMode="External"/><Relationship Id="rId83" Type="http://schemas.openxmlformats.org/officeDocument/2006/relationships/hyperlink" Target="https://drive.google.com/drive/u/5/folders/1LJBJVQpOk2SzdAUE5CsWciSrYRkMwGcC" TargetMode="External"/><Relationship Id="rId86" Type="http://schemas.openxmlformats.org/officeDocument/2006/relationships/hyperlink" Target="https://drive.google.com/drive/u/5/folders/1S1ll3d0YAr73OyDq5d4ffuyT9bK-T0vi" TargetMode="External"/><Relationship Id="rId85" Type="http://schemas.openxmlformats.org/officeDocument/2006/relationships/hyperlink" Target="https://drive.google.com/drive/u/5/folders/1S1ll3d0YAr73OyDq5d4ffuyT9bK-T0vi" TargetMode="External"/><Relationship Id="rId88" Type="http://schemas.openxmlformats.org/officeDocument/2006/relationships/hyperlink" Target="https://drive.google.com/drive/u/5/folders/1S1ll3d0YAr73OyDq5d4ffuyT9bK-T0vi" TargetMode="External"/><Relationship Id="rId150" Type="http://schemas.openxmlformats.org/officeDocument/2006/relationships/hyperlink" Target="https://docs.google.com/spreadsheets/d/1ax7Wy146UEWwhqn3bBa7TaWz3VIjC9kNQNZkAToRkzU/edit?gid=318156647" TargetMode="External"/><Relationship Id="rId87" Type="http://schemas.openxmlformats.org/officeDocument/2006/relationships/hyperlink" Target="https://drive.google.com/drive/u/5/folders/1S1ll3d0YAr73OyDq5d4ffuyT9bK-T0vi" TargetMode="External"/><Relationship Id="rId89" Type="http://schemas.openxmlformats.org/officeDocument/2006/relationships/hyperlink" Target="https://drive.google.com/drive/u/5/folders/1S1ll3d0YAr73OyDq5d4ffuyT9bK-T0vi" TargetMode="External"/><Relationship Id="rId80" Type="http://schemas.openxmlformats.org/officeDocument/2006/relationships/hyperlink" Target="https://drive.google.com/drive/u/5/folders/1LJBJVQpOk2SzdAUE5CsWciSrYRkMwGcC" TargetMode="External"/><Relationship Id="rId82" Type="http://schemas.openxmlformats.org/officeDocument/2006/relationships/hyperlink" Target="https://drive.google.com/drive/u/5/folders/1LJBJVQpOk2SzdAUE5CsWciSrYRkMwGcC" TargetMode="External"/><Relationship Id="rId81" Type="http://schemas.openxmlformats.org/officeDocument/2006/relationships/hyperlink" Target="https://drive.google.com/drive/u/5/folders/1LJBJVQpOk2SzdAUE5CsWciSrYRkMwGcC" TargetMode="External"/><Relationship Id="rId1" Type="http://schemas.openxmlformats.org/officeDocument/2006/relationships/comments" Target="../comments6.xml"/><Relationship Id="rId2" Type="http://schemas.openxmlformats.org/officeDocument/2006/relationships/hyperlink" Target="https://docs.google.com/spreadsheets/d/1jb-Y2U61z4qo5OkNqjzbe9ymB-LJip9QorHgxNn_v4Y/edit?gid=2098233099" TargetMode="External"/><Relationship Id="rId3" Type="http://schemas.openxmlformats.org/officeDocument/2006/relationships/hyperlink" Target="https://drive.google.com/drive/u/5/folders/1s2aHUezI3wH6ZWFqCD2X6bg4MXSeU4o9" TargetMode="External"/><Relationship Id="rId149" Type="http://schemas.openxmlformats.org/officeDocument/2006/relationships/hyperlink" Target="https://drive.google.com/drive/u/5/folders/1jtAMyY-AfXVOIFFtTtLca018IXdkz61r" TargetMode="External"/><Relationship Id="rId4" Type="http://schemas.openxmlformats.org/officeDocument/2006/relationships/hyperlink" Target="https://drive.google.com/drive/u/5/folders/1s2aHUezI3wH6ZWFqCD2X6bg4MXSeU4o9" TargetMode="External"/><Relationship Id="rId148" Type="http://schemas.openxmlformats.org/officeDocument/2006/relationships/hyperlink" Target="https://drive.google.com/drive/u/5/folders/1jtAMyY-AfXVOIFFtTtLca018IXdkz61r" TargetMode="External"/><Relationship Id="rId9" Type="http://schemas.openxmlformats.org/officeDocument/2006/relationships/hyperlink" Target="https://drive.google.com/drive/u/5/folders/1s2aHUezI3wH6ZWFqCD2X6bg4MXSeU4o9" TargetMode="External"/><Relationship Id="rId143" Type="http://schemas.openxmlformats.org/officeDocument/2006/relationships/hyperlink" Target="https://drive.google.com/drive/u/5/folders/1jtAMyY-AfXVOIFFtTtLca018IXdkz61r" TargetMode="External"/><Relationship Id="rId142" Type="http://schemas.openxmlformats.org/officeDocument/2006/relationships/hyperlink" Target="https://drive.google.com/drive/u/5/folders/1jtAMyY-AfXVOIFFtTtLca018IXdkz61r" TargetMode="External"/><Relationship Id="rId141" Type="http://schemas.openxmlformats.org/officeDocument/2006/relationships/hyperlink" Target="https://drive.google.com/drive/u/5/folders/1jtAMyY-AfXVOIFFtTtLca018IXdkz61r" TargetMode="External"/><Relationship Id="rId140" Type="http://schemas.openxmlformats.org/officeDocument/2006/relationships/hyperlink" Target="https://docs.google.com/spreadsheets/d/1EzWO0so3Uu1AvVEQVrAxm96KoMpYDGgHklAPpGyFu1c/edit?gid=2098233099" TargetMode="External"/><Relationship Id="rId5" Type="http://schemas.openxmlformats.org/officeDocument/2006/relationships/hyperlink" Target="https://drive.google.com/drive/u/5/folders/1s2aHUezI3wH6ZWFqCD2X6bg4MXSeU4o9" TargetMode="External"/><Relationship Id="rId147" Type="http://schemas.openxmlformats.org/officeDocument/2006/relationships/hyperlink" Target="https://drive.google.com/drive/u/5/folders/1jtAMyY-AfXVOIFFtTtLca018IXdkz61r" TargetMode="External"/><Relationship Id="rId6" Type="http://schemas.openxmlformats.org/officeDocument/2006/relationships/hyperlink" Target="https://drive.google.com/drive/u/5/folders/1s2aHUezI3wH6ZWFqCD2X6bg4MXSeU4o9" TargetMode="External"/><Relationship Id="rId146" Type="http://schemas.openxmlformats.org/officeDocument/2006/relationships/hyperlink" Target="https://drive.google.com/drive/u/5/folders/1jtAMyY-AfXVOIFFtTtLca018IXdkz61r" TargetMode="External"/><Relationship Id="rId7" Type="http://schemas.openxmlformats.org/officeDocument/2006/relationships/hyperlink" Target="https://drive.google.com/drive/u/5/folders/1s2aHUezI3wH6ZWFqCD2X6bg4MXSeU4o9" TargetMode="External"/><Relationship Id="rId145" Type="http://schemas.openxmlformats.org/officeDocument/2006/relationships/hyperlink" Target="https://drive.google.com/drive/u/5/folders/1jtAMyY-AfXVOIFFtTtLca018IXdkz61r" TargetMode="External"/><Relationship Id="rId8" Type="http://schemas.openxmlformats.org/officeDocument/2006/relationships/hyperlink" Target="https://drive.google.com/drive/u/5/folders/1s2aHUezI3wH6ZWFqCD2X6bg4MXSeU4o9" TargetMode="External"/><Relationship Id="rId144" Type="http://schemas.openxmlformats.org/officeDocument/2006/relationships/hyperlink" Target="https://drive.google.com/drive/u/5/folders/1jtAMyY-AfXVOIFFtTtLca018IXdkz61r" TargetMode="External"/><Relationship Id="rId73" Type="http://schemas.openxmlformats.org/officeDocument/2006/relationships/hyperlink" Target="https://drive.google.com/drive/u/5/folders/1gYaheQepGa8zwrCABn7mRY_IrKs423_d" TargetMode="External"/><Relationship Id="rId72" Type="http://schemas.openxmlformats.org/officeDocument/2006/relationships/hyperlink" Target="https://drive.google.com/drive/u/5/folders/1gYaheQepGa8zwrCABn7mRY_IrKs423_d" TargetMode="External"/><Relationship Id="rId75" Type="http://schemas.openxmlformats.org/officeDocument/2006/relationships/hyperlink" Target="https://drive.google.com/drive/u/5/folders/1gYaheQepGa8zwrCABn7mRY_IrKs423_d" TargetMode="External"/><Relationship Id="rId74" Type="http://schemas.openxmlformats.org/officeDocument/2006/relationships/hyperlink" Target="https://drive.google.com/drive/u/5/folders/1gYaheQepGa8zwrCABn7mRY_IrKs423_d" TargetMode="External"/><Relationship Id="rId77" Type="http://schemas.openxmlformats.org/officeDocument/2006/relationships/hyperlink" Target="https://drive.google.com/drive/u/5/folders/1LJBJVQpOk2SzdAUE5CsWciSrYRkMwGcC" TargetMode="External"/><Relationship Id="rId76" Type="http://schemas.openxmlformats.org/officeDocument/2006/relationships/hyperlink" Target="https://docs.google.com/spreadsheets/d/1wqAcOTRlx3sfNblUAPAz6U09s8TcvWPwaZClq7kSshg/edit?gid=2098233099" TargetMode="External"/><Relationship Id="rId79" Type="http://schemas.openxmlformats.org/officeDocument/2006/relationships/hyperlink" Target="https://unillanos.edu.co/index.php/documentacion/participa/6-2-3-consulta-ciudadana-1/2025-9/8374-informe-seguimiento-plan-de-accion-2025-enero-septiembre/file" TargetMode="External"/><Relationship Id="rId78" Type="http://schemas.openxmlformats.org/officeDocument/2006/relationships/hyperlink" Target="https://drive.google.com/drive/u/5/folders/1LJBJVQpOk2SzdAUE5CsWciSrYRkMwGcC" TargetMode="External"/><Relationship Id="rId71" Type="http://schemas.openxmlformats.org/officeDocument/2006/relationships/hyperlink" Target="https://drive.google.com/drive/u/5/folders/1gYaheQepGa8zwrCABn7mRY_IrKs423_d" TargetMode="External"/><Relationship Id="rId70" Type="http://schemas.openxmlformats.org/officeDocument/2006/relationships/hyperlink" Target="https://drive.google.com/drive/u/5/folders/1gYaheQepGa8zwrCABn7mRY_IrKs423_d" TargetMode="External"/><Relationship Id="rId139" Type="http://schemas.openxmlformats.org/officeDocument/2006/relationships/hyperlink" Target="https://drive.google.com/drive/u/5/folders/1oE4Jf2kd-uPNYObblkP0lUrq_soQhgcF" TargetMode="External"/><Relationship Id="rId138" Type="http://schemas.openxmlformats.org/officeDocument/2006/relationships/hyperlink" Target="https://www.unillanos.edu.co/index.php/documentacion/informes-peticiones-quejas-y-reclamos/2025-14" TargetMode="External"/><Relationship Id="rId137" Type="http://schemas.openxmlformats.org/officeDocument/2006/relationships/hyperlink" Target="https://drive.google.com/drive/u/5/folders/1oE4Jf2kd-uPNYObblkP0lUrq_soQhgcF" TargetMode="External"/><Relationship Id="rId132" Type="http://schemas.openxmlformats.org/officeDocument/2006/relationships/hyperlink" Target="https://drive.google.com/drive/u/5/folders/1oE4Jf2kd-uPNYObblkP0lUrq_soQhgcF" TargetMode="External"/><Relationship Id="rId131" Type="http://schemas.openxmlformats.org/officeDocument/2006/relationships/hyperlink" Target="https://docs.google.com/spreadsheets/d/1V1ZdVL7UzDOyXsSh9bfVFEq2xySGoxLYx-Ebdm9drLY/edit?gid=2098233099" TargetMode="External"/><Relationship Id="rId130" Type="http://schemas.openxmlformats.org/officeDocument/2006/relationships/hyperlink" Target="https://drive.google.com/drive/u/5/folders/1iSQRUbs3mwqrwrHlfMr88hzg4js2h9qB" TargetMode="External"/><Relationship Id="rId136" Type="http://schemas.openxmlformats.org/officeDocument/2006/relationships/hyperlink" Target="https://drive.google.com/drive/u/5/folders/1oE4Jf2kd-uPNYObblkP0lUrq_soQhgcF" TargetMode="External"/><Relationship Id="rId135" Type="http://schemas.openxmlformats.org/officeDocument/2006/relationships/hyperlink" Target="https://drive.google.com/drive/u/5/folders/1oE4Jf2kd-uPNYObblkP0lUrq_soQhgcF" TargetMode="External"/><Relationship Id="rId134" Type="http://schemas.openxmlformats.org/officeDocument/2006/relationships/hyperlink" Target="https://www.unillanos.edu.co/index.php/sistema-integrado-de-conservacion-sic" TargetMode="External"/><Relationship Id="rId133" Type="http://schemas.openxmlformats.org/officeDocument/2006/relationships/hyperlink" Target="https://drive.google.com/drive/u/5/folders/1oE4Jf2kd-uPNYObblkP0lUrq_soQhgcF" TargetMode="External"/><Relationship Id="rId62" Type="http://schemas.openxmlformats.org/officeDocument/2006/relationships/hyperlink" Target="https://drive.google.com/drive/u/5/folders/10wzGT6elrO4XjLsjEDmJd-FBlDdPpEEN" TargetMode="External"/><Relationship Id="rId61" Type="http://schemas.openxmlformats.org/officeDocument/2006/relationships/hyperlink" Target="https://drive.google.com/drive/u/5/folders/10wzGT6elrO4XjLsjEDmJd-FBlDdPpEEN" TargetMode="External"/><Relationship Id="rId64" Type="http://schemas.openxmlformats.org/officeDocument/2006/relationships/hyperlink" Target="https://drive.google.com/drive/u/5/folders/10wzGT6elrO4XjLsjEDmJd-FBlDdPpEEN" TargetMode="External"/><Relationship Id="rId63" Type="http://schemas.openxmlformats.org/officeDocument/2006/relationships/hyperlink" Target="https://drive.google.com/drive/u/5/folders/10wzGT6elrO4XjLsjEDmJd-FBlDdPpEEN" TargetMode="External"/><Relationship Id="rId66" Type="http://schemas.openxmlformats.org/officeDocument/2006/relationships/hyperlink" Target="https://docs.google.com/spreadsheets/d/1CYL_Dcc2U2TZ1tpaCO389esMt3FfJbJz8sX9u0PD3g8/edit?gid=2098233099" TargetMode="External"/><Relationship Id="rId172" Type="http://schemas.openxmlformats.org/officeDocument/2006/relationships/hyperlink" Target="https://drive.google.com/drive/u/5/folders/12VpbYbQ9CC_Wtu2YzD9nOiXYCfD2FwGK" TargetMode="External"/><Relationship Id="rId65" Type="http://schemas.openxmlformats.org/officeDocument/2006/relationships/hyperlink" Target="https://drive.google.com/drive/u/5/folders/10wzGT6elrO4XjLsjEDmJd-FBlDdPpEEN" TargetMode="External"/><Relationship Id="rId171" Type="http://schemas.openxmlformats.org/officeDocument/2006/relationships/hyperlink" Target="https://drive.google.com/drive/u/5/folders/12VpbYbQ9CC_Wtu2YzD9nOiXYCfD2FwGK" TargetMode="External"/><Relationship Id="rId68" Type="http://schemas.openxmlformats.org/officeDocument/2006/relationships/hyperlink" Target="https://drive.google.com/drive/u/5/folders/1gYaheQepGa8zwrCABn7mRY_IrKs423_d" TargetMode="External"/><Relationship Id="rId170" Type="http://schemas.openxmlformats.org/officeDocument/2006/relationships/hyperlink" Target="https://drive.google.com/drive/u/5/folders/12VpbYbQ9CC_Wtu2YzD9nOiXYCfD2FwGK" TargetMode="External"/><Relationship Id="rId67" Type="http://schemas.openxmlformats.org/officeDocument/2006/relationships/hyperlink" Target="https://drive.google.com/drive/u/5/folders/1gYaheQepGa8zwrCABn7mRY_IrKs423_d" TargetMode="External"/><Relationship Id="rId60" Type="http://schemas.openxmlformats.org/officeDocument/2006/relationships/hyperlink" Target="https://drive.google.com/drive/u/5/folders/10wzGT6elrO4XjLsjEDmJd-FBlDdPpEEN" TargetMode="External"/><Relationship Id="rId165" Type="http://schemas.openxmlformats.org/officeDocument/2006/relationships/hyperlink" Target="https://drive.google.com/drive/u/5/folders/12VpbYbQ9CC_Wtu2YzD9nOiXYCfD2FwGK" TargetMode="External"/><Relationship Id="rId69" Type="http://schemas.openxmlformats.org/officeDocument/2006/relationships/hyperlink" Target="https://drive.google.com/drive/u/5/folders/1gYaheQepGa8zwrCABn7mRY_IrKs423_d" TargetMode="External"/><Relationship Id="rId164" Type="http://schemas.openxmlformats.org/officeDocument/2006/relationships/hyperlink" Target="https://drive.google.com/drive/u/5/folders/12VpbYbQ9CC_Wtu2YzD9nOiXYCfD2FwGK" TargetMode="External"/><Relationship Id="rId163" Type="http://schemas.openxmlformats.org/officeDocument/2006/relationships/hyperlink" Target="https://docs.google.com/spreadsheets/d/19qYdnCjI_NS23kuM88JK2Nj3JW4W5kqRFJDwdfZXSe0/edit?gid=2098233099" TargetMode="External"/><Relationship Id="rId162" Type="http://schemas.openxmlformats.org/officeDocument/2006/relationships/hyperlink" Target="https://drive.google.com/drive/u/5/folders/1KBzGQgfN7xg8DMDRFN3N6hnX-3vVq4L9" TargetMode="External"/><Relationship Id="rId169" Type="http://schemas.openxmlformats.org/officeDocument/2006/relationships/hyperlink" Target="https://drive.google.com/drive/u/5/folders/12VpbYbQ9CC_Wtu2YzD9nOiXYCfD2FwGK" TargetMode="External"/><Relationship Id="rId168" Type="http://schemas.openxmlformats.org/officeDocument/2006/relationships/hyperlink" Target="https://drive.google.com/drive/u/5/folders/12VpbYbQ9CC_Wtu2YzD9nOiXYCfD2FwGK" TargetMode="External"/><Relationship Id="rId167" Type="http://schemas.openxmlformats.org/officeDocument/2006/relationships/hyperlink" Target="https://drive.google.com/drive/u/5/folders/12VpbYbQ9CC_Wtu2YzD9nOiXYCfD2FwGK" TargetMode="External"/><Relationship Id="rId166" Type="http://schemas.openxmlformats.org/officeDocument/2006/relationships/hyperlink" Target="https://drive.google.com/drive/u/5/folders/12VpbYbQ9CC_Wtu2YzD9nOiXYCfD2FwGK" TargetMode="External"/><Relationship Id="rId51" Type="http://schemas.openxmlformats.org/officeDocument/2006/relationships/hyperlink" Target="https://drive.google.com/drive/u/5/folders/16EhLa9oADzKYwvph0ZYYRADsm3u7rPS4" TargetMode="External"/><Relationship Id="rId50" Type="http://schemas.openxmlformats.org/officeDocument/2006/relationships/hyperlink" Target="https://drive.google.com/drive/u/5/folders/16EhLa9oADzKYwvph0ZYYRADsm3u7rPS4" TargetMode="External"/><Relationship Id="rId53" Type="http://schemas.openxmlformats.org/officeDocument/2006/relationships/hyperlink" Target="https://drive.google.com/drive/u/5/folders/16EhLa9oADzKYwvph0ZYYRADsm3u7rPS4" TargetMode="External"/><Relationship Id="rId52" Type="http://schemas.openxmlformats.org/officeDocument/2006/relationships/hyperlink" Target="https://drive.google.com/drive/u/5/folders/16EhLa9oADzKYwvph0ZYYRADsm3u7rPS4" TargetMode="External"/><Relationship Id="rId55" Type="http://schemas.openxmlformats.org/officeDocument/2006/relationships/hyperlink" Target="https://drive.google.com/drive/u/5/folders/16EhLa9oADzKYwvph0ZYYRADsm3u7rPS4" TargetMode="External"/><Relationship Id="rId161" Type="http://schemas.openxmlformats.org/officeDocument/2006/relationships/hyperlink" Target="https://drive.google.com/drive/u/5/folders/1KBzGQgfN7xg8DMDRFN3N6hnX-3vVq4L9" TargetMode="External"/><Relationship Id="rId54" Type="http://schemas.openxmlformats.org/officeDocument/2006/relationships/hyperlink" Target="https://drive.google.com/drive/u/5/folders/16EhLa9oADzKYwvph0ZYYRADsm3u7rPS4" TargetMode="External"/><Relationship Id="rId160" Type="http://schemas.openxmlformats.org/officeDocument/2006/relationships/hyperlink" Target="https://drive.google.com/drive/u/5/folders/1KBzGQgfN7xg8DMDRFN3N6hnX-3vVq4L9" TargetMode="External"/><Relationship Id="rId57" Type="http://schemas.openxmlformats.org/officeDocument/2006/relationships/hyperlink" Target="https://drive.google.com/drive/u/5/folders/10wzGT6elrO4XjLsjEDmJd-FBlDdPpEEN" TargetMode="External"/><Relationship Id="rId56" Type="http://schemas.openxmlformats.org/officeDocument/2006/relationships/hyperlink" Target="https://docs.google.com/spreadsheets/d/1_PSRZZApqpxrcNH-MMkoGpkkh3P3ERToRGG5K7BH40s/edit?gid=2098233099" TargetMode="External"/><Relationship Id="rId159" Type="http://schemas.openxmlformats.org/officeDocument/2006/relationships/hyperlink" Target="https://drive.google.com/drive/u/5/folders/1KBzGQgfN7xg8DMDRFN3N6hnX-3vVq4L9" TargetMode="External"/><Relationship Id="rId59" Type="http://schemas.openxmlformats.org/officeDocument/2006/relationships/hyperlink" Target="https://drive.google.com/drive/u/5/folders/10wzGT6elrO4XjLsjEDmJd-FBlDdPpEEN" TargetMode="External"/><Relationship Id="rId154" Type="http://schemas.openxmlformats.org/officeDocument/2006/relationships/hyperlink" Target="https://drive.google.com/drive/u/5/folders/1KBzGQgfN7xg8DMDRFN3N6hnX-3vVq4L9" TargetMode="External"/><Relationship Id="rId58" Type="http://schemas.openxmlformats.org/officeDocument/2006/relationships/hyperlink" Target="https://drive.google.com/drive/u/5/folders/10wzGT6elrO4XjLsjEDmJd-FBlDdPpEEN" TargetMode="External"/><Relationship Id="rId153" Type="http://schemas.openxmlformats.org/officeDocument/2006/relationships/hyperlink" Target="https://drive.google.com/drive/u/5/folders/1KBzGQgfN7xg8DMDRFN3N6hnX-3vVq4L9" TargetMode="External"/><Relationship Id="rId152" Type="http://schemas.openxmlformats.org/officeDocument/2006/relationships/hyperlink" Target="https://drive.google.com/drive/u/5/folders/1KBzGQgfN7xg8DMDRFN3N6hnX-3vVq4L9" TargetMode="External"/><Relationship Id="rId151" Type="http://schemas.openxmlformats.org/officeDocument/2006/relationships/hyperlink" Target="https://drive.google.com/drive/u/5/folders/1KBzGQgfN7xg8DMDRFN3N6hnX-3vVq4L9" TargetMode="External"/><Relationship Id="rId158" Type="http://schemas.openxmlformats.org/officeDocument/2006/relationships/hyperlink" Target="https://drive.google.com/drive/u/5/folders/1KBzGQgfN7xg8DMDRFN3N6hnX-3vVq4L9" TargetMode="External"/><Relationship Id="rId157" Type="http://schemas.openxmlformats.org/officeDocument/2006/relationships/hyperlink" Target="https://drive.google.com/drive/u/5/folders/1KBzGQgfN7xg8DMDRFN3N6hnX-3vVq4L9" TargetMode="External"/><Relationship Id="rId156" Type="http://schemas.openxmlformats.org/officeDocument/2006/relationships/hyperlink" Target="https://drive.google.com/drive/u/5/folders/1KBzGQgfN7xg8DMDRFN3N6hnX-3vVq4L9" TargetMode="External"/><Relationship Id="rId155" Type="http://schemas.openxmlformats.org/officeDocument/2006/relationships/hyperlink" Target="https://drive.google.com/drive/u/5/folders/1KBzGQgfN7xg8DMDRFN3N6hnX-3vVq4L9" TargetMode="Externa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0"/>
  <cols>
    <col customWidth="1" min="1" max="1" width="0.86"/>
    <col customWidth="1" min="2" max="21" width="8.86"/>
    <col customWidth="1" min="22" max="22" width="1.43"/>
    <col customWidth="1" hidden="1" min="23" max="23" width="5.57"/>
    <col hidden="1" min="24" max="28" width="14.43"/>
  </cols>
  <sheetData>
    <row r="1" ht="6.0" customHeight="1">
      <c r="A1" s="1"/>
      <c r="B1" s="1"/>
      <c r="C1" s="1"/>
      <c r="D1" s="1"/>
      <c r="E1" s="1"/>
      <c r="F1" s="1"/>
      <c r="G1" s="1"/>
      <c r="H1" s="1"/>
      <c r="I1" s="1"/>
      <c r="J1" s="1"/>
      <c r="K1" s="1"/>
      <c r="L1" s="1"/>
      <c r="M1" s="1"/>
      <c r="N1" s="1"/>
      <c r="O1" s="1"/>
      <c r="P1" s="1"/>
      <c r="Q1" s="1"/>
      <c r="R1" s="1"/>
      <c r="S1" s="1"/>
      <c r="T1" s="1"/>
      <c r="U1" s="1"/>
      <c r="V1" s="1"/>
      <c r="W1" s="1"/>
      <c r="X1" s="1"/>
      <c r="Y1" s="1"/>
      <c r="Z1" s="1"/>
      <c r="AA1" s="1"/>
      <c r="AB1" s="1"/>
    </row>
    <row r="2" ht="15.0" customHeight="1">
      <c r="A2" s="1"/>
      <c r="B2" s="2"/>
      <c r="C2" s="3"/>
      <c r="D2" s="4"/>
      <c r="E2" s="5" t="s">
        <v>0</v>
      </c>
      <c r="F2" s="6"/>
      <c r="G2" s="6"/>
      <c r="H2" s="6"/>
      <c r="I2" s="6"/>
      <c r="J2" s="6"/>
      <c r="K2" s="6"/>
      <c r="L2" s="6"/>
      <c r="M2" s="6"/>
      <c r="N2" s="6"/>
      <c r="O2" s="6"/>
      <c r="P2" s="6"/>
      <c r="Q2" s="6"/>
      <c r="R2" s="6"/>
      <c r="S2" s="6"/>
      <c r="T2" s="6"/>
      <c r="U2" s="7"/>
      <c r="V2" s="1"/>
      <c r="W2" s="1"/>
      <c r="X2" s="1"/>
      <c r="Y2" s="1"/>
      <c r="Z2" s="1"/>
      <c r="AA2" s="1"/>
      <c r="AB2" s="1"/>
    </row>
    <row r="3" ht="15.0" customHeight="1">
      <c r="A3" s="1"/>
      <c r="B3" s="8"/>
      <c r="D3" s="9"/>
      <c r="E3" s="10" t="s">
        <v>1</v>
      </c>
      <c r="F3" s="6"/>
      <c r="G3" s="6"/>
      <c r="H3" s="6"/>
      <c r="I3" s="6"/>
      <c r="J3" s="6"/>
      <c r="K3" s="6"/>
      <c r="L3" s="6"/>
      <c r="M3" s="6"/>
      <c r="N3" s="6"/>
      <c r="O3" s="6"/>
      <c r="P3" s="6"/>
      <c r="Q3" s="6"/>
      <c r="R3" s="6"/>
      <c r="S3" s="6"/>
      <c r="T3" s="6"/>
      <c r="U3" s="7"/>
      <c r="V3" s="1"/>
      <c r="W3" s="1"/>
      <c r="X3" s="1"/>
      <c r="Y3" s="1"/>
      <c r="Z3" s="1"/>
      <c r="AA3" s="1"/>
      <c r="AB3" s="1"/>
    </row>
    <row r="4" ht="15.0" customHeight="1">
      <c r="A4" s="1"/>
      <c r="B4" s="11"/>
      <c r="C4" s="12"/>
      <c r="D4" s="13"/>
      <c r="E4" s="14" t="s">
        <v>2</v>
      </c>
      <c r="F4" s="6"/>
      <c r="G4" s="6"/>
      <c r="H4" s="7"/>
      <c r="I4" s="14" t="s">
        <v>3</v>
      </c>
      <c r="J4" s="6"/>
      <c r="K4" s="7"/>
      <c r="L4" s="14" t="s">
        <v>4</v>
      </c>
      <c r="M4" s="6"/>
      <c r="N4" s="6"/>
      <c r="O4" s="6"/>
      <c r="P4" s="6"/>
      <c r="Q4" s="6"/>
      <c r="R4" s="7"/>
      <c r="S4" s="14" t="s">
        <v>5</v>
      </c>
      <c r="T4" s="6"/>
      <c r="U4" s="7"/>
      <c r="V4" s="1"/>
      <c r="W4" s="1"/>
      <c r="X4" s="1"/>
      <c r="Y4" s="1"/>
      <c r="Z4" s="1"/>
      <c r="AA4" s="1"/>
      <c r="AB4" s="1"/>
    </row>
    <row r="5" ht="3.0" customHeight="1">
      <c r="A5" s="1"/>
      <c r="B5" s="1"/>
      <c r="V5" s="1"/>
      <c r="W5" s="1"/>
      <c r="X5" s="1"/>
      <c r="Y5" s="1"/>
      <c r="Z5" s="1"/>
      <c r="AA5" s="1"/>
      <c r="AB5" s="1"/>
    </row>
    <row r="6" ht="15.0" customHeight="1">
      <c r="A6" s="15"/>
      <c r="B6" s="16" t="s">
        <v>6</v>
      </c>
      <c r="C6" s="17"/>
      <c r="D6" s="18"/>
      <c r="E6" s="19"/>
      <c r="F6" s="17"/>
      <c r="G6" s="17"/>
      <c r="H6" s="17"/>
      <c r="I6" s="17"/>
      <c r="J6" s="17"/>
      <c r="K6" s="17"/>
      <c r="L6" s="17"/>
      <c r="M6" s="17"/>
      <c r="N6" s="17"/>
      <c r="O6" s="17"/>
      <c r="P6" s="17"/>
      <c r="Q6" s="17"/>
      <c r="R6" s="17"/>
      <c r="S6" s="17"/>
      <c r="T6" s="17"/>
      <c r="U6" s="18"/>
      <c r="V6" s="15"/>
      <c r="W6" s="15"/>
      <c r="X6" s="15"/>
      <c r="Y6" s="15"/>
      <c r="Z6" s="15"/>
      <c r="AA6" s="15"/>
      <c r="AB6" s="1"/>
    </row>
    <row r="7" ht="3.75" customHeight="1">
      <c r="A7" s="1"/>
      <c r="B7" s="1"/>
      <c r="V7" s="1"/>
      <c r="W7" s="1"/>
      <c r="X7" s="1"/>
      <c r="Y7" s="1"/>
      <c r="Z7" s="1"/>
      <c r="AA7" s="1"/>
      <c r="AB7" s="1"/>
    </row>
    <row r="8">
      <c r="A8" s="1"/>
      <c r="B8" s="20" t="s">
        <v>7</v>
      </c>
      <c r="C8" s="6"/>
      <c r="D8" s="6"/>
      <c r="E8" s="6"/>
      <c r="F8" s="6"/>
      <c r="G8" s="6"/>
      <c r="H8" s="6"/>
      <c r="I8" s="6"/>
      <c r="J8" s="6"/>
      <c r="K8" s="6"/>
      <c r="L8" s="6"/>
      <c r="M8" s="6"/>
      <c r="N8" s="6"/>
      <c r="O8" s="6"/>
      <c r="P8" s="6"/>
      <c r="Q8" s="6"/>
      <c r="R8" s="6"/>
      <c r="S8" s="6"/>
      <c r="T8" s="6"/>
      <c r="U8" s="7"/>
      <c r="V8" s="1"/>
      <c r="W8" s="1"/>
      <c r="X8" s="1"/>
      <c r="Y8" s="1"/>
      <c r="Z8" s="1"/>
      <c r="AA8" s="1"/>
      <c r="AB8" s="1"/>
    </row>
    <row r="9" ht="3.75" customHeight="1">
      <c r="A9" s="1"/>
      <c r="B9" s="1"/>
      <c r="V9" s="1"/>
      <c r="W9" s="1"/>
      <c r="X9" s="1"/>
      <c r="Y9" s="1"/>
      <c r="Z9" s="1"/>
      <c r="AA9" s="1"/>
      <c r="AB9" s="1"/>
    </row>
    <row r="10">
      <c r="A10" s="1"/>
      <c r="B10" s="21" t="s">
        <v>8</v>
      </c>
      <c r="C10" s="6"/>
      <c r="D10" s="6"/>
      <c r="E10" s="6"/>
      <c r="F10" s="6"/>
      <c r="G10" s="6"/>
      <c r="H10" s="6"/>
      <c r="I10" s="6"/>
      <c r="J10" s="6"/>
      <c r="K10" s="6"/>
      <c r="L10" s="6"/>
      <c r="M10" s="6"/>
      <c r="N10" s="6"/>
      <c r="O10" s="6"/>
      <c r="P10" s="6"/>
      <c r="Q10" s="6"/>
      <c r="R10" s="6"/>
      <c r="S10" s="6"/>
      <c r="T10" s="6"/>
      <c r="U10" s="7"/>
      <c r="V10" s="1"/>
      <c r="W10" s="1"/>
      <c r="X10" s="1"/>
      <c r="Y10" s="1"/>
      <c r="Z10" s="1"/>
      <c r="AA10" s="1"/>
      <c r="AB10" s="1"/>
    </row>
    <row r="11" ht="20.25" customHeight="1">
      <c r="A11" s="1"/>
      <c r="B11" s="22" t="s">
        <v>9</v>
      </c>
      <c r="C11" s="6"/>
      <c r="D11" s="6"/>
      <c r="E11" s="6"/>
      <c r="F11" s="6"/>
      <c r="G11" s="6"/>
      <c r="H11" s="6"/>
      <c r="I11" s="6"/>
      <c r="J11" s="6"/>
      <c r="K11" s="6"/>
      <c r="L11" s="6"/>
      <c r="M11" s="6"/>
      <c r="N11" s="23" t="s">
        <v>10</v>
      </c>
      <c r="O11" s="6"/>
      <c r="P11" s="6"/>
      <c r="Q11" s="7"/>
      <c r="R11" s="24" t="s">
        <v>11</v>
      </c>
      <c r="S11" s="6"/>
      <c r="T11" s="6"/>
      <c r="U11" s="7"/>
      <c r="V11" s="1"/>
      <c r="W11" s="1"/>
      <c r="X11" s="1"/>
      <c r="Y11" s="1"/>
      <c r="Z11" s="1"/>
      <c r="AA11" s="1"/>
      <c r="AB11" s="1"/>
    </row>
    <row r="12" ht="3.75" customHeight="1">
      <c r="A12" s="1"/>
      <c r="B12" s="25"/>
      <c r="V12" s="1"/>
      <c r="W12" s="1"/>
      <c r="X12" s="1"/>
      <c r="Y12" s="1"/>
      <c r="Z12" s="1"/>
      <c r="AA12" s="1"/>
      <c r="AB12" s="1"/>
    </row>
    <row r="13" ht="16.5" customHeight="1">
      <c r="A13" s="15"/>
      <c r="B13" s="26" t="s">
        <v>12</v>
      </c>
      <c r="C13" s="17"/>
      <c r="D13" s="17"/>
      <c r="E13" s="17"/>
      <c r="F13" s="17"/>
      <c r="G13" s="17"/>
      <c r="H13" s="17"/>
      <c r="I13" s="17"/>
      <c r="J13" s="17"/>
      <c r="K13" s="17"/>
      <c r="L13" s="17"/>
      <c r="M13" s="17"/>
      <c r="N13" s="17"/>
      <c r="O13" s="17"/>
      <c r="P13" s="17"/>
      <c r="Q13" s="17"/>
      <c r="R13" s="17"/>
      <c r="S13" s="17"/>
      <c r="T13" s="17"/>
      <c r="U13" s="18"/>
      <c r="V13" s="15"/>
      <c r="W13" s="15"/>
      <c r="X13" s="15"/>
      <c r="Y13" s="15"/>
      <c r="Z13" s="15"/>
      <c r="AA13" s="15"/>
      <c r="AB13" s="1"/>
    </row>
    <row r="14">
      <c r="A14" s="15"/>
      <c r="B14" s="26" t="s">
        <v>13</v>
      </c>
      <c r="C14" s="17"/>
      <c r="D14" s="18"/>
      <c r="E14" s="26" t="s">
        <v>14</v>
      </c>
      <c r="F14" s="17"/>
      <c r="G14" s="17"/>
      <c r="H14" s="17"/>
      <c r="I14" s="17"/>
      <c r="J14" s="18"/>
      <c r="K14" s="26" t="s">
        <v>15</v>
      </c>
      <c r="L14" s="17"/>
      <c r="M14" s="17"/>
      <c r="N14" s="18"/>
      <c r="O14" s="26" t="s">
        <v>16</v>
      </c>
      <c r="P14" s="18"/>
      <c r="Q14" s="27" t="s">
        <v>17</v>
      </c>
      <c r="R14" s="26" t="s">
        <v>18</v>
      </c>
      <c r="S14" s="17"/>
      <c r="T14" s="17"/>
      <c r="U14" s="18"/>
      <c r="V14" s="15"/>
      <c r="W14" s="15"/>
      <c r="X14" s="15"/>
      <c r="Y14" s="15"/>
      <c r="Z14" s="15"/>
      <c r="AA14" s="15"/>
      <c r="AB14" s="1"/>
    </row>
    <row r="15">
      <c r="A15" s="28"/>
      <c r="B15" s="29"/>
      <c r="C15" s="17"/>
      <c r="D15" s="18"/>
      <c r="E15" s="29"/>
      <c r="F15" s="17"/>
      <c r="G15" s="17"/>
      <c r="H15" s="17"/>
      <c r="I15" s="17"/>
      <c r="J15" s="18"/>
      <c r="K15" s="30" t="str">
        <f>IF(P21="","",P21)</f>
        <v/>
      </c>
      <c r="L15" s="17"/>
      <c r="M15" s="17"/>
      <c r="N15" s="18"/>
      <c r="O15" s="31"/>
      <c r="P15" s="18"/>
      <c r="Q15" s="32" t="str">
        <f>IF(OR(E15="",Contexto!U8=""),"",CONCATENATE(Contexto!U8,"_06"))</f>
        <v>#REF!</v>
      </c>
      <c r="R15" s="29"/>
      <c r="S15" s="17"/>
      <c r="T15" s="17"/>
      <c r="U15" s="18"/>
      <c r="V15" s="28"/>
      <c r="W15" s="28"/>
      <c r="X15" s="28"/>
      <c r="Y15" s="28"/>
      <c r="Z15" s="28"/>
      <c r="AA15" s="28"/>
      <c r="AB15" s="1"/>
    </row>
    <row r="16" ht="3.75" customHeight="1">
      <c r="A16" s="1"/>
      <c r="B16" s="1"/>
      <c r="V16" s="1"/>
      <c r="W16" s="1"/>
      <c r="X16" s="1"/>
      <c r="Y16" s="1"/>
      <c r="Z16" s="1"/>
      <c r="AA16" s="1"/>
      <c r="AB16" s="1"/>
    </row>
    <row r="17" ht="16.5" customHeight="1">
      <c r="A17" s="33"/>
      <c r="B17" s="26" t="s">
        <v>19</v>
      </c>
      <c r="C17" s="17"/>
      <c r="D17" s="17"/>
      <c r="E17" s="17"/>
      <c r="F17" s="17"/>
      <c r="G17" s="17"/>
      <c r="H17" s="17"/>
      <c r="I17" s="17"/>
      <c r="J17" s="17"/>
      <c r="K17" s="17"/>
      <c r="L17" s="17"/>
      <c r="M17" s="17"/>
      <c r="N17" s="17"/>
      <c r="O17" s="17"/>
      <c r="P17" s="17"/>
      <c r="Q17" s="17"/>
      <c r="R17" s="17"/>
      <c r="S17" s="17"/>
      <c r="T17" s="17"/>
      <c r="U17" s="18"/>
      <c r="V17" s="33"/>
      <c r="W17" s="33"/>
      <c r="X17" s="33"/>
      <c r="Y17" s="33"/>
      <c r="Z17" s="33"/>
      <c r="AA17" s="33"/>
      <c r="AB17" s="1"/>
    </row>
    <row r="18" ht="3.0" customHeight="1">
      <c r="A18" s="15"/>
      <c r="B18" s="34"/>
      <c r="V18" s="15"/>
      <c r="W18" s="15"/>
      <c r="X18" s="15"/>
      <c r="Y18" s="15"/>
      <c r="Z18" s="15"/>
      <c r="AA18" s="15"/>
      <c r="AB18" s="1"/>
    </row>
    <row r="19" ht="12.75" customHeight="1">
      <c r="A19" s="15"/>
      <c r="B19" s="35" t="s">
        <v>20</v>
      </c>
      <c r="C19" s="4"/>
      <c r="D19" s="35" t="s">
        <v>21</v>
      </c>
      <c r="E19" s="3"/>
      <c r="F19" s="3"/>
      <c r="G19" s="3"/>
      <c r="H19" s="3"/>
      <c r="I19" s="4"/>
      <c r="J19" s="21" t="s">
        <v>22</v>
      </c>
      <c r="K19" s="6"/>
      <c r="L19" s="6"/>
      <c r="M19" s="6"/>
      <c r="N19" s="7"/>
      <c r="O19" s="36" t="s">
        <v>23</v>
      </c>
      <c r="P19" s="35" t="s">
        <v>24</v>
      </c>
      <c r="Q19" s="3"/>
      <c r="R19" s="3"/>
      <c r="S19" s="3"/>
      <c r="T19" s="3"/>
      <c r="U19" s="4"/>
      <c r="V19" s="15"/>
      <c r="W19" s="15"/>
      <c r="X19" s="15"/>
      <c r="Y19" s="15"/>
      <c r="Z19" s="15"/>
      <c r="AA19" s="15"/>
      <c r="AB19" s="1"/>
    </row>
    <row r="20" ht="12.75" customHeight="1">
      <c r="A20" s="15"/>
      <c r="B20" s="11"/>
      <c r="C20" s="13"/>
      <c r="D20" s="11"/>
      <c r="E20" s="12"/>
      <c r="F20" s="12"/>
      <c r="G20" s="12"/>
      <c r="H20" s="12"/>
      <c r="I20" s="13"/>
      <c r="J20" s="37" t="s">
        <v>25</v>
      </c>
      <c r="K20" s="37" t="s">
        <v>26</v>
      </c>
      <c r="L20" s="37" t="s">
        <v>27</v>
      </c>
      <c r="M20" s="37" t="s">
        <v>28</v>
      </c>
      <c r="N20" s="37" t="s">
        <v>29</v>
      </c>
      <c r="O20" s="38"/>
      <c r="P20" s="11"/>
      <c r="Q20" s="12"/>
      <c r="R20" s="12"/>
      <c r="S20" s="12"/>
      <c r="T20" s="12"/>
      <c r="U20" s="13"/>
      <c r="V20" s="15"/>
      <c r="W20" s="15"/>
      <c r="X20" s="15"/>
      <c r="Y20" s="15"/>
      <c r="Z20" s="15"/>
      <c r="AA20" s="15"/>
      <c r="AB20" s="1"/>
    </row>
    <row r="21">
      <c r="A21" s="15"/>
      <c r="B21" s="22"/>
      <c r="C21" s="7"/>
      <c r="D21" s="39"/>
      <c r="E21" s="6"/>
      <c r="F21" s="6"/>
      <c r="G21" s="6"/>
      <c r="H21" s="6"/>
      <c r="I21" s="7"/>
      <c r="J21" s="40"/>
      <c r="K21" s="41"/>
      <c r="L21" s="41"/>
      <c r="M21" s="41"/>
      <c r="N21" s="41"/>
      <c r="O21" s="42" t="str">
        <f t="shared" ref="O21:O25" si="1">IF(J21="","",AVERAGE(J21:N21))</f>
        <v/>
      </c>
      <c r="P21" s="43" t="str">
        <f>IF(D21="","", CONCATENATE(X21,"
",X22,"
",X23,"
",X24,"
",X25))</f>
        <v/>
      </c>
      <c r="Q21" s="3"/>
      <c r="R21" s="3"/>
      <c r="S21" s="3"/>
      <c r="T21" s="3"/>
      <c r="U21" s="4"/>
      <c r="V21" s="15"/>
      <c r="W21" s="15"/>
      <c r="X21" s="44" t="str">
        <f t="shared" ref="X21:X25" si="2">IF(J21="","",IF(O21&gt;=3,D21,""))</f>
        <v/>
      </c>
      <c r="Y21" s="15"/>
      <c r="Z21" s="15"/>
      <c r="AA21" s="15"/>
      <c r="AB21" s="1"/>
    </row>
    <row r="22">
      <c r="A22" s="15"/>
      <c r="B22" s="22"/>
      <c r="C22" s="7"/>
      <c r="D22" s="39"/>
      <c r="E22" s="6"/>
      <c r="F22" s="6"/>
      <c r="G22" s="6"/>
      <c r="H22" s="6"/>
      <c r="I22" s="7"/>
      <c r="J22" s="40"/>
      <c r="K22" s="41"/>
      <c r="L22" s="41"/>
      <c r="M22" s="41"/>
      <c r="N22" s="41"/>
      <c r="O22" s="42" t="str">
        <f t="shared" si="1"/>
        <v/>
      </c>
      <c r="P22" s="8"/>
      <c r="U22" s="9"/>
      <c r="V22" s="15"/>
      <c r="W22" s="15"/>
      <c r="X22" s="44" t="str">
        <f t="shared" si="2"/>
        <v/>
      </c>
      <c r="Y22" s="15"/>
      <c r="Z22" s="15"/>
      <c r="AA22" s="15"/>
      <c r="AB22" s="1"/>
    </row>
    <row r="23">
      <c r="A23" s="15"/>
      <c r="B23" s="22"/>
      <c r="C23" s="7"/>
      <c r="D23" s="39"/>
      <c r="E23" s="6"/>
      <c r="F23" s="6"/>
      <c r="G23" s="6"/>
      <c r="H23" s="6"/>
      <c r="I23" s="7"/>
      <c r="J23" s="40"/>
      <c r="K23" s="41"/>
      <c r="L23" s="41"/>
      <c r="M23" s="41"/>
      <c r="N23" s="41"/>
      <c r="O23" s="42" t="str">
        <f t="shared" si="1"/>
        <v/>
      </c>
      <c r="P23" s="8"/>
      <c r="U23" s="9"/>
      <c r="V23" s="15"/>
      <c r="W23" s="15"/>
      <c r="X23" s="44" t="str">
        <f t="shared" si="2"/>
        <v/>
      </c>
      <c r="Y23" s="15"/>
      <c r="Z23" s="15"/>
      <c r="AA23" s="15"/>
      <c r="AB23" s="1"/>
    </row>
    <row r="24">
      <c r="A24" s="15"/>
      <c r="B24" s="22"/>
      <c r="C24" s="7"/>
      <c r="D24" s="39"/>
      <c r="E24" s="6"/>
      <c r="F24" s="6"/>
      <c r="G24" s="6"/>
      <c r="H24" s="6"/>
      <c r="I24" s="7"/>
      <c r="J24" s="40"/>
      <c r="K24" s="41"/>
      <c r="L24" s="41"/>
      <c r="M24" s="41"/>
      <c r="N24" s="41"/>
      <c r="O24" s="42" t="str">
        <f t="shared" si="1"/>
        <v/>
      </c>
      <c r="P24" s="8"/>
      <c r="U24" s="9"/>
      <c r="V24" s="15"/>
      <c r="W24" s="15"/>
      <c r="X24" s="44" t="str">
        <f t="shared" si="2"/>
        <v/>
      </c>
      <c r="Y24" s="15"/>
      <c r="Z24" s="15"/>
      <c r="AA24" s="15"/>
      <c r="AB24" s="1"/>
    </row>
    <row r="25">
      <c r="A25" s="15"/>
      <c r="B25" s="22"/>
      <c r="C25" s="7"/>
      <c r="D25" s="39"/>
      <c r="E25" s="6"/>
      <c r="F25" s="6"/>
      <c r="G25" s="6"/>
      <c r="H25" s="6"/>
      <c r="I25" s="7"/>
      <c r="J25" s="40"/>
      <c r="K25" s="41"/>
      <c r="L25" s="41"/>
      <c r="M25" s="41"/>
      <c r="N25" s="41"/>
      <c r="O25" s="42" t="str">
        <f t="shared" si="1"/>
        <v/>
      </c>
      <c r="P25" s="11"/>
      <c r="Q25" s="12"/>
      <c r="R25" s="12"/>
      <c r="S25" s="12"/>
      <c r="T25" s="12"/>
      <c r="U25" s="13"/>
      <c r="V25" s="15"/>
      <c r="W25" s="15"/>
      <c r="X25" s="44" t="str">
        <f t="shared" si="2"/>
        <v/>
      </c>
      <c r="Y25" s="15"/>
      <c r="Z25" s="15"/>
      <c r="AA25" s="15"/>
      <c r="AB25" s="1"/>
    </row>
    <row r="26" ht="3.0" customHeight="1">
      <c r="A26" s="15"/>
      <c r="B26" s="34"/>
      <c r="V26" s="15"/>
      <c r="W26" s="15"/>
      <c r="X26" s="15"/>
      <c r="Y26" s="15"/>
      <c r="Z26" s="15"/>
      <c r="AA26" s="15"/>
      <c r="AB26" s="1"/>
    </row>
    <row r="27">
      <c r="A27" s="1"/>
      <c r="B27" s="45" t="s">
        <v>30</v>
      </c>
      <c r="C27" s="6"/>
      <c r="D27" s="6"/>
      <c r="E27" s="6"/>
      <c r="F27" s="6"/>
      <c r="G27" s="6"/>
      <c r="H27" s="6"/>
      <c r="I27" s="6"/>
      <c r="J27" s="6"/>
      <c r="K27" s="6"/>
      <c r="L27" s="6"/>
      <c r="M27" s="6"/>
      <c r="N27" s="6"/>
      <c r="O27" s="6"/>
      <c r="P27" s="6"/>
      <c r="Q27" s="6"/>
      <c r="R27" s="6"/>
      <c r="S27" s="6"/>
      <c r="T27" s="6"/>
      <c r="U27" s="7"/>
      <c r="V27" s="46"/>
      <c r="W27" s="46"/>
      <c r="X27" s="1"/>
      <c r="Y27" s="1"/>
      <c r="Z27" s="1"/>
      <c r="AA27" s="1"/>
      <c r="AB27" s="1"/>
    </row>
    <row r="28" ht="3.75" customHeight="1">
      <c r="A28" s="1"/>
      <c r="B28" s="1"/>
      <c r="V28" s="1"/>
      <c r="W28" s="1"/>
      <c r="X28" s="1"/>
      <c r="Y28" s="1"/>
      <c r="Z28" s="1"/>
      <c r="AA28" s="1"/>
      <c r="AB28" s="1"/>
    </row>
    <row r="29">
      <c r="A29" s="1"/>
      <c r="B29" s="21" t="s">
        <v>31</v>
      </c>
      <c r="C29" s="6"/>
      <c r="D29" s="6"/>
      <c r="E29" s="6"/>
      <c r="F29" s="6"/>
      <c r="G29" s="6"/>
      <c r="H29" s="6"/>
      <c r="I29" s="6"/>
      <c r="J29" s="6"/>
      <c r="K29" s="6"/>
      <c r="L29" s="6"/>
      <c r="M29" s="6"/>
      <c r="N29" s="6"/>
      <c r="O29" s="6"/>
      <c r="P29" s="6"/>
      <c r="Q29" s="6"/>
      <c r="R29" s="6"/>
      <c r="S29" s="6"/>
      <c r="T29" s="6"/>
      <c r="U29" s="7"/>
      <c r="V29" s="1"/>
      <c r="W29" s="1"/>
      <c r="X29" s="1"/>
      <c r="Y29" s="1"/>
      <c r="Z29" s="1"/>
      <c r="AA29" s="1"/>
      <c r="AB29" s="1"/>
    </row>
    <row r="30" ht="12.75" customHeight="1">
      <c r="A30" s="1"/>
      <c r="B30" s="47" t="s">
        <v>32</v>
      </c>
      <c r="C30" s="7"/>
      <c r="D30" s="48" t="s">
        <v>33</v>
      </c>
      <c r="E30" s="7"/>
      <c r="F30" s="47" t="s">
        <v>34</v>
      </c>
      <c r="G30" s="6"/>
      <c r="H30" s="6"/>
      <c r="I30" s="6"/>
      <c r="J30" s="6"/>
      <c r="K30" s="6"/>
      <c r="L30" s="6"/>
      <c r="M30" s="6"/>
      <c r="N30" s="6"/>
      <c r="O30" s="6"/>
      <c r="P30" s="6"/>
      <c r="Q30" s="7"/>
      <c r="R30" s="47" t="s">
        <v>35</v>
      </c>
      <c r="S30" s="7"/>
      <c r="T30" s="47" t="s">
        <v>32</v>
      </c>
      <c r="U30" s="7"/>
      <c r="V30" s="1"/>
      <c r="W30" s="1"/>
      <c r="X30" s="1"/>
      <c r="Y30" s="1"/>
      <c r="Z30" s="1"/>
      <c r="AA30" s="1"/>
      <c r="AB30" s="1"/>
    </row>
    <row r="31">
      <c r="A31" s="1"/>
      <c r="B31" s="49">
        <v>0.2</v>
      </c>
      <c r="C31" s="7"/>
      <c r="D31" s="50" t="s">
        <v>36</v>
      </c>
      <c r="E31" s="7"/>
      <c r="F31" s="22" t="s">
        <v>37</v>
      </c>
      <c r="G31" s="6"/>
      <c r="H31" s="6"/>
      <c r="I31" s="6"/>
      <c r="J31" s="6"/>
      <c r="K31" s="6"/>
      <c r="L31" s="6"/>
      <c r="M31" s="6"/>
      <c r="N31" s="6"/>
      <c r="O31" s="6"/>
      <c r="P31" s="6"/>
      <c r="Q31" s="7"/>
      <c r="R31" s="51"/>
      <c r="S31" s="4"/>
      <c r="T31" s="52" t="str">
        <f>IF(R31="","",IF(R31=Listas!CO4,20%,IF(R31=Listas!CO5,40%,IF(R31=Listas!CO6,60%,IF(R31=Listas!CO7,80%,IF(R31=Listas!CO8,100%,))))))</f>
        <v/>
      </c>
      <c r="U31" s="4"/>
      <c r="V31" s="1"/>
      <c r="W31" s="1"/>
      <c r="X31" s="53"/>
      <c r="Y31" s="1"/>
      <c r="Z31" s="1"/>
      <c r="AA31" s="1"/>
      <c r="AB31" s="1"/>
    </row>
    <row r="32">
      <c r="A32" s="1"/>
      <c r="B32" s="49">
        <v>0.4</v>
      </c>
      <c r="C32" s="7"/>
      <c r="D32" s="50" t="s">
        <v>38</v>
      </c>
      <c r="E32" s="7"/>
      <c r="F32" s="22" t="s">
        <v>39</v>
      </c>
      <c r="G32" s="6"/>
      <c r="H32" s="6"/>
      <c r="I32" s="6"/>
      <c r="J32" s="6"/>
      <c r="K32" s="6"/>
      <c r="L32" s="6"/>
      <c r="M32" s="6"/>
      <c r="N32" s="6"/>
      <c r="O32" s="6"/>
      <c r="P32" s="6"/>
      <c r="Q32" s="7"/>
      <c r="R32" s="8"/>
      <c r="S32" s="9"/>
      <c r="T32" s="8"/>
      <c r="U32" s="9"/>
      <c r="V32" s="1"/>
      <c r="W32" s="1"/>
      <c r="X32" s="53" t="str">
        <f>IF(N31="","",IF(N31=Listas!CO4,20%,IF(N31=Listas!CO5,40%,IF(N31=Listas!CO6,60%,IF(N31=Listas!CO7,80%,IF(N31=Listas!CO8,100%,))))))</f>
        <v/>
      </c>
      <c r="Y32" s="1"/>
      <c r="Z32" s="1"/>
      <c r="AA32" s="1"/>
      <c r="AB32" s="1"/>
    </row>
    <row r="33">
      <c r="A33" s="1"/>
      <c r="B33" s="49">
        <v>0.6</v>
      </c>
      <c r="C33" s="7"/>
      <c r="D33" s="50" t="s">
        <v>40</v>
      </c>
      <c r="E33" s="7"/>
      <c r="F33" s="22" t="s">
        <v>41</v>
      </c>
      <c r="G33" s="6"/>
      <c r="H33" s="6"/>
      <c r="I33" s="6"/>
      <c r="J33" s="6"/>
      <c r="K33" s="6"/>
      <c r="L33" s="6"/>
      <c r="M33" s="6"/>
      <c r="N33" s="6"/>
      <c r="O33" s="6"/>
      <c r="P33" s="6"/>
      <c r="Q33" s="7"/>
      <c r="R33" s="8"/>
      <c r="S33" s="9"/>
      <c r="T33" s="8"/>
      <c r="U33" s="9"/>
      <c r="V33" s="1"/>
      <c r="W33" s="1"/>
      <c r="X33" s="53" t="str">
        <f>IF(O31="","",IF(O31=Listas!CO4,20%,IF(O31=Listas!CO5,40%,IF(O31=Listas!CO6,60%,IF(O31=Listas!CO7,80%,IF(O31=Listas!CO8,100%,))))))</f>
        <v/>
      </c>
      <c r="Y33" s="1"/>
      <c r="Z33" s="1"/>
      <c r="AA33" s="1"/>
      <c r="AB33" s="1"/>
    </row>
    <row r="34">
      <c r="A34" s="1"/>
      <c r="B34" s="49">
        <v>0.8</v>
      </c>
      <c r="C34" s="7"/>
      <c r="D34" s="50" t="s">
        <v>42</v>
      </c>
      <c r="E34" s="7"/>
      <c r="F34" s="22" t="s">
        <v>43</v>
      </c>
      <c r="G34" s="6"/>
      <c r="H34" s="6"/>
      <c r="I34" s="6"/>
      <c r="J34" s="6"/>
      <c r="K34" s="6"/>
      <c r="L34" s="6"/>
      <c r="M34" s="6"/>
      <c r="N34" s="6"/>
      <c r="O34" s="6"/>
      <c r="P34" s="6"/>
      <c r="Q34" s="7"/>
      <c r="R34" s="8"/>
      <c r="S34" s="9"/>
      <c r="T34" s="8"/>
      <c r="U34" s="9"/>
      <c r="V34" s="1"/>
      <c r="W34" s="1"/>
      <c r="X34" s="53" t="str">
        <f>IF(P31="","",IF(P31=Listas!CO4,20%,IF(P31=Listas!CO5,40%,IF(P31=Listas!CO6,60%,IF(P31=Listas!CO7,80%,IF(P31=Listas!CO8,100%,))))))</f>
        <v/>
      </c>
      <c r="Y34" s="1"/>
      <c r="Z34" s="1"/>
      <c r="AA34" s="1"/>
      <c r="AB34" s="1"/>
    </row>
    <row r="35">
      <c r="A35" s="1"/>
      <c r="B35" s="49">
        <v>1.0</v>
      </c>
      <c r="C35" s="7"/>
      <c r="D35" s="50" t="s">
        <v>44</v>
      </c>
      <c r="E35" s="7"/>
      <c r="F35" s="22" t="s">
        <v>45</v>
      </c>
      <c r="G35" s="6"/>
      <c r="H35" s="6"/>
      <c r="I35" s="6"/>
      <c r="J35" s="6"/>
      <c r="K35" s="6"/>
      <c r="L35" s="6"/>
      <c r="M35" s="6"/>
      <c r="N35" s="6"/>
      <c r="O35" s="6"/>
      <c r="P35" s="6"/>
      <c r="Q35" s="7"/>
      <c r="R35" s="11"/>
      <c r="S35" s="13"/>
      <c r="T35" s="11"/>
      <c r="U35" s="13"/>
      <c r="V35" s="1"/>
      <c r="W35" s="1"/>
      <c r="X35" s="53" t="str">
        <f>IF(Q31="","",IF(Q31=Listas!CO4,20%,IF(Q31=Listas!CO5,40%,IF(Q31=Listas!CO6,60%,IF(Q31=Listas!CO7,80%,IF(Q31=Listas!CO8,100%,))))))</f>
        <v/>
      </c>
      <c r="Y35" s="1"/>
      <c r="Z35" s="1"/>
      <c r="AA35" s="1"/>
      <c r="AB35" s="1"/>
    </row>
    <row r="36" ht="3.75" customHeight="1">
      <c r="A36" s="1"/>
      <c r="B36" s="1"/>
      <c r="V36" s="1"/>
      <c r="W36" s="1"/>
      <c r="X36" s="1"/>
      <c r="Y36" s="1"/>
      <c r="Z36" s="1"/>
      <c r="AA36" s="1"/>
      <c r="AB36" s="1"/>
    </row>
    <row r="37">
      <c r="A37" s="1"/>
      <c r="B37" s="21" t="s">
        <v>46</v>
      </c>
      <c r="C37" s="6"/>
      <c r="D37" s="6"/>
      <c r="E37" s="6"/>
      <c r="F37" s="6"/>
      <c r="G37" s="6"/>
      <c r="H37" s="6"/>
      <c r="I37" s="6"/>
      <c r="J37" s="6"/>
      <c r="K37" s="6"/>
      <c r="L37" s="6"/>
      <c r="M37" s="6"/>
      <c r="N37" s="6"/>
      <c r="O37" s="6"/>
      <c r="P37" s="6"/>
      <c r="Q37" s="6"/>
      <c r="R37" s="6"/>
      <c r="S37" s="6"/>
      <c r="T37" s="6"/>
      <c r="U37" s="7"/>
      <c r="V37" s="1"/>
      <c r="W37" s="1"/>
      <c r="X37" s="1"/>
      <c r="Y37" s="1"/>
      <c r="Z37" s="1"/>
      <c r="AA37" s="1"/>
      <c r="AB37" s="1"/>
    </row>
    <row r="38">
      <c r="A38" s="1"/>
      <c r="B38" s="54" t="s">
        <v>32</v>
      </c>
      <c r="C38" s="7"/>
      <c r="D38" s="54" t="s">
        <v>47</v>
      </c>
      <c r="E38" s="6"/>
      <c r="F38" s="6"/>
      <c r="G38" s="6"/>
      <c r="H38" s="6"/>
      <c r="I38" s="6"/>
      <c r="J38" s="6"/>
      <c r="K38" s="6"/>
      <c r="L38" s="7"/>
      <c r="M38" s="54" t="s">
        <v>48</v>
      </c>
      <c r="N38" s="6"/>
      <c r="O38" s="6"/>
      <c r="P38" s="6"/>
      <c r="Q38" s="6"/>
      <c r="R38" s="6"/>
      <c r="S38" s="6"/>
      <c r="T38" s="6"/>
      <c r="U38" s="7"/>
      <c r="V38" s="1"/>
      <c r="W38" s="1"/>
      <c r="X38" s="1"/>
      <c r="Y38" s="1"/>
      <c r="Z38" s="1"/>
      <c r="AA38" s="1"/>
      <c r="AB38" s="1"/>
    </row>
    <row r="39" ht="17.25" customHeight="1">
      <c r="A39" s="1"/>
      <c r="B39" s="22" t="s">
        <v>49</v>
      </c>
      <c r="C39" s="7"/>
      <c r="D39" s="22" t="s">
        <v>50</v>
      </c>
      <c r="E39" s="6"/>
      <c r="F39" s="6"/>
      <c r="G39" s="6"/>
      <c r="H39" s="6"/>
      <c r="I39" s="6"/>
      <c r="J39" s="6"/>
      <c r="K39" s="7"/>
      <c r="L39" s="55"/>
      <c r="M39" s="22" t="s">
        <v>51</v>
      </c>
      <c r="N39" s="6"/>
      <c r="O39" s="6"/>
      <c r="P39" s="6"/>
      <c r="Q39" s="6"/>
      <c r="R39" s="6"/>
      <c r="S39" s="6"/>
      <c r="T39" s="7"/>
      <c r="U39" s="55"/>
      <c r="V39" s="1"/>
      <c r="W39" s="1"/>
      <c r="X39" s="1"/>
      <c r="Y39" s="1"/>
      <c r="Z39" s="1"/>
      <c r="AA39" s="1"/>
      <c r="AB39" s="1"/>
    </row>
    <row r="40" ht="23.25" customHeight="1">
      <c r="A40" s="1"/>
      <c r="B40" s="22" t="s">
        <v>52</v>
      </c>
      <c r="C40" s="7"/>
      <c r="D40" s="22" t="s">
        <v>53</v>
      </c>
      <c r="E40" s="6"/>
      <c r="F40" s="6"/>
      <c r="G40" s="6"/>
      <c r="H40" s="6"/>
      <c r="I40" s="6"/>
      <c r="J40" s="6"/>
      <c r="K40" s="7"/>
      <c r="L40" s="55"/>
      <c r="M40" s="22" t="s">
        <v>54</v>
      </c>
      <c r="N40" s="6"/>
      <c r="O40" s="6"/>
      <c r="P40" s="6"/>
      <c r="Q40" s="6"/>
      <c r="R40" s="6"/>
      <c r="S40" s="6"/>
      <c r="T40" s="7"/>
      <c r="U40" s="55"/>
      <c r="V40" s="1"/>
      <c r="W40" s="1"/>
      <c r="X40" s="1"/>
      <c r="Y40" s="1"/>
      <c r="Z40" s="1"/>
      <c r="AA40" s="1"/>
      <c r="AB40" s="1"/>
    </row>
    <row r="41" ht="23.25" customHeight="1">
      <c r="A41" s="1"/>
      <c r="B41" s="22" t="s">
        <v>55</v>
      </c>
      <c r="C41" s="7"/>
      <c r="D41" s="22" t="s">
        <v>56</v>
      </c>
      <c r="E41" s="6"/>
      <c r="F41" s="6"/>
      <c r="G41" s="6"/>
      <c r="H41" s="6"/>
      <c r="I41" s="6"/>
      <c r="J41" s="6"/>
      <c r="K41" s="7"/>
      <c r="L41" s="55"/>
      <c r="M41" s="22" t="s">
        <v>57</v>
      </c>
      <c r="N41" s="6"/>
      <c r="O41" s="6"/>
      <c r="P41" s="6"/>
      <c r="Q41" s="6"/>
      <c r="R41" s="6"/>
      <c r="S41" s="6"/>
      <c r="T41" s="7"/>
      <c r="U41" s="55"/>
      <c r="V41" s="1"/>
      <c r="W41" s="1"/>
      <c r="X41" s="1"/>
      <c r="Y41" s="1"/>
      <c r="Z41" s="1"/>
      <c r="AA41" s="1"/>
      <c r="AB41" s="1"/>
    </row>
    <row r="42" ht="23.25" customHeight="1">
      <c r="A42" s="1"/>
      <c r="B42" s="22" t="s">
        <v>58</v>
      </c>
      <c r="C42" s="7"/>
      <c r="D42" s="22" t="s">
        <v>59</v>
      </c>
      <c r="E42" s="6"/>
      <c r="F42" s="6"/>
      <c r="G42" s="6"/>
      <c r="H42" s="6"/>
      <c r="I42" s="6"/>
      <c r="J42" s="6"/>
      <c r="K42" s="7"/>
      <c r="L42" s="55"/>
      <c r="M42" s="22" t="s">
        <v>60</v>
      </c>
      <c r="N42" s="6"/>
      <c r="O42" s="6"/>
      <c r="P42" s="6"/>
      <c r="Q42" s="6"/>
      <c r="R42" s="6"/>
      <c r="S42" s="6"/>
      <c r="T42" s="7"/>
      <c r="U42" s="55"/>
      <c r="V42" s="1"/>
      <c r="W42" s="1"/>
      <c r="X42" s="1"/>
      <c r="Y42" s="1"/>
      <c r="Z42" s="1"/>
      <c r="AA42" s="1"/>
      <c r="AB42" s="1"/>
    </row>
    <row r="43" ht="23.25" customHeight="1">
      <c r="A43" s="1"/>
      <c r="B43" s="22" t="s">
        <v>61</v>
      </c>
      <c r="C43" s="7"/>
      <c r="D43" s="22" t="s">
        <v>62</v>
      </c>
      <c r="E43" s="6"/>
      <c r="F43" s="6"/>
      <c r="G43" s="6"/>
      <c r="H43" s="6"/>
      <c r="I43" s="6"/>
      <c r="J43" s="6"/>
      <c r="K43" s="7"/>
      <c r="L43" s="55"/>
      <c r="M43" s="22" t="s">
        <v>63</v>
      </c>
      <c r="N43" s="6"/>
      <c r="O43" s="6"/>
      <c r="P43" s="6"/>
      <c r="Q43" s="6"/>
      <c r="R43" s="6"/>
      <c r="S43" s="6"/>
      <c r="T43" s="7"/>
      <c r="U43" s="55"/>
      <c r="V43" s="1"/>
      <c r="W43" s="1"/>
      <c r="X43" s="1"/>
      <c r="Y43" s="1"/>
      <c r="Z43" s="1"/>
      <c r="AA43" s="1"/>
      <c r="AB43" s="1"/>
    </row>
    <row r="44" hidden="1">
      <c r="A44" s="1"/>
      <c r="B44" s="25" t="s">
        <v>64</v>
      </c>
      <c r="D44" s="56" t="str">
        <f>IF(AND(L39="",L40="",L41="",L42="",L43="",U39="",U40="",U41="",U42="",U43=""),"Sin clasificar",IF(OR(L43="X",U43="X"),Listas!CP8,IF(OR(L42="X",U42="X"),Listas!CP7,IF(OR(L41="X",U41="X"),Listas!CP6,IF(OR(L40="X",U40="X"),Listas!CP5,IF(OR(L39="X",U39="X"),Listas!CP4,))))))</f>
        <v>Sin clasificar</v>
      </c>
      <c r="M44" s="25" t="s">
        <v>65</v>
      </c>
      <c r="O44" s="57" t="str">
        <f>IF(D44="Sin clasificar","",IF(D44=Listas!CP4,20%,IF(D44=Listas!CP5,40%,IF(D44=Listas!CP6,60%,IF(D44=Listas!CP7,80%,IF(D44=Listas!CP8,100%,))))))</f>
        <v/>
      </c>
      <c r="V44" s="1"/>
      <c r="W44" s="1"/>
      <c r="X44" s="1"/>
      <c r="Y44" s="1"/>
      <c r="Z44" s="1"/>
      <c r="AA44" s="1"/>
      <c r="AB44" s="1"/>
    </row>
    <row r="45" ht="3.75" customHeight="1">
      <c r="A45" s="1"/>
      <c r="B45" s="1"/>
      <c r="V45" s="1"/>
      <c r="W45" s="1"/>
      <c r="X45" s="1"/>
      <c r="Y45" s="1"/>
      <c r="Z45" s="1"/>
      <c r="AA45" s="1"/>
      <c r="AB45" s="1"/>
    </row>
    <row r="46">
      <c r="A46" s="1"/>
      <c r="B46" s="21" t="s">
        <v>66</v>
      </c>
      <c r="C46" s="6"/>
      <c r="D46" s="6"/>
      <c r="E46" s="6"/>
      <c r="F46" s="6"/>
      <c r="G46" s="6"/>
      <c r="H46" s="6"/>
      <c r="I46" s="6"/>
      <c r="J46" s="6"/>
      <c r="K46" s="6"/>
      <c r="L46" s="6"/>
      <c r="M46" s="6"/>
      <c r="N46" s="6"/>
      <c r="O46" s="6"/>
      <c r="P46" s="6"/>
      <c r="Q46" s="6"/>
      <c r="R46" s="6"/>
      <c r="S46" s="6"/>
      <c r="T46" s="6"/>
      <c r="U46" s="7"/>
      <c r="V46" s="1"/>
      <c r="W46" s="1"/>
      <c r="X46" s="1"/>
      <c r="Y46" s="1"/>
      <c r="Z46" s="1"/>
      <c r="AA46" s="1"/>
      <c r="AB46" s="1"/>
    </row>
    <row r="47">
      <c r="A47" s="1"/>
      <c r="B47" s="54" t="s">
        <v>67</v>
      </c>
      <c r="C47" s="6"/>
      <c r="D47" s="6"/>
      <c r="E47" s="6"/>
      <c r="F47" s="6"/>
      <c r="G47" s="6"/>
      <c r="H47" s="7"/>
      <c r="I47" s="54" t="s">
        <v>68</v>
      </c>
      <c r="J47" s="7"/>
      <c r="K47" s="54" t="s">
        <v>67</v>
      </c>
      <c r="L47" s="6"/>
      <c r="M47" s="6"/>
      <c r="N47" s="6"/>
      <c r="O47" s="6"/>
      <c r="P47" s="6"/>
      <c r="Q47" s="7"/>
      <c r="R47" s="54" t="s">
        <v>68</v>
      </c>
      <c r="S47" s="7"/>
      <c r="T47" s="58"/>
      <c r="U47" s="7"/>
      <c r="V47" s="1"/>
      <c r="W47" s="1"/>
      <c r="X47" s="1"/>
      <c r="Y47" s="1"/>
      <c r="Z47" s="1"/>
      <c r="AA47" s="1"/>
      <c r="AB47" s="1"/>
    </row>
    <row r="48">
      <c r="A48" s="1"/>
      <c r="B48" s="40">
        <v>1.0</v>
      </c>
      <c r="C48" s="59" t="s">
        <v>69</v>
      </c>
      <c r="D48" s="60"/>
      <c r="E48" s="60"/>
      <c r="F48" s="60"/>
      <c r="G48" s="60"/>
      <c r="H48" s="61"/>
      <c r="I48" s="62"/>
      <c r="J48" s="7"/>
      <c r="K48" s="40">
        <v>11.0</v>
      </c>
      <c r="L48" s="59" t="s">
        <v>70</v>
      </c>
      <c r="M48" s="60"/>
      <c r="N48" s="60"/>
      <c r="O48" s="60"/>
      <c r="P48" s="60"/>
      <c r="Q48" s="61"/>
      <c r="R48" s="62"/>
      <c r="S48" s="7"/>
      <c r="T48" s="2" t="str">
        <f>IF(R57=0,"Sin clasificar",IF(AND(R57&gt;=1,R57&lt;=5),Listas!CP6,IF(AND(R57&gt;=6,R57&lt;=12),Listas!CP7,IF(R57&gt;=12,Listas!CP8,""))))</f>
        <v>Sin clasificar</v>
      </c>
      <c r="U48" s="4"/>
      <c r="V48" s="1"/>
      <c r="W48" s="1"/>
      <c r="X48" s="1"/>
      <c r="Y48" s="1"/>
      <c r="Z48" s="1"/>
      <c r="AA48" s="1"/>
      <c r="AB48" s="1"/>
    </row>
    <row r="49">
      <c r="A49" s="1"/>
      <c r="B49" s="40">
        <v>2.0</v>
      </c>
      <c r="C49" s="59" t="s">
        <v>71</v>
      </c>
      <c r="D49" s="60"/>
      <c r="E49" s="60"/>
      <c r="F49" s="60"/>
      <c r="G49" s="60"/>
      <c r="H49" s="61"/>
      <c r="I49" s="62"/>
      <c r="J49" s="7"/>
      <c r="K49" s="40">
        <v>12.0</v>
      </c>
      <c r="L49" s="59" t="s">
        <v>72</v>
      </c>
      <c r="M49" s="60"/>
      <c r="N49" s="60"/>
      <c r="O49" s="60"/>
      <c r="P49" s="60"/>
      <c r="Q49" s="61"/>
      <c r="R49" s="62"/>
      <c r="S49" s="7"/>
      <c r="T49" s="8"/>
      <c r="U49" s="9"/>
      <c r="V49" s="1"/>
      <c r="W49" s="1"/>
      <c r="X49" s="1"/>
      <c r="Y49" s="1"/>
      <c r="Z49" s="1"/>
      <c r="AA49" s="1"/>
      <c r="AB49" s="1"/>
    </row>
    <row r="50">
      <c r="A50" s="1"/>
      <c r="B50" s="40">
        <v>3.0</v>
      </c>
      <c r="C50" s="59" t="s">
        <v>73</v>
      </c>
      <c r="D50" s="60"/>
      <c r="E50" s="60"/>
      <c r="F50" s="60"/>
      <c r="G50" s="60"/>
      <c r="H50" s="61"/>
      <c r="I50" s="62"/>
      <c r="J50" s="7"/>
      <c r="K50" s="40">
        <v>13.0</v>
      </c>
      <c r="L50" s="59" t="s">
        <v>74</v>
      </c>
      <c r="M50" s="60"/>
      <c r="N50" s="60"/>
      <c r="O50" s="60"/>
      <c r="P50" s="60"/>
      <c r="Q50" s="61"/>
      <c r="R50" s="62"/>
      <c r="S50" s="7"/>
      <c r="T50" s="8"/>
      <c r="U50" s="9"/>
      <c r="V50" s="1"/>
      <c r="W50" s="1"/>
      <c r="X50" s="1"/>
      <c r="Y50" s="1"/>
      <c r="Z50" s="1"/>
      <c r="AA50" s="1"/>
      <c r="AB50" s="1"/>
    </row>
    <row r="51">
      <c r="A51" s="1"/>
      <c r="B51" s="40">
        <v>4.0</v>
      </c>
      <c r="C51" s="59" t="s">
        <v>75</v>
      </c>
      <c r="D51" s="60"/>
      <c r="E51" s="60"/>
      <c r="F51" s="60"/>
      <c r="G51" s="60"/>
      <c r="H51" s="61"/>
      <c r="I51" s="62"/>
      <c r="J51" s="7"/>
      <c r="K51" s="40">
        <v>14.0</v>
      </c>
      <c r="L51" s="59" t="s">
        <v>76</v>
      </c>
      <c r="M51" s="60"/>
      <c r="N51" s="60"/>
      <c r="O51" s="60"/>
      <c r="P51" s="60"/>
      <c r="Q51" s="61"/>
      <c r="R51" s="62"/>
      <c r="S51" s="7"/>
      <c r="T51" s="8"/>
      <c r="U51" s="9"/>
      <c r="V51" s="1"/>
      <c r="W51" s="1"/>
      <c r="X51" s="1"/>
      <c r="Y51" s="1"/>
      <c r="Z51" s="1"/>
      <c r="AA51" s="1"/>
      <c r="AB51" s="1"/>
    </row>
    <row r="52">
      <c r="A52" s="1"/>
      <c r="B52" s="40">
        <v>5.0</v>
      </c>
      <c r="C52" s="59" t="s">
        <v>77</v>
      </c>
      <c r="D52" s="60"/>
      <c r="E52" s="60"/>
      <c r="F52" s="60"/>
      <c r="G52" s="60"/>
      <c r="H52" s="61"/>
      <c r="I52" s="62"/>
      <c r="J52" s="7"/>
      <c r="K52" s="40">
        <v>15.0</v>
      </c>
      <c r="L52" s="59" t="s">
        <v>78</v>
      </c>
      <c r="M52" s="60"/>
      <c r="N52" s="60"/>
      <c r="O52" s="60"/>
      <c r="P52" s="60"/>
      <c r="Q52" s="61"/>
      <c r="R52" s="62"/>
      <c r="S52" s="7"/>
      <c r="T52" s="8"/>
      <c r="U52" s="9"/>
      <c r="V52" s="1"/>
      <c r="W52" s="1"/>
      <c r="X52" s="1"/>
      <c r="Y52" s="1"/>
      <c r="Z52" s="1"/>
      <c r="AA52" s="1"/>
      <c r="AB52" s="1"/>
    </row>
    <row r="53">
      <c r="A53" s="1"/>
      <c r="B53" s="40">
        <v>6.0</v>
      </c>
      <c r="C53" s="59" t="s">
        <v>79</v>
      </c>
      <c r="D53" s="60"/>
      <c r="E53" s="60"/>
      <c r="F53" s="60"/>
      <c r="G53" s="60"/>
      <c r="H53" s="61"/>
      <c r="I53" s="62"/>
      <c r="J53" s="7"/>
      <c r="K53" s="63">
        <v>16.0</v>
      </c>
      <c r="L53" s="59" t="s">
        <v>80</v>
      </c>
      <c r="M53" s="60"/>
      <c r="N53" s="60"/>
      <c r="O53" s="60"/>
      <c r="P53" s="60"/>
      <c r="Q53" s="61"/>
      <c r="R53" s="62"/>
      <c r="S53" s="7"/>
      <c r="T53" s="8"/>
      <c r="U53" s="9"/>
      <c r="V53" s="1"/>
      <c r="W53" s="1"/>
      <c r="X53" s="1"/>
      <c r="Y53" s="1"/>
      <c r="Z53" s="1"/>
      <c r="AA53" s="1"/>
      <c r="AB53" s="1"/>
    </row>
    <row r="54">
      <c r="A54" s="1"/>
      <c r="B54" s="40">
        <v>7.0</v>
      </c>
      <c r="C54" s="59" t="s">
        <v>81</v>
      </c>
      <c r="D54" s="60"/>
      <c r="E54" s="60"/>
      <c r="F54" s="60"/>
      <c r="G54" s="60"/>
      <c r="H54" s="61"/>
      <c r="I54" s="62"/>
      <c r="J54" s="7"/>
      <c r="K54" s="40">
        <v>17.0</v>
      </c>
      <c r="L54" s="59" t="s">
        <v>82</v>
      </c>
      <c r="M54" s="60"/>
      <c r="N54" s="60"/>
      <c r="O54" s="60"/>
      <c r="P54" s="60"/>
      <c r="Q54" s="61"/>
      <c r="R54" s="62"/>
      <c r="S54" s="7"/>
      <c r="T54" s="8"/>
      <c r="U54" s="9"/>
      <c r="V54" s="1"/>
      <c r="W54" s="1"/>
      <c r="X54" s="1"/>
      <c r="Y54" s="1"/>
      <c r="Z54" s="1"/>
      <c r="AA54" s="1"/>
      <c r="AB54" s="1"/>
    </row>
    <row r="55">
      <c r="A55" s="1"/>
      <c r="B55" s="40">
        <v>8.0</v>
      </c>
      <c r="C55" s="59" t="s">
        <v>83</v>
      </c>
      <c r="D55" s="60"/>
      <c r="E55" s="60"/>
      <c r="F55" s="60"/>
      <c r="G55" s="60"/>
      <c r="H55" s="61"/>
      <c r="I55" s="62"/>
      <c r="J55" s="7"/>
      <c r="K55" s="40">
        <v>18.0</v>
      </c>
      <c r="L55" s="59" t="s">
        <v>84</v>
      </c>
      <c r="M55" s="60"/>
      <c r="N55" s="60"/>
      <c r="O55" s="60"/>
      <c r="P55" s="60"/>
      <c r="Q55" s="61"/>
      <c r="R55" s="62"/>
      <c r="S55" s="7"/>
      <c r="T55" s="8"/>
      <c r="U55" s="9"/>
      <c r="V55" s="1"/>
      <c r="W55" s="1"/>
      <c r="X55" s="1"/>
      <c r="Y55" s="1"/>
      <c r="Z55" s="1"/>
      <c r="AA55" s="1"/>
      <c r="AB55" s="1"/>
    </row>
    <row r="56">
      <c r="A56" s="1"/>
      <c r="B56" s="40">
        <v>9.0</v>
      </c>
      <c r="C56" s="59" t="s">
        <v>85</v>
      </c>
      <c r="D56" s="60"/>
      <c r="E56" s="60"/>
      <c r="F56" s="60"/>
      <c r="G56" s="60"/>
      <c r="H56" s="61"/>
      <c r="I56" s="62"/>
      <c r="J56" s="7"/>
      <c r="K56" s="40">
        <v>19.0</v>
      </c>
      <c r="L56" s="59" t="s">
        <v>86</v>
      </c>
      <c r="M56" s="60"/>
      <c r="N56" s="60"/>
      <c r="O56" s="60"/>
      <c r="P56" s="60"/>
      <c r="Q56" s="61"/>
      <c r="R56" s="62"/>
      <c r="S56" s="7"/>
      <c r="T56" s="8"/>
      <c r="U56" s="9"/>
      <c r="V56" s="1"/>
      <c r="W56" s="1"/>
      <c r="X56" s="1"/>
      <c r="Y56" s="1"/>
      <c r="Z56" s="1"/>
      <c r="AA56" s="1"/>
      <c r="AB56" s="1"/>
    </row>
    <row r="57">
      <c r="A57" s="1"/>
      <c r="B57" s="40">
        <v>10.0</v>
      </c>
      <c r="C57" s="59" t="s">
        <v>87</v>
      </c>
      <c r="D57" s="60"/>
      <c r="E57" s="60"/>
      <c r="F57" s="60"/>
      <c r="G57" s="60"/>
      <c r="H57" s="61"/>
      <c r="I57" s="62"/>
      <c r="J57" s="7"/>
      <c r="K57" s="64" t="str">
        <f>IF(T48=X67,"",IF(T48=Listas!CP6,60%,IF(T48=Listas!CP7,80%,IF(T48=Listas!CP6,100%,))))</f>
        <v/>
      </c>
      <c r="L57" s="6"/>
      <c r="M57" s="6"/>
      <c r="N57" s="6"/>
      <c r="O57" s="6"/>
      <c r="P57" s="6"/>
      <c r="Q57" s="6"/>
      <c r="R57" s="65">
        <f>IF(R53="Si",((COUNTIF(I48:J57,"Si")+COUNTIF(R48:S56,"Si"))+18),(COUNTIF(I48:J57,"Si")+COUNTIF(R48:S56,"Si")))</f>
        <v>0</v>
      </c>
      <c r="S57" s="7"/>
      <c r="T57" s="11"/>
      <c r="U57" s="13"/>
      <c r="V57" s="1"/>
      <c r="W57" s="1"/>
      <c r="X57" s="1"/>
      <c r="Y57" s="1"/>
      <c r="Z57" s="1"/>
      <c r="AA57" s="1"/>
      <c r="AB57" s="1"/>
    </row>
    <row r="58" ht="3.75" customHeight="1">
      <c r="A58" s="1"/>
      <c r="B58" s="1"/>
      <c r="V58" s="1"/>
      <c r="W58" s="1"/>
      <c r="X58" s="1"/>
      <c r="Y58" s="1"/>
      <c r="Z58" s="1"/>
      <c r="AA58" s="1"/>
      <c r="AB58" s="1"/>
    </row>
    <row r="59">
      <c r="A59" s="1"/>
      <c r="B59" s="66" t="s">
        <v>88</v>
      </c>
      <c r="C59" s="3"/>
      <c r="D59" s="3"/>
      <c r="E59" s="3"/>
      <c r="F59" s="3"/>
      <c r="G59" s="3"/>
      <c r="H59" s="3"/>
      <c r="I59" s="3"/>
      <c r="J59" s="3"/>
      <c r="K59" s="4"/>
      <c r="L59" s="67" t="s">
        <v>89</v>
      </c>
      <c r="M59" s="7"/>
      <c r="N59" s="68" t="s">
        <v>90</v>
      </c>
      <c r="O59" s="6"/>
      <c r="P59" s="6"/>
      <c r="Q59" s="6"/>
      <c r="R59" s="6"/>
      <c r="S59" s="6"/>
      <c r="T59" s="6"/>
      <c r="U59" s="7"/>
      <c r="V59" s="1"/>
      <c r="W59" s="1"/>
      <c r="X59" s="1"/>
      <c r="Y59" s="1"/>
      <c r="Z59" s="1"/>
      <c r="AA59" s="1"/>
      <c r="AB59" s="1"/>
    </row>
    <row r="60">
      <c r="A60" s="1"/>
      <c r="B60" s="8"/>
      <c r="K60" s="9"/>
      <c r="L60" s="69" t="s">
        <v>91</v>
      </c>
      <c r="M60" s="7"/>
      <c r="N60" s="68" t="s">
        <v>92</v>
      </c>
      <c r="O60" s="6"/>
      <c r="P60" s="6"/>
      <c r="Q60" s="6"/>
      <c r="R60" s="6"/>
      <c r="S60" s="6"/>
      <c r="T60" s="6"/>
      <c r="U60" s="7"/>
      <c r="V60" s="1"/>
      <c r="W60" s="1"/>
      <c r="X60" s="1"/>
      <c r="Y60" s="1"/>
      <c r="Z60" s="1"/>
      <c r="AA60" s="1"/>
      <c r="AB60" s="1"/>
    </row>
    <row r="61">
      <c r="A61" s="1"/>
      <c r="B61" s="11"/>
      <c r="C61" s="12"/>
      <c r="D61" s="12"/>
      <c r="E61" s="12"/>
      <c r="F61" s="12"/>
      <c r="G61" s="12"/>
      <c r="H61" s="12"/>
      <c r="I61" s="12"/>
      <c r="J61" s="12"/>
      <c r="K61" s="13"/>
      <c r="L61" s="70" t="s">
        <v>93</v>
      </c>
      <c r="M61" s="7"/>
      <c r="N61" s="68" t="s">
        <v>94</v>
      </c>
      <c r="O61" s="6"/>
      <c r="P61" s="6"/>
      <c r="Q61" s="6"/>
      <c r="R61" s="6"/>
      <c r="S61" s="6"/>
      <c r="T61" s="6"/>
      <c r="U61" s="7"/>
      <c r="V61" s="1"/>
      <c r="W61" s="1"/>
      <c r="X61" s="1"/>
      <c r="Y61" s="1"/>
      <c r="Z61" s="1"/>
      <c r="AA61" s="1"/>
      <c r="AB61" s="1"/>
    </row>
    <row r="62" ht="3.75" customHeight="1">
      <c r="A62" s="1"/>
      <c r="B62" s="1"/>
      <c r="V62" s="1"/>
      <c r="W62" s="1"/>
      <c r="X62" s="1"/>
      <c r="Y62" s="1"/>
      <c r="Z62" s="1"/>
      <c r="AA62" s="1"/>
      <c r="AB62" s="1"/>
    </row>
    <row r="63" ht="17.25" customHeight="1">
      <c r="A63" s="1"/>
      <c r="B63" s="21" t="s">
        <v>95</v>
      </c>
      <c r="C63" s="6"/>
      <c r="D63" s="6"/>
      <c r="E63" s="6"/>
      <c r="F63" s="6"/>
      <c r="G63" s="6"/>
      <c r="H63" s="6"/>
      <c r="I63" s="6"/>
      <c r="J63" s="6"/>
      <c r="K63" s="6"/>
      <c r="L63" s="6"/>
      <c r="M63" s="6"/>
      <c r="N63" s="6"/>
      <c r="O63" s="6"/>
      <c r="P63" s="6"/>
      <c r="Q63" s="6"/>
      <c r="R63" s="6"/>
      <c r="S63" s="6"/>
      <c r="T63" s="6"/>
      <c r="U63" s="7"/>
      <c r="V63" s="1"/>
      <c r="W63" s="1"/>
      <c r="X63" s="1"/>
      <c r="Y63" s="1"/>
      <c r="Z63" s="1"/>
      <c r="AA63" s="1"/>
      <c r="AB63" s="1"/>
    </row>
    <row r="64" ht="3.75" customHeight="1">
      <c r="A64" s="1"/>
      <c r="B64" s="1"/>
      <c r="V64" s="1"/>
      <c r="W64" s="1"/>
      <c r="X64" s="1"/>
      <c r="Y64" s="1"/>
      <c r="Z64" s="1"/>
      <c r="AA64" s="1"/>
      <c r="AB64" s="1"/>
    </row>
    <row r="65">
      <c r="A65" s="1"/>
      <c r="B65" s="21" t="s">
        <v>96</v>
      </c>
      <c r="C65" s="6"/>
      <c r="D65" s="6"/>
      <c r="E65" s="6"/>
      <c r="F65" s="6"/>
      <c r="G65" s="6"/>
      <c r="H65" s="6"/>
      <c r="I65" s="6"/>
      <c r="J65" s="6"/>
      <c r="K65" s="6"/>
      <c r="L65" s="6"/>
      <c r="M65" s="6"/>
      <c r="N65" s="6"/>
      <c r="O65" s="6"/>
      <c r="P65" s="6"/>
      <c r="Q65" s="6"/>
      <c r="R65" s="6"/>
      <c r="S65" s="6"/>
      <c r="T65" s="6"/>
      <c r="U65" s="7"/>
      <c r="V65" s="1"/>
      <c r="W65" s="1"/>
      <c r="X65" s="1"/>
      <c r="Y65" s="1"/>
      <c r="Z65" s="1"/>
      <c r="AA65" s="1"/>
      <c r="AB65" s="1"/>
    </row>
    <row r="66">
      <c r="A66" s="1"/>
      <c r="B66" s="71" t="s">
        <v>35</v>
      </c>
      <c r="C66" s="72" t="s">
        <v>44</v>
      </c>
      <c r="D66" s="54" t="s">
        <v>42</v>
      </c>
      <c r="E66" s="7"/>
      <c r="F66" s="54" t="s">
        <v>42</v>
      </c>
      <c r="G66" s="7"/>
      <c r="H66" s="54" t="s">
        <v>97</v>
      </c>
      <c r="I66" s="7"/>
      <c r="J66" s="54" t="s">
        <v>97</v>
      </c>
      <c r="K66" s="7"/>
      <c r="L66" s="54" t="s">
        <v>97</v>
      </c>
      <c r="M66" s="7"/>
      <c r="N66" s="1"/>
      <c r="O66" s="47" t="s">
        <v>35</v>
      </c>
      <c r="P66" s="7"/>
      <c r="Q66" s="47" t="s">
        <v>98</v>
      </c>
      <c r="R66" s="7"/>
      <c r="S66" s="47" t="s">
        <v>99</v>
      </c>
      <c r="T66" s="6"/>
      <c r="U66" s="7"/>
      <c r="V66" s="1"/>
      <c r="W66" s="1"/>
      <c r="X66" s="1"/>
      <c r="Y66" s="1"/>
      <c r="Z66" s="1"/>
      <c r="AA66" s="1"/>
      <c r="AB66" s="1"/>
    </row>
    <row r="67">
      <c r="A67" s="1"/>
      <c r="B67" s="73"/>
      <c r="C67" s="72" t="s">
        <v>42</v>
      </c>
      <c r="D67" s="54" t="s">
        <v>40</v>
      </c>
      <c r="E67" s="7"/>
      <c r="F67" s="54" t="s">
        <v>42</v>
      </c>
      <c r="G67" s="7"/>
      <c r="H67" s="54" t="s">
        <v>42</v>
      </c>
      <c r="I67" s="7"/>
      <c r="J67" s="54" t="s">
        <v>97</v>
      </c>
      <c r="K67" s="7"/>
      <c r="L67" s="54" t="s">
        <v>97</v>
      </c>
      <c r="M67" s="7"/>
      <c r="O67" s="2" t="str">
        <f>IF(T31="",X67,R31)</f>
        <v>Sin clasificar</v>
      </c>
      <c r="P67" s="4"/>
      <c r="Q67" s="2" t="str">
        <f>IF(O15=Listas!CM5,T48,D44)</f>
        <v>Sin clasificar</v>
      </c>
      <c r="R67" s="4"/>
      <c r="S67" s="2" t="str">
        <f>IF(O67="Sin clasificar","",VLOOKUP(CONCATENATE(O67,Q67),Listas!$CQ$4:$CR$29,2,FALSE))</f>
        <v/>
      </c>
      <c r="T67" s="3"/>
      <c r="U67" s="4"/>
      <c r="V67" s="1"/>
      <c r="W67" s="1"/>
      <c r="X67" s="74" t="s">
        <v>100</v>
      </c>
      <c r="Y67" s="74" t="s">
        <v>101</v>
      </c>
      <c r="Z67" s="74" t="s">
        <v>102</v>
      </c>
      <c r="AA67" s="1"/>
      <c r="AB67" s="1"/>
    </row>
    <row r="68">
      <c r="A68" s="1"/>
      <c r="B68" s="73"/>
      <c r="C68" s="72" t="s">
        <v>40</v>
      </c>
      <c r="D68" s="54" t="s">
        <v>38</v>
      </c>
      <c r="E68" s="7"/>
      <c r="F68" s="54" t="s">
        <v>40</v>
      </c>
      <c r="G68" s="7"/>
      <c r="H68" s="54" t="s">
        <v>42</v>
      </c>
      <c r="I68" s="7"/>
      <c r="J68" s="54" t="s">
        <v>97</v>
      </c>
      <c r="K68" s="7"/>
      <c r="L68" s="54" t="s">
        <v>97</v>
      </c>
      <c r="M68" s="7"/>
      <c r="O68" s="8"/>
      <c r="P68" s="9"/>
      <c r="Q68" s="8"/>
      <c r="R68" s="9"/>
      <c r="S68" s="8"/>
      <c r="U68" s="9"/>
      <c r="V68" s="1"/>
      <c r="W68" s="1"/>
      <c r="X68" s="75"/>
      <c r="Y68" s="76" t="str">
        <f>T31</f>
        <v/>
      </c>
      <c r="Z68" s="76" t="str">
        <f>IF(O15=Listas!CM4,K57,O44)</f>
        <v/>
      </c>
      <c r="AA68" s="1"/>
      <c r="AB68" s="1"/>
    </row>
    <row r="69">
      <c r="A69" s="1"/>
      <c r="B69" s="73"/>
      <c r="C69" s="72" t="s">
        <v>38</v>
      </c>
      <c r="D69" s="54" t="s">
        <v>38</v>
      </c>
      <c r="E69" s="7"/>
      <c r="F69" s="54" t="s">
        <v>38</v>
      </c>
      <c r="G69" s="7"/>
      <c r="H69" s="54" t="s">
        <v>40</v>
      </c>
      <c r="I69" s="7"/>
      <c r="J69" s="54" t="s">
        <v>42</v>
      </c>
      <c r="K69" s="7"/>
      <c r="L69" s="54" t="s">
        <v>97</v>
      </c>
      <c r="M69" s="7"/>
      <c r="O69" s="8"/>
      <c r="P69" s="9"/>
      <c r="Q69" s="8"/>
      <c r="R69" s="9"/>
      <c r="S69" s="8"/>
      <c r="U69" s="9"/>
      <c r="V69" s="1"/>
      <c r="W69" s="1"/>
      <c r="X69" s="1"/>
      <c r="Y69" s="1"/>
      <c r="Z69" s="1"/>
      <c r="AA69" s="1"/>
      <c r="AB69" s="1"/>
    </row>
    <row r="70">
      <c r="A70" s="1"/>
      <c r="B70" s="38"/>
      <c r="C70" s="72" t="s">
        <v>36</v>
      </c>
      <c r="D70" s="54" t="s">
        <v>38</v>
      </c>
      <c r="E70" s="7"/>
      <c r="F70" s="54" t="s">
        <v>38</v>
      </c>
      <c r="G70" s="7"/>
      <c r="H70" s="54" t="s">
        <v>40</v>
      </c>
      <c r="I70" s="7"/>
      <c r="J70" s="54" t="s">
        <v>42</v>
      </c>
      <c r="K70" s="7"/>
      <c r="L70" s="54" t="s">
        <v>97</v>
      </c>
      <c r="M70" s="7"/>
      <c r="O70" s="8"/>
      <c r="P70" s="9"/>
      <c r="Q70" s="8"/>
      <c r="R70" s="9"/>
      <c r="S70" s="8"/>
      <c r="U70" s="9"/>
      <c r="V70" s="1"/>
      <c r="W70" s="1"/>
      <c r="X70" s="1"/>
      <c r="Y70" s="1"/>
      <c r="Z70" s="1"/>
      <c r="AA70" s="1"/>
      <c r="AB70" s="1"/>
    </row>
    <row r="71">
      <c r="A71" s="1"/>
      <c r="B71" s="77" t="s">
        <v>98</v>
      </c>
      <c r="C71" s="7"/>
      <c r="D71" s="54" t="s">
        <v>103</v>
      </c>
      <c r="E71" s="7"/>
      <c r="F71" s="54" t="s">
        <v>104</v>
      </c>
      <c r="G71" s="7"/>
      <c r="H71" s="54" t="s">
        <v>89</v>
      </c>
      <c r="I71" s="7"/>
      <c r="J71" s="54" t="s">
        <v>91</v>
      </c>
      <c r="K71" s="7"/>
      <c r="L71" s="54" t="s">
        <v>93</v>
      </c>
      <c r="M71" s="7"/>
      <c r="O71" s="11"/>
      <c r="P71" s="13"/>
      <c r="Q71" s="11"/>
      <c r="R71" s="13"/>
      <c r="S71" s="11"/>
      <c r="T71" s="12"/>
      <c r="U71" s="13"/>
      <c r="V71" s="1"/>
      <c r="W71" s="1"/>
      <c r="X71" s="1"/>
      <c r="Y71" s="1"/>
      <c r="Z71" s="1"/>
      <c r="AA71" s="1"/>
      <c r="AB71" s="1"/>
    </row>
    <row r="72" ht="3.75" customHeight="1">
      <c r="A72" s="1"/>
      <c r="B72" s="1"/>
      <c r="V72" s="1"/>
      <c r="W72" s="1"/>
      <c r="X72" s="1"/>
      <c r="Y72" s="1"/>
      <c r="Z72" s="1"/>
      <c r="AA72" s="1"/>
      <c r="AB72" s="1"/>
    </row>
    <row r="73">
      <c r="A73" s="1"/>
      <c r="B73" s="21" t="s">
        <v>105</v>
      </c>
      <c r="C73" s="6"/>
      <c r="D73" s="6"/>
      <c r="E73" s="6"/>
      <c r="F73" s="6"/>
      <c r="G73" s="6"/>
      <c r="H73" s="6"/>
      <c r="I73" s="6"/>
      <c r="J73" s="6"/>
      <c r="K73" s="6"/>
      <c r="L73" s="6"/>
      <c r="M73" s="6"/>
      <c r="N73" s="6"/>
      <c r="O73" s="6"/>
      <c r="P73" s="6"/>
      <c r="Q73" s="6"/>
      <c r="R73" s="6"/>
      <c r="S73" s="6"/>
      <c r="T73" s="6"/>
      <c r="U73" s="7"/>
      <c r="V73" s="1"/>
      <c r="W73" s="1"/>
      <c r="X73" s="1"/>
      <c r="Y73" s="1"/>
      <c r="Z73" s="1"/>
      <c r="AA73" s="1"/>
      <c r="AB73" s="1"/>
    </row>
    <row r="74">
      <c r="A74" s="1"/>
      <c r="B74" s="48" t="s">
        <v>106</v>
      </c>
      <c r="C74" s="6"/>
      <c r="D74" s="6"/>
      <c r="E74" s="6"/>
      <c r="F74" s="7"/>
      <c r="G74" s="48" t="s">
        <v>107</v>
      </c>
      <c r="H74" s="6"/>
      <c r="I74" s="6"/>
      <c r="J74" s="6"/>
      <c r="K74" s="7"/>
      <c r="L74" s="48" t="s">
        <v>108</v>
      </c>
      <c r="M74" s="7"/>
      <c r="N74" s="48" t="s">
        <v>109</v>
      </c>
      <c r="O74" s="7"/>
      <c r="P74" s="48" t="s">
        <v>110</v>
      </c>
      <c r="Q74" s="7"/>
      <c r="R74" s="48" t="s">
        <v>111</v>
      </c>
      <c r="S74" s="7"/>
      <c r="T74" s="48" t="s">
        <v>112</v>
      </c>
      <c r="U74" s="7"/>
      <c r="V74" s="1"/>
      <c r="W74" s="1"/>
      <c r="X74" s="74" t="s">
        <v>113</v>
      </c>
      <c r="Y74" s="74" t="s">
        <v>114</v>
      </c>
      <c r="Z74" s="74" t="s">
        <v>115</v>
      </c>
      <c r="AA74" s="74" t="s">
        <v>116</v>
      </c>
      <c r="AB74" s="74" t="s">
        <v>117</v>
      </c>
    </row>
    <row r="75">
      <c r="A75" s="1"/>
      <c r="B75" s="78" t="str">
        <f>IF(P21="","",P21)</f>
        <v/>
      </c>
      <c r="C75" s="3"/>
      <c r="D75" s="3"/>
      <c r="E75" s="3"/>
      <c r="F75" s="4"/>
      <c r="G75" s="50"/>
      <c r="H75" s="6"/>
      <c r="I75" s="6"/>
      <c r="J75" s="6"/>
      <c r="K75" s="7"/>
      <c r="L75" s="22"/>
      <c r="M75" s="7"/>
      <c r="N75" s="22"/>
      <c r="O75" s="7"/>
      <c r="P75" s="22"/>
      <c r="Q75" s="7"/>
      <c r="R75" s="22"/>
      <c r="S75" s="7"/>
      <c r="T75" s="22"/>
      <c r="U75" s="7"/>
      <c r="V75" s="1"/>
      <c r="W75" s="1"/>
      <c r="X75" s="76" t="str">
        <f>IF(L75=Listas!$CS$4,25%,IF(L75=Listas!$CS$5,15%,IF(L75=Listas!$CS$6,10%,"")))</f>
        <v/>
      </c>
      <c r="Y75" s="76" t="str">
        <f>IF(N75=Listas!$CT$4,25%,IF(N75=Listas!$CT$5,15%,""))</f>
        <v/>
      </c>
      <c r="Z75" s="76" t="str">
        <f t="shared" ref="Z75:Z79" si="3">IF(SUM(X75:Y75)=0,"",SUM(X75:Y75))</f>
        <v/>
      </c>
      <c r="AA75" s="76" t="str">
        <f>IF(OR(L75=Listas!$CS$4,L75=Listas!$CS$5),(Y68-(Y68*Z75)),Y68)</f>
        <v/>
      </c>
      <c r="AB75" s="76" t="str">
        <f>IF(L75=Listas!$CS$6,(Z68-(Z68*Z75)),Z68)</f>
        <v/>
      </c>
    </row>
    <row r="76">
      <c r="A76" s="1"/>
      <c r="B76" s="8"/>
      <c r="F76" s="9"/>
      <c r="G76" s="50"/>
      <c r="H76" s="6"/>
      <c r="I76" s="6"/>
      <c r="J76" s="6"/>
      <c r="K76" s="7"/>
      <c r="L76" s="22"/>
      <c r="M76" s="7"/>
      <c r="N76" s="22"/>
      <c r="O76" s="7"/>
      <c r="P76" s="22"/>
      <c r="Q76" s="7"/>
      <c r="R76" s="22"/>
      <c r="S76" s="7"/>
      <c r="T76" s="22"/>
      <c r="U76" s="7"/>
      <c r="V76" s="1"/>
      <c r="W76" s="1"/>
      <c r="X76" s="76" t="str">
        <f>IF(L76=Listas!$CS$4,25%,IF(L76=Listas!$CS$5,15%,IF(L76=Listas!$CS$6,10%,"")))</f>
        <v/>
      </c>
      <c r="Y76" s="76" t="str">
        <f>IF(N76=Listas!$CT$4,25%,IF(N76=Listas!$CT$5,15%,""))</f>
        <v/>
      </c>
      <c r="Z76" s="76" t="str">
        <f t="shared" si="3"/>
        <v/>
      </c>
      <c r="AA76" s="76" t="str">
        <f>IF(OR(L76=Listas!$CS$4,L76=Listas!$CS$5),(AA75-(AA75*Z76)),AA75)</f>
        <v/>
      </c>
      <c r="AB76" s="76" t="str">
        <f>IF(L76=Listas!$CS$6,(AB75-(AB75*Z76)),AB75)</f>
        <v/>
      </c>
    </row>
    <row r="77">
      <c r="A77" s="1"/>
      <c r="B77" s="8"/>
      <c r="F77" s="9"/>
      <c r="G77" s="50"/>
      <c r="H77" s="6"/>
      <c r="I77" s="6"/>
      <c r="J77" s="6"/>
      <c r="K77" s="7"/>
      <c r="L77" s="22"/>
      <c r="M77" s="7"/>
      <c r="N77" s="22"/>
      <c r="O77" s="7"/>
      <c r="P77" s="22"/>
      <c r="Q77" s="7"/>
      <c r="R77" s="22"/>
      <c r="S77" s="7"/>
      <c r="T77" s="22"/>
      <c r="U77" s="7"/>
      <c r="V77" s="1"/>
      <c r="W77" s="1"/>
      <c r="X77" s="76" t="str">
        <f>IF(L77=Listas!$CS$4,25%,IF(L77=Listas!$CS$5,15%,IF(L77=Listas!$CS$6,10%,"")))</f>
        <v/>
      </c>
      <c r="Y77" s="76" t="str">
        <f>IF(N77=Listas!$CT$4,25%,IF(N77=Listas!$CT$5,15%,""))</f>
        <v/>
      </c>
      <c r="Z77" s="76" t="str">
        <f t="shared" si="3"/>
        <v/>
      </c>
      <c r="AA77" s="76" t="str">
        <f>IF(OR(L77=Listas!$CS$4,L77=Listas!$CS$5),(AA76-(AA76*Z77)),AA76)</f>
        <v/>
      </c>
      <c r="AB77" s="76" t="str">
        <f>IF(L77=Listas!$CS$6,(AB76-(AB76*Z77)),AB76)</f>
        <v/>
      </c>
    </row>
    <row r="78">
      <c r="A78" s="1"/>
      <c r="B78" s="8"/>
      <c r="F78" s="9"/>
      <c r="G78" s="79"/>
      <c r="H78" s="6"/>
      <c r="I78" s="6"/>
      <c r="J78" s="6"/>
      <c r="K78" s="7"/>
      <c r="L78" s="22"/>
      <c r="M78" s="7"/>
      <c r="N78" s="22"/>
      <c r="O78" s="7"/>
      <c r="P78" s="22"/>
      <c r="Q78" s="7"/>
      <c r="R78" s="22"/>
      <c r="S78" s="7"/>
      <c r="T78" s="22"/>
      <c r="U78" s="7"/>
      <c r="V78" s="1"/>
      <c r="W78" s="1"/>
      <c r="X78" s="76" t="str">
        <f>IF(L78=Listas!$CS$4,25%,IF(L78=Listas!$CS$5,15%,IF(L78=Listas!$CS$6,10%,"")))</f>
        <v/>
      </c>
      <c r="Y78" s="76" t="str">
        <f>IF(N78=Listas!$CT$4,25%,IF(N78=Listas!$CT$5,15%,""))</f>
        <v/>
      </c>
      <c r="Z78" s="76" t="str">
        <f t="shared" si="3"/>
        <v/>
      </c>
      <c r="AA78" s="76" t="str">
        <f>IF(OR(L78=Listas!$CS$4,L78=Listas!$CS$5),(AA77-(AA77*Z78)),AA77)</f>
        <v/>
      </c>
      <c r="AB78" s="76" t="str">
        <f>IF(L78=Listas!$CS$6,(AB77-(AB77*Z78)),AB77)</f>
        <v/>
      </c>
    </row>
    <row r="79">
      <c r="A79" s="1"/>
      <c r="B79" s="11"/>
      <c r="C79" s="12"/>
      <c r="D79" s="12"/>
      <c r="E79" s="12"/>
      <c r="F79" s="13"/>
      <c r="G79" s="79"/>
      <c r="H79" s="6"/>
      <c r="I79" s="6"/>
      <c r="J79" s="6"/>
      <c r="K79" s="7"/>
      <c r="L79" s="22"/>
      <c r="M79" s="7"/>
      <c r="N79" s="22"/>
      <c r="O79" s="7"/>
      <c r="P79" s="22"/>
      <c r="Q79" s="7"/>
      <c r="R79" s="22"/>
      <c r="S79" s="7"/>
      <c r="T79" s="22"/>
      <c r="U79" s="7"/>
      <c r="V79" s="1"/>
      <c r="W79" s="1"/>
      <c r="X79" s="76" t="str">
        <f>IF(L79=Listas!$CS$4,25%,IF(L79=Listas!$CS$5,15%,IF(L79=Listas!$CS$6,10%,"")))</f>
        <v/>
      </c>
      <c r="Y79" s="76" t="str">
        <f>IF(N79=Listas!$CT$4,25%,IF(N79=Listas!$CT$5,15%,""))</f>
        <v/>
      </c>
      <c r="Z79" s="76" t="str">
        <f t="shared" si="3"/>
        <v/>
      </c>
      <c r="AA79" s="76" t="str">
        <f>IF(OR(L79=Listas!$CS$4,L79=Listas!$CS$5),(AA78-(AA78*Z79)),AA78)</f>
        <v/>
      </c>
      <c r="AB79" s="76" t="str">
        <f>IF(L79=Listas!$CS$6,(AB78-(AB78*Z79)),AB78)</f>
        <v/>
      </c>
    </row>
    <row r="80" ht="3.75" customHeight="1">
      <c r="A80" s="1"/>
      <c r="B80" s="1"/>
      <c r="V80" s="1"/>
      <c r="W80" s="1"/>
      <c r="X80" s="1"/>
      <c r="Y80" s="1"/>
      <c r="Z80" s="1"/>
      <c r="AA80" s="1"/>
      <c r="AB80" s="1"/>
    </row>
    <row r="81">
      <c r="A81" s="1"/>
      <c r="B81" s="21" t="s">
        <v>118</v>
      </c>
      <c r="C81" s="6"/>
      <c r="D81" s="6"/>
      <c r="E81" s="6"/>
      <c r="F81" s="6"/>
      <c r="G81" s="6"/>
      <c r="H81" s="6"/>
      <c r="I81" s="6"/>
      <c r="J81" s="6"/>
      <c r="K81" s="6"/>
      <c r="L81" s="6"/>
      <c r="M81" s="6"/>
      <c r="N81" s="6"/>
      <c r="O81" s="6"/>
      <c r="P81" s="6"/>
      <c r="Q81" s="6"/>
      <c r="R81" s="6"/>
      <c r="S81" s="6"/>
      <c r="T81" s="6"/>
      <c r="U81" s="7"/>
      <c r="V81" s="1"/>
      <c r="W81" s="1"/>
      <c r="X81" s="74" t="s">
        <v>119</v>
      </c>
      <c r="Y81" s="1"/>
      <c r="Z81" s="1"/>
      <c r="AA81" s="1"/>
      <c r="AB81" s="1"/>
    </row>
    <row r="82">
      <c r="A82" s="1"/>
      <c r="B82" s="80" t="s">
        <v>35</v>
      </c>
      <c r="C82" s="72" t="s">
        <v>44</v>
      </c>
      <c r="D82" s="54" t="s">
        <v>42</v>
      </c>
      <c r="E82" s="7"/>
      <c r="F82" s="54" t="s">
        <v>42</v>
      </c>
      <c r="G82" s="7"/>
      <c r="H82" s="54" t="s">
        <v>97</v>
      </c>
      <c r="I82" s="7"/>
      <c r="J82" s="54" t="s">
        <v>97</v>
      </c>
      <c r="K82" s="7"/>
      <c r="L82" s="54" t="s">
        <v>97</v>
      </c>
      <c r="M82" s="7"/>
      <c r="N82" s="1"/>
      <c r="O82" s="47" t="s">
        <v>35</v>
      </c>
      <c r="P82" s="7"/>
      <c r="Q82" s="47" t="s">
        <v>98</v>
      </c>
      <c r="R82" s="7"/>
      <c r="S82" s="47" t="s">
        <v>99</v>
      </c>
      <c r="T82" s="6"/>
      <c r="U82" s="7"/>
      <c r="V82" s="1"/>
      <c r="W82" s="1"/>
      <c r="Y82" s="1"/>
      <c r="Z82" s="1"/>
      <c r="AA82" s="1"/>
      <c r="AB82" s="1"/>
    </row>
    <row r="83">
      <c r="A83" s="1"/>
      <c r="B83" s="73"/>
      <c r="C83" s="72" t="s">
        <v>42</v>
      </c>
      <c r="D83" s="54" t="s">
        <v>40</v>
      </c>
      <c r="E83" s="7"/>
      <c r="F83" s="54" t="s">
        <v>42</v>
      </c>
      <c r="G83" s="7"/>
      <c r="H83" s="54" t="s">
        <v>42</v>
      </c>
      <c r="I83" s="7"/>
      <c r="J83" s="54" t="s">
        <v>97</v>
      </c>
      <c r="K83" s="7"/>
      <c r="L83" s="54" t="s">
        <v>97</v>
      </c>
      <c r="M83" s="7"/>
      <c r="O83" s="2" t="str">
        <f>IF(L75="",X81,IF(AND(AA79&gt;0,AA79&lt;=20%),Listas!CO4,IF(AND(AA79&gt;20%,AA79&lt;=40%),Listas!CO5,IF(AND(AA79&gt;40%,AA79&lt;=60%),Listas!CO6,IF(AND(AA79&gt;60%,AA79&lt;=80%),Listas!CO7,IF(AND(AA79&gt;80%,AA79&lt;=100%),Listas!CO8,""))))))</f>
        <v>Califique los controles</v>
      </c>
      <c r="P83" s="4"/>
      <c r="Q83" s="81" t="str">
        <f>IF(L75="",X81,IF(O15="Corrupción",Q67,IF(AND(AB79&gt;0,AB79&lt;=20%),Listas!CP4,IF(AND(AB79&gt;20%,AB79&lt;=40%),Listas!CP5,IF(AND(AB79&gt;40%,AB79&lt;=60%),Listas!CP6,IF(AND(AB79&gt;60%,AB79&lt;=80%),Listas!CP7,IF(AND(AB79&gt;80%,AB79&lt;=100%),Listas!CP8,"")))))))</f>
        <v>Califique los controles</v>
      </c>
      <c r="R83" s="4"/>
      <c r="S83" s="2" t="str">
        <f>IF(O83="Califique los controles","",VLOOKUP(CONCATENATE(O83,Q83),Listas!$CQ$4:$CR$29,2,FALSE))</f>
        <v/>
      </c>
      <c r="T83" s="3"/>
      <c r="U83" s="4"/>
      <c r="V83" s="1"/>
      <c r="W83" s="1"/>
      <c r="X83" s="1"/>
      <c r="Y83" s="1"/>
      <c r="Z83" s="1"/>
      <c r="AA83" s="1"/>
      <c r="AB83" s="1"/>
    </row>
    <row r="84">
      <c r="A84" s="1"/>
      <c r="B84" s="73"/>
      <c r="C84" s="72" t="s">
        <v>40</v>
      </c>
      <c r="D84" s="54" t="s">
        <v>38</v>
      </c>
      <c r="E84" s="7"/>
      <c r="F84" s="54" t="s">
        <v>40</v>
      </c>
      <c r="G84" s="7"/>
      <c r="H84" s="54" t="s">
        <v>42</v>
      </c>
      <c r="I84" s="7"/>
      <c r="J84" s="54" t="s">
        <v>97</v>
      </c>
      <c r="K84" s="7"/>
      <c r="L84" s="54" t="s">
        <v>97</v>
      </c>
      <c r="M84" s="7"/>
      <c r="O84" s="8"/>
      <c r="P84" s="9"/>
      <c r="Q84" s="8"/>
      <c r="R84" s="9"/>
      <c r="S84" s="8"/>
      <c r="U84" s="9"/>
      <c r="V84" s="1"/>
      <c r="W84" s="1"/>
      <c r="X84" s="1"/>
      <c r="Y84" s="1"/>
      <c r="Z84" s="1"/>
      <c r="AA84" s="1"/>
      <c r="AB84" s="1"/>
    </row>
    <row r="85">
      <c r="A85" s="1"/>
      <c r="B85" s="73"/>
      <c r="C85" s="72" t="s">
        <v>38</v>
      </c>
      <c r="D85" s="54" t="s">
        <v>38</v>
      </c>
      <c r="E85" s="7"/>
      <c r="F85" s="54" t="s">
        <v>38</v>
      </c>
      <c r="G85" s="7"/>
      <c r="H85" s="54" t="s">
        <v>40</v>
      </c>
      <c r="I85" s="7"/>
      <c r="J85" s="54" t="s">
        <v>42</v>
      </c>
      <c r="K85" s="7"/>
      <c r="L85" s="54" t="s">
        <v>97</v>
      </c>
      <c r="M85" s="7"/>
      <c r="O85" s="8"/>
      <c r="P85" s="9"/>
      <c r="Q85" s="8"/>
      <c r="R85" s="9"/>
      <c r="S85" s="8"/>
      <c r="U85" s="9"/>
      <c r="V85" s="1"/>
      <c r="W85" s="1"/>
      <c r="X85" s="1"/>
      <c r="Y85" s="1"/>
      <c r="Z85" s="1"/>
      <c r="AA85" s="1"/>
      <c r="AB85" s="1"/>
    </row>
    <row r="86">
      <c r="A86" s="1"/>
      <c r="B86" s="38"/>
      <c r="C86" s="72" t="s">
        <v>36</v>
      </c>
      <c r="D86" s="54" t="s">
        <v>38</v>
      </c>
      <c r="E86" s="7"/>
      <c r="F86" s="54" t="s">
        <v>38</v>
      </c>
      <c r="G86" s="7"/>
      <c r="H86" s="54" t="s">
        <v>40</v>
      </c>
      <c r="I86" s="7"/>
      <c r="J86" s="54" t="s">
        <v>42</v>
      </c>
      <c r="K86" s="7"/>
      <c r="L86" s="54" t="s">
        <v>97</v>
      </c>
      <c r="M86" s="7"/>
      <c r="O86" s="8"/>
      <c r="P86" s="9"/>
      <c r="Q86" s="8"/>
      <c r="R86" s="9"/>
      <c r="S86" s="8"/>
      <c r="U86" s="9"/>
      <c r="V86" s="1"/>
      <c r="W86" s="1"/>
      <c r="X86" s="1"/>
      <c r="Y86" s="1"/>
      <c r="Z86" s="1"/>
      <c r="AA86" s="1"/>
      <c r="AB86" s="1"/>
    </row>
    <row r="87">
      <c r="A87" s="1"/>
      <c r="B87" s="82" t="s">
        <v>98</v>
      </c>
      <c r="C87" s="7"/>
      <c r="D87" s="54" t="s">
        <v>120</v>
      </c>
      <c r="E87" s="7"/>
      <c r="F87" s="54" t="s">
        <v>104</v>
      </c>
      <c r="G87" s="7"/>
      <c r="H87" s="54" t="s">
        <v>89</v>
      </c>
      <c r="I87" s="7"/>
      <c r="J87" s="54" t="s">
        <v>91</v>
      </c>
      <c r="K87" s="7"/>
      <c r="L87" s="54" t="s">
        <v>93</v>
      </c>
      <c r="M87" s="7"/>
      <c r="O87" s="11"/>
      <c r="P87" s="13"/>
      <c r="Q87" s="11"/>
      <c r="R87" s="13"/>
      <c r="S87" s="11"/>
      <c r="T87" s="12"/>
      <c r="U87" s="13"/>
      <c r="V87" s="1"/>
      <c r="W87" s="1"/>
      <c r="X87" s="1"/>
      <c r="Y87" s="1"/>
      <c r="Z87" s="1"/>
      <c r="AA87" s="1"/>
      <c r="AB87" s="1"/>
    </row>
    <row r="88" ht="3.75" customHeight="1">
      <c r="A88" s="1"/>
      <c r="B88" s="1"/>
      <c r="V88" s="1"/>
      <c r="W88" s="1"/>
      <c r="X88" s="1"/>
      <c r="Y88" s="1"/>
      <c r="Z88" s="1"/>
      <c r="AA88" s="1"/>
      <c r="AB88" s="1"/>
    </row>
    <row r="89">
      <c r="A89" s="1"/>
      <c r="B89" s="21" t="s">
        <v>121</v>
      </c>
      <c r="C89" s="6"/>
      <c r="D89" s="6"/>
      <c r="E89" s="6"/>
      <c r="F89" s="6"/>
      <c r="G89" s="6"/>
      <c r="H89" s="6"/>
      <c r="I89" s="6"/>
      <c r="J89" s="6"/>
      <c r="K89" s="6"/>
      <c r="L89" s="6"/>
      <c r="M89" s="6"/>
      <c r="N89" s="6"/>
      <c r="O89" s="6"/>
      <c r="P89" s="6"/>
      <c r="Q89" s="6"/>
      <c r="R89" s="6"/>
      <c r="S89" s="6"/>
      <c r="T89" s="6"/>
      <c r="U89" s="7"/>
      <c r="V89" s="1"/>
      <c r="W89" s="1"/>
      <c r="X89" s="1"/>
      <c r="Y89" s="1"/>
      <c r="Z89" s="1"/>
      <c r="AA89" s="1"/>
      <c r="AB89" s="1"/>
    </row>
    <row r="90">
      <c r="A90" s="1"/>
      <c r="B90" s="48" t="s">
        <v>122</v>
      </c>
      <c r="C90" s="6"/>
      <c r="D90" s="6"/>
      <c r="E90" s="7"/>
      <c r="F90" s="48" t="s">
        <v>123</v>
      </c>
      <c r="G90" s="6"/>
      <c r="H90" s="6"/>
      <c r="I90" s="7"/>
      <c r="J90" s="48" t="s">
        <v>124</v>
      </c>
      <c r="K90" s="6"/>
      <c r="L90" s="6"/>
      <c r="M90" s="7"/>
      <c r="N90" s="48" t="s">
        <v>125</v>
      </c>
      <c r="O90" s="6"/>
      <c r="P90" s="6"/>
      <c r="Q90" s="7"/>
      <c r="R90" s="48" t="s">
        <v>126</v>
      </c>
      <c r="S90" s="6"/>
      <c r="T90" s="6"/>
      <c r="U90" s="7"/>
      <c r="V90" s="1"/>
      <c r="W90" s="1"/>
      <c r="X90" s="1"/>
      <c r="Y90" s="1"/>
      <c r="Z90" s="1"/>
      <c r="AA90" s="1"/>
      <c r="AB90" s="1"/>
    </row>
    <row r="91">
      <c r="A91" s="1"/>
      <c r="B91" s="83" t="s">
        <v>127</v>
      </c>
      <c r="C91" s="6"/>
      <c r="D91" s="6"/>
      <c r="E91" s="7"/>
      <c r="F91" s="83" t="s">
        <v>128</v>
      </c>
      <c r="G91" s="6"/>
      <c r="H91" s="6"/>
      <c r="I91" s="7"/>
      <c r="J91" s="83" t="s">
        <v>129</v>
      </c>
      <c r="K91" s="6"/>
      <c r="L91" s="6"/>
      <c r="M91" s="7"/>
      <c r="N91" s="83" t="s">
        <v>130</v>
      </c>
      <c r="O91" s="6"/>
      <c r="P91" s="6"/>
      <c r="Q91" s="7"/>
      <c r="R91" s="62"/>
      <c r="S91" s="6"/>
      <c r="T91" s="6"/>
      <c r="U91" s="7"/>
      <c r="V91" s="1"/>
      <c r="W91" s="1"/>
      <c r="X91" s="1"/>
      <c r="Y91" s="1"/>
      <c r="Z91" s="1"/>
      <c r="AA91" s="1"/>
      <c r="AB91" s="1"/>
    </row>
    <row r="92" ht="3.75" customHeight="1">
      <c r="A92" s="1"/>
      <c r="B92" s="1"/>
      <c r="V92" s="1"/>
      <c r="W92" s="1"/>
      <c r="X92" s="1"/>
      <c r="Y92" s="1"/>
      <c r="Z92" s="1"/>
      <c r="AA92" s="1"/>
      <c r="AB92" s="1"/>
    </row>
    <row r="93">
      <c r="A93" s="1"/>
      <c r="B93" s="21" t="s">
        <v>131</v>
      </c>
      <c r="C93" s="6"/>
      <c r="D93" s="6"/>
      <c r="E93" s="6"/>
      <c r="F93" s="6"/>
      <c r="G93" s="6"/>
      <c r="H93" s="6"/>
      <c r="I93" s="6"/>
      <c r="J93" s="6"/>
      <c r="K93" s="6"/>
      <c r="L93" s="6"/>
      <c r="M93" s="6"/>
      <c r="N93" s="6"/>
      <c r="O93" s="6"/>
      <c r="P93" s="6"/>
      <c r="Q93" s="6"/>
      <c r="R93" s="6"/>
      <c r="S93" s="6"/>
      <c r="T93" s="6"/>
      <c r="U93" s="7"/>
      <c r="V93" s="1"/>
      <c r="W93" s="1"/>
      <c r="X93" s="1"/>
      <c r="Y93" s="1"/>
      <c r="Z93" s="1"/>
      <c r="AA93" s="1"/>
      <c r="AB93" s="1"/>
    </row>
    <row r="94">
      <c r="A94" s="84"/>
      <c r="B94" s="48" t="s">
        <v>132</v>
      </c>
      <c r="C94" s="6"/>
      <c r="D94" s="7"/>
      <c r="E94" s="48" t="s">
        <v>133</v>
      </c>
      <c r="F94" s="6"/>
      <c r="G94" s="6"/>
      <c r="H94" s="6"/>
      <c r="I94" s="6"/>
      <c r="J94" s="6"/>
      <c r="K94" s="7"/>
      <c r="L94" s="48" t="s">
        <v>134</v>
      </c>
      <c r="M94" s="7"/>
      <c r="N94" s="48" t="s">
        <v>135</v>
      </c>
      <c r="O94" s="6"/>
      <c r="P94" s="6"/>
      <c r="Q94" s="7"/>
      <c r="R94" s="48" t="s">
        <v>136</v>
      </c>
      <c r="S94" s="6"/>
      <c r="T94" s="6"/>
      <c r="U94" s="7"/>
      <c r="V94" s="84"/>
      <c r="W94" s="84"/>
      <c r="X94" s="84"/>
      <c r="Y94" s="84"/>
      <c r="Z94" s="84"/>
      <c r="AA94" s="84"/>
      <c r="AB94" s="84"/>
    </row>
    <row r="95">
      <c r="A95" s="1"/>
      <c r="B95" s="83"/>
      <c r="C95" s="6"/>
      <c r="D95" s="7"/>
      <c r="E95" s="22"/>
      <c r="F95" s="6"/>
      <c r="G95" s="6"/>
      <c r="H95" s="6"/>
      <c r="I95" s="6"/>
      <c r="J95" s="6"/>
      <c r="K95" s="7"/>
      <c r="L95" s="83"/>
      <c r="M95" s="7"/>
      <c r="N95" s="22"/>
      <c r="O95" s="6"/>
      <c r="P95" s="6"/>
      <c r="Q95" s="7"/>
      <c r="R95" s="22"/>
      <c r="S95" s="6"/>
      <c r="T95" s="6"/>
      <c r="U95" s="7"/>
      <c r="V95" s="1"/>
      <c r="W95" s="1"/>
      <c r="X95" s="1"/>
      <c r="Y95" s="1"/>
      <c r="Z95" s="1"/>
      <c r="AA95" s="1"/>
      <c r="AB95" s="1"/>
    </row>
    <row r="96">
      <c r="A96" s="1"/>
      <c r="B96" s="85"/>
      <c r="C96" s="6"/>
      <c r="D96" s="7"/>
      <c r="E96" s="58"/>
      <c r="F96" s="6"/>
      <c r="G96" s="6"/>
      <c r="H96" s="6"/>
      <c r="I96" s="6"/>
      <c r="J96" s="6"/>
      <c r="K96" s="7"/>
      <c r="L96" s="85"/>
      <c r="M96" s="7"/>
      <c r="N96" s="58"/>
      <c r="O96" s="6"/>
      <c r="P96" s="6"/>
      <c r="Q96" s="7"/>
      <c r="R96" s="58"/>
      <c r="S96" s="6"/>
      <c r="T96" s="6"/>
      <c r="U96" s="7"/>
      <c r="V96" s="1"/>
      <c r="W96" s="1"/>
      <c r="X96" s="1"/>
      <c r="Y96" s="1"/>
      <c r="Z96" s="1"/>
      <c r="AA96" s="1"/>
      <c r="AB96" s="1"/>
    </row>
    <row r="97">
      <c r="A97" s="1"/>
      <c r="B97" s="85"/>
      <c r="C97" s="6"/>
      <c r="D97" s="7"/>
      <c r="E97" s="58"/>
      <c r="F97" s="6"/>
      <c r="G97" s="6"/>
      <c r="H97" s="6"/>
      <c r="I97" s="6"/>
      <c r="J97" s="6"/>
      <c r="K97" s="7"/>
      <c r="L97" s="85"/>
      <c r="M97" s="7"/>
      <c r="N97" s="58"/>
      <c r="O97" s="6"/>
      <c r="P97" s="6"/>
      <c r="Q97" s="7"/>
      <c r="R97" s="58"/>
      <c r="S97" s="6"/>
      <c r="T97" s="6"/>
      <c r="U97" s="7"/>
      <c r="V97" s="1"/>
      <c r="W97" s="1"/>
      <c r="X97" s="1"/>
      <c r="Y97" s="1"/>
      <c r="Z97" s="1"/>
      <c r="AA97" s="1"/>
      <c r="AB97" s="1"/>
    </row>
    <row r="98" ht="3.75" customHeight="1">
      <c r="A98" s="1"/>
      <c r="B98" s="1"/>
      <c r="V98" s="1"/>
      <c r="W98" s="1"/>
      <c r="X98" s="1"/>
      <c r="Y98" s="1"/>
      <c r="Z98" s="1"/>
      <c r="AA98" s="1"/>
      <c r="AB98" s="1"/>
    </row>
    <row r="99">
      <c r="A99" s="1"/>
      <c r="B99" s="21" t="s">
        <v>137</v>
      </c>
      <c r="C99" s="6"/>
      <c r="D99" s="6"/>
      <c r="E99" s="6"/>
      <c r="F99" s="6"/>
      <c r="G99" s="6"/>
      <c r="H99" s="6"/>
      <c r="I99" s="6"/>
      <c r="J99" s="6"/>
      <c r="K99" s="6"/>
      <c r="L99" s="6"/>
      <c r="M99" s="6"/>
      <c r="N99" s="6"/>
      <c r="O99" s="6"/>
      <c r="P99" s="6"/>
      <c r="Q99" s="6"/>
      <c r="R99" s="6"/>
      <c r="S99" s="6"/>
      <c r="T99" s="6"/>
      <c r="U99" s="7"/>
      <c r="V99" s="1"/>
      <c r="W99" s="1"/>
      <c r="X99" s="1"/>
      <c r="Y99" s="1"/>
      <c r="Z99" s="1"/>
      <c r="AA99" s="1"/>
      <c r="AB99" s="1"/>
    </row>
    <row r="100">
      <c r="A100" s="1"/>
      <c r="B100" s="48" t="s">
        <v>138</v>
      </c>
      <c r="C100" s="6"/>
      <c r="D100" s="6"/>
      <c r="E100" s="6"/>
      <c r="F100" s="6"/>
      <c r="G100" s="7"/>
      <c r="H100" s="48" t="s">
        <v>135</v>
      </c>
      <c r="I100" s="6"/>
      <c r="J100" s="6"/>
      <c r="K100" s="6"/>
      <c r="L100" s="6"/>
      <c r="M100" s="6"/>
      <c r="N100" s="7"/>
      <c r="O100" s="48" t="s">
        <v>139</v>
      </c>
      <c r="P100" s="6"/>
      <c r="Q100" s="7"/>
      <c r="R100" s="48" t="s">
        <v>140</v>
      </c>
      <c r="S100" s="6"/>
      <c r="T100" s="6"/>
      <c r="U100" s="7"/>
      <c r="V100" s="1"/>
      <c r="W100" s="1"/>
      <c r="X100" s="1"/>
      <c r="Y100" s="1"/>
      <c r="Z100" s="1"/>
      <c r="AA100" s="1"/>
      <c r="AB100" s="1"/>
    </row>
    <row r="101">
      <c r="A101" s="1"/>
      <c r="B101" s="22"/>
      <c r="C101" s="6"/>
      <c r="D101" s="6"/>
      <c r="E101" s="6"/>
      <c r="F101" s="6"/>
      <c r="G101" s="7"/>
      <c r="H101" s="22"/>
      <c r="I101" s="6"/>
      <c r="J101" s="6"/>
      <c r="K101" s="6"/>
      <c r="L101" s="6"/>
      <c r="M101" s="6"/>
      <c r="N101" s="7"/>
      <c r="O101" s="83"/>
      <c r="P101" s="6"/>
      <c r="Q101" s="7"/>
      <c r="R101" s="22"/>
      <c r="S101" s="6"/>
      <c r="T101" s="6"/>
      <c r="U101" s="7"/>
      <c r="V101" s="1"/>
      <c r="W101" s="1"/>
      <c r="X101" s="1"/>
      <c r="Y101" s="1"/>
      <c r="Z101" s="1"/>
      <c r="AA101" s="1"/>
      <c r="AB101" s="1"/>
    </row>
    <row r="102" ht="5.2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row>
  </sheetData>
  <mergeCells count="323">
    <mergeCell ref="B35:C35"/>
    <mergeCell ref="B38:C38"/>
    <mergeCell ref="B39:C39"/>
    <mergeCell ref="D39:K39"/>
    <mergeCell ref="M39:T39"/>
    <mergeCell ref="D40:K40"/>
    <mergeCell ref="M40:T40"/>
    <mergeCell ref="B40:C40"/>
    <mergeCell ref="B41:C41"/>
    <mergeCell ref="D41:K41"/>
    <mergeCell ref="M41:T41"/>
    <mergeCell ref="B42:C42"/>
    <mergeCell ref="D42:K42"/>
    <mergeCell ref="M42:T42"/>
    <mergeCell ref="B25:C25"/>
    <mergeCell ref="D25:I25"/>
    <mergeCell ref="B21:C21"/>
    <mergeCell ref="D21:I21"/>
    <mergeCell ref="P21:U25"/>
    <mergeCell ref="B22:C22"/>
    <mergeCell ref="D22:I22"/>
    <mergeCell ref="B23:C23"/>
    <mergeCell ref="D23:I23"/>
    <mergeCell ref="B26:U26"/>
    <mergeCell ref="B27:U27"/>
    <mergeCell ref="B28:U28"/>
    <mergeCell ref="B29:U29"/>
    <mergeCell ref="B30:C30"/>
    <mergeCell ref="D30:E30"/>
    <mergeCell ref="F30:Q30"/>
    <mergeCell ref="D33:E33"/>
    <mergeCell ref="F33:Q33"/>
    <mergeCell ref="B31:C31"/>
    <mergeCell ref="D31:E31"/>
    <mergeCell ref="F31:Q31"/>
    <mergeCell ref="B32:C32"/>
    <mergeCell ref="D32:E32"/>
    <mergeCell ref="F32:Q32"/>
    <mergeCell ref="B33:C33"/>
    <mergeCell ref="C48:H48"/>
    <mergeCell ref="I48:J48"/>
    <mergeCell ref="L48:Q48"/>
    <mergeCell ref="R48:S48"/>
    <mergeCell ref="C49:H49"/>
    <mergeCell ref="I49:J49"/>
    <mergeCell ref="L49:Q49"/>
    <mergeCell ref="L60:M60"/>
    <mergeCell ref="L61:M61"/>
    <mergeCell ref="N61:U61"/>
    <mergeCell ref="C55:H55"/>
    <mergeCell ref="I55:J55"/>
    <mergeCell ref="L55:Q55"/>
    <mergeCell ref="C56:H56"/>
    <mergeCell ref="I56:J56"/>
    <mergeCell ref="L56:Q56"/>
    <mergeCell ref="C57:H57"/>
    <mergeCell ref="I57:J57"/>
    <mergeCell ref="K57:Q57"/>
    <mergeCell ref="B58:U58"/>
    <mergeCell ref="B59:K61"/>
    <mergeCell ref="L59:M59"/>
    <mergeCell ref="N59:U59"/>
    <mergeCell ref="N60:U60"/>
    <mergeCell ref="H66:I66"/>
    <mergeCell ref="J66:K66"/>
    <mergeCell ref="O66:P66"/>
    <mergeCell ref="Q66:R66"/>
    <mergeCell ref="D66:E66"/>
    <mergeCell ref="D67:E67"/>
    <mergeCell ref="F67:G67"/>
    <mergeCell ref="H67:I67"/>
    <mergeCell ref="F66:G66"/>
    <mergeCell ref="D68:E68"/>
    <mergeCell ref="P76:Q76"/>
    <mergeCell ref="R76:S76"/>
    <mergeCell ref="L75:M75"/>
    <mergeCell ref="N75:O75"/>
    <mergeCell ref="P75:Q75"/>
    <mergeCell ref="R75:S75"/>
    <mergeCell ref="T75:U75"/>
    <mergeCell ref="N76:O76"/>
    <mergeCell ref="T76:U76"/>
    <mergeCell ref="G77:K77"/>
    <mergeCell ref="G78:K78"/>
    <mergeCell ref="L78:M78"/>
    <mergeCell ref="N78:O78"/>
    <mergeCell ref="P78:Q78"/>
    <mergeCell ref="R78:S78"/>
    <mergeCell ref="T78:U78"/>
    <mergeCell ref="H82:I82"/>
    <mergeCell ref="J82:K82"/>
    <mergeCell ref="L82:M82"/>
    <mergeCell ref="O82:P82"/>
    <mergeCell ref="Q82:R82"/>
    <mergeCell ref="S82:U82"/>
    <mergeCell ref="L76:M76"/>
    <mergeCell ref="L77:M77"/>
    <mergeCell ref="N77:O77"/>
    <mergeCell ref="P77:Q77"/>
    <mergeCell ref="R77:S77"/>
    <mergeCell ref="T77:U77"/>
    <mergeCell ref="X81:X82"/>
    <mergeCell ref="F68:G68"/>
    <mergeCell ref="H68:I68"/>
    <mergeCell ref="J68:K68"/>
    <mergeCell ref="D69:E69"/>
    <mergeCell ref="F69:G69"/>
    <mergeCell ref="H69:I69"/>
    <mergeCell ref="J69:K69"/>
    <mergeCell ref="B72:U72"/>
    <mergeCell ref="B73:U73"/>
    <mergeCell ref="B62:U62"/>
    <mergeCell ref="B63:U63"/>
    <mergeCell ref="B64:U64"/>
    <mergeCell ref="B65:U65"/>
    <mergeCell ref="B66:B70"/>
    <mergeCell ref="S66:U66"/>
    <mergeCell ref="J67:K67"/>
    <mergeCell ref="H70:I70"/>
    <mergeCell ref="J70:K70"/>
    <mergeCell ref="H71:I71"/>
    <mergeCell ref="J71:K71"/>
    <mergeCell ref="G74:K74"/>
    <mergeCell ref="G75:K75"/>
    <mergeCell ref="G76:K76"/>
    <mergeCell ref="G79:K79"/>
    <mergeCell ref="L79:M79"/>
    <mergeCell ref="N79:O79"/>
    <mergeCell ref="P79:Q79"/>
    <mergeCell ref="R79:S79"/>
    <mergeCell ref="T79:U79"/>
    <mergeCell ref="B80:U80"/>
    <mergeCell ref="B81:U81"/>
    <mergeCell ref="D70:E70"/>
    <mergeCell ref="F70:G70"/>
    <mergeCell ref="B71:C71"/>
    <mergeCell ref="D71:E71"/>
    <mergeCell ref="F71:G71"/>
    <mergeCell ref="B74:F74"/>
    <mergeCell ref="B75:F79"/>
    <mergeCell ref="D83:E83"/>
    <mergeCell ref="D85:E85"/>
    <mergeCell ref="H86:I86"/>
    <mergeCell ref="J86:K86"/>
    <mergeCell ref="B82:B86"/>
    <mergeCell ref="B87:C87"/>
    <mergeCell ref="D87:E87"/>
    <mergeCell ref="F87:G87"/>
    <mergeCell ref="H87:I87"/>
    <mergeCell ref="J87:K87"/>
    <mergeCell ref="D82:E82"/>
    <mergeCell ref="F82:G82"/>
    <mergeCell ref="N82:N87"/>
    <mergeCell ref="F83:G83"/>
    <mergeCell ref="H83:I83"/>
    <mergeCell ref="L84:M84"/>
    <mergeCell ref="L86:M86"/>
    <mergeCell ref="L87:M87"/>
    <mergeCell ref="N90:Q90"/>
    <mergeCell ref="R90:U90"/>
    <mergeCell ref="D86:E86"/>
    <mergeCell ref="F86:G86"/>
    <mergeCell ref="B88:U88"/>
    <mergeCell ref="B89:U89"/>
    <mergeCell ref="B90:E90"/>
    <mergeCell ref="F90:I90"/>
    <mergeCell ref="J90:M90"/>
    <mergeCell ref="L95:M95"/>
    <mergeCell ref="N95:Q95"/>
    <mergeCell ref="N96:Q96"/>
    <mergeCell ref="R96:U96"/>
    <mergeCell ref="N97:Q97"/>
    <mergeCell ref="R97:U97"/>
    <mergeCell ref="B94:D94"/>
    <mergeCell ref="E94:K94"/>
    <mergeCell ref="L94:M94"/>
    <mergeCell ref="N94:Q94"/>
    <mergeCell ref="R94:U94"/>
    <mergeCell ref="E95:K95"/>
    <mergeCell ref="R95:U95"/>
    <mergeCell ref="B95:D95"/>
    <mergeCell ref="B96:D96"/>
    <mergeCell ref="E96:K96"/>
    <mergeCell ref="L96:M96"/>
    <mergeCell ref="B97:D97"/>
    <mergeCell ref="E97:K97"/>
    <mergeCell ref="L97:M97"/>
    <mergeCell ref="H101:N101"/>
    <mergeCell ref="O101:Q101"/>
    <mergeCell ref="B98:U98"/>
    <mergeCell ref="B99:U99"/>
    <mergeCell ref="B100:G100"/>
    <mergeCell ref="H100:N100"/>
    <mergeCell ref="O100:Q100"/>
    <mergeCell ref="R100:U100"/>
    <mergeCell ref="B101:G101"/>
    <mergeCell ref="R101:U101"/>
    <mergeCell ref="J83:K83"/>
    <mergeCell ref="L83:M83"/>
    <mergeCell ref="O83:P87"/>
    <mergeCell ref="Q83:R87"/>
    <mergeCell ref="S83:U87"/>
    <mergeCell ref="D84:E84"/>
    <mergeCell ref="F84:G84"/>
    <mergeCell ref="H84:I84"/>
    <mergeCell ref="J84:K84"/>
    <mergeCell ref="F85:G85"/>
    <mergeCell ref="H85:I85"/>
    <mergeCell ref="J85:K85"/>
    <mergeCell ref="L85:M85"/>
    <mergeCell ref="B91:E91"/>
    <mergeCell ref="F91:I91"/>
    <mergeCell ref="J91:M91"/>
    <mergeCell ref="N91:Q91"/>
    <mergeCell ref="R91:U91"/>
    <mergeCell ref="B92:U92"/>
    <mergeCell ref="B93:U93"/>
    <mergeCell ref="B2:D4"/>
    <mergeCell ref="B6:D6"/>
    <mergeCell ref="E2:U2"/>
    <mergeCell ref="E3:U3"/>
    <mergeCell ref="E4:H4"/>
    <mergeCell ref="I4:K4"/>
    <mergeCell ref="L4:R4"/>
    <mergeCell ref="S4:U4"/>
    <mergeCell ref="B5:U5"/>
    <mergeCell ref="E6:U6"/>
    <mergeCell ref="B7:U7"/>
    <mergeCell ref="B8:U8"/>
    <mergeCell ref="B9:U9"/>
    <mergeCell ref="B10:U10"/>
    <mergeCell ref="N11:Q11"/>
    <mergeCell ref="R11:U11"/>
    <mergeCell ref="B11:M11"/>
    <mergeCell ref="B12:U12"/>
    <mergeCell ref="B13:U13"/>
    <mergeCell ref="E14:J14"/>
    <mergeCell ref="K14:N14"/>
    <mergeCell ref="O14:P14"/>
    <mergeCell ref="R14:U14"/>
    <mergeCell ref="B14:D14"/>
    <mergeCell ref="B15:D15"/>
    <mergeCell ref="E15:J15"/>
    <mergeCell ref="K15:N15"/>
    <mergeCell ref="O15:P15"/>
    <mergeCell ref="R15:U15"/>
    <mergeCell ref="B16:U16"/>
    <mergeCell ref="B17:U17"/>
    <mergeCell ref="B18:U18"/>
    <mergeCell ref="B19:C20"/>
    <mergeCell ref="D19:I20"/>
    <mergeCell ref="J19:N19"/>
    <mergeCell ref="O19:O20"/>
    <mergeCell ref="P19:U20"/>
    <mergeCell ref="B24:C24"/>
    <mergeCell ref="D24:I24"/>
    <mergeCell ref="D38:L38"/>
    <mergeCell ref="M38:U38"/>
    <mergeCell ref="B34:C34"/>
    <mergeCell ref="D34:E34"/>
    <mergeCell ref="F34:Q34"/>
    <mergeCell ref="D35:E35"/>
    <mergeCell ref="F35:Q35"/>
    <mergeCell ref="B36:U36"/>
    <mergeCell ref="B37:U37"/>
    <mergeCell ref="B43:C43"/>
    <mergeCell ref="D43:K43"/>
    <mergeCell ref="M43:T43"/>
    <mergeCell ref="B44:C44"/>
    <mergeCell ref="D44:L44"/>
    <mergeCell ref="M44:N44"/>
    <mergeCell ref="O44:U44"/>
    <mergeCell ref="B45:U45"/>
    <mergeCell ref="B46:U46"/>
    <mergeCell ref="B47:H47"/>
    <mergeCell ref="I47:J47"/>
    <mergeCell ref="K47:Q47"/>
    <mergeCell ref="R47:S47"/>
    <mergeCell ref="T47:U47"/>
    <mergeCell ref="L51:Q51"/>
    <mergeCell ref="L52:Q52"/>
    <mergeCell ref="C50:H50"/>
    <mergeCell ref="I50:J50"/>
    <mergeCell ref="L50:Q50"/>
    <mergeCell ref="C51:H51"/>
    <mergeCell ref="I51:J51"/>
    <mergeCell ref="C52:H52"/>
    <mergeCell ref="I52:J52"/>
    <mergeCell ref="L53:Q53"/>
    <mergeCell ref="L54:Q54"/>
    <mergeCell ref="R51:S51"/>
    <mergeCell ref="R52:S52"/>
    <mergeCell ref="C53:H53"/>
    <mergeCell ref="I53:J53"/>
    <mergeCell ref="R53:S53"/>
    <mergeCell ref="C54:H54"/>
    <mergeCell ref="I54:J54"/>
    <mergeCell ref="R54:S54"/>
    <mergeCell ref="R55:S55"/>
    <mergeCell ref="R56:S56"/>
    <mergeCell ref="R30:S30"/>
    <mergeCell ref="T30:U30"/>
    <mergeCell ref="R31:S35"/>
    <mergeCell ref="T31:U35"/>
    <mergeCell ref="T48:U57"/>
    <mergeCell ref="R49:S49"/>
    <mergeCell ref="R50:S50"/>
    <mergeCell ref="R57:S57"/>
    <mergeCell ref="L66:M66"/>
    <mergeCell ref="N66:N71"/>
    <mergeCell ref="L67:M67"/>
    <mergeCell ref="O67:P71"/>
    <mergeCell ref="Q67:R71"/>
    <mergeCell ref="S67:U71"/>
    <mergeCell ref="L68:M68"/>
    <mergeCell ref="L71:M71"/>
    <mergeCell ref="L69:M69"/>
    <mergeCell ref="L70:M70"/>
    <mergeCell ref="L74:M74"/>
    <mergeCell ref="N74:O74"/>
    <mergeCell ref="P74:Q74"/>
    <mergeCell ref="R74:S74"/>
    <mergeCell ref="T74:U74"/>
  </mergeCells>
  <conditionalFormatting sqref="I48:I57 R48:R56 R91">
    <cfRule type="containsBlanks" dxfId="0" priority="1" stopIfTrue="1">
      <formula>LEN(TRIM(I48))=0</formula>
    </cfRule>
  </conditionalFormatting>
  <conditionalFormatting sqref="L39:L43 U39:U43">
    <cfRule type="expression" dxfId="1" priority="2" stopIfTrue="1">
      <formula>L39="X"</formula>
    </cfRule>
  </conditionalFormatting>
  <conditionalFormatting sqref="L39:L43 U39:U43">
    <cfRule type="expression" dxfId="0" priority="3">
      <formula>AND($L$39="",$L$40="",$L$41="",$L$42="",$L$43="",$U$39="",$U$40="",$U$41="",$U$42="",$U$43="")</formula>
    </cfRule>
  </conditionalFormatting>
  <conditionalFormatting sqref="R31">
    <cfRule type="expression" dxfId="0" priority="4">
      <formula>AND(R31="",S31="",T31="",U31="",V31="")</formula>
    </cfRule>
  </conditionalFormatting>
  <conditionalFormatting sqref="J21:N25">
    <cfRule type="expression" dxfId="0" priority="5" stopIfTrue="1">
      <formula>#REF!=""</formula>
    </cfRule>
  </conditionalFormatting>
  <conditionalFormatting sqref="D21:I25">
    <cfRule type="expression" dxfId="0" priority="6">
      <formula>$D$21=""</formula>
    </cfRule>
  </conditionalFormatting>
  <conditionalFormatting sqref="B21:C25">
    <cfRule type="expression" dxfId="0" priority="7">
      <formula>$B$21=""</formula>
    </cfRule>
  </conditionalFormatting>
  <conditionalFormatting sqref="E6:U6 B15:D15">
    <cfRule type="containsBlanks" dxfId="0" priority="8">
      <formula>LEN(TRIM(E6))=0</formula>
    </cfRule>
  </conditionalFormatting>
  <conditionalFormatting sqref="E15:H15">
    <cfRule type="containsBlanks" dxfId="0" priority="9">
      <formula>LEN(TRIM(E15))=0</formula>
    </cfRule>
  </conditionalFormatting>
  <conditionalFormatting sqref="O15">
    <cfRule type="containsBlanks" dxfId="0" priority="10">
      <formula>LEN(TRIM(O15))=0</formula>
    </cfRule>
  </conditionalFormatting>
  <conditionalFormatting sqref="R15:U15">
    <cfRule type="containsBlanks" dxfId="0" priority="11">
      <formula>LEN(TRIM(R15))=0</formula>
    </cfRule>
  </conditionalFormatting>
  <conditionalFormatting sqref="K15">
    <cfRule type="containsBlanks" dxfId="0" priority="12">
      <formula>LEN(TRIM(K15))=0</formula>
    </cfRule>
  </conditionalFormatting>
  <conditionalFormatting sqref="D66:M70 S67:U71 D82:M86 S83:U87">
    <cfRule type="cellIs" dxfId="2" priority="13" operator="equal">
      <formula>"Baja"</formula>
    </cfRule>
  </conditionalFormatting>
  <conditionalFormatting sqref="D66:M70 S67:U71 D82:M86 S83:U87">
    <cfRule type="cellIs" dxfId="3" priority="14" operator="equal">
      <formula>"Media"</formula>
    </cfRule>
  </conditionalFormatting>
  <conditionalFormatting sqref="D66:M70 S67:U71 D82:M86 S83:U87">
    <cfRule type="cellIs" dxfId="4" priority="15" operator="equal">
      <formula>"Alta"</formula>
    </cfRule>
  </conditionalFormatting>
  <conditionalFormatting sqref="D66:M70 S67:U71 D82:M86 S83:U87">
    <cfRule type="cellIs" dxfId="5" priority="16" operator="equal">
      <formula>"Extrema"</formula>
    </cfRule>
  </conditionalFormatting>
  <conditionalFormatting sqref="S67:U71 S83:U87">
    <cfRule type="cellIs" dxfId="2" priority="17" operator="equal">
      <formula>"Baja"</formula>
    </cfRule>
  </conditionalFormatting>
  <conditionalFormatting sqref="S67:U71 S83:U87">
    <cfRule type="cellIs" dxfId="3" priority="18" operator="equal">
      <formula>"Media"</formula>
    </cfRule>
  </conditionalFormatting>
  <conditionalFormatting sqref="S67:U71 S83:U87">
    <cfRule type="cellIs" dxfId="4" priority="19" operator="equal">
      <formula>"Alta"</formula>
    </cfRule>
  </conditionalFormatting>
  <conditionalFormatting sqref="S67:U71 S83:U87">
    <cfRule type="cellIs" dxfId="5" priority="20" operator="equal">
      <formula>"Extrema"</formula>
    </cfRule>
  </conditionalFormatting>
  <conditionalFormatting sqref="G75:K79">
    <cfRule type="expression" dxfId="0" priority="21">
      <formula>$G$75=""</formula>
    </cfRule>
  </conditionalFormatting>
  <conditionalFormatting sqref="L75:M79">
    <cfRule type="expression" dxfId="0" priority="22">
      <formula>$L$75=""</formula>
    </cfRule>
  </conditionalFormatting>
  <conditionalFormatting sqref="N75:O79">
    <cfRule type="expression" dxfId="0" priority="23">
      <formula>$N$75=""</formula>
    </cfRule>
  </conditionalFormatting>
  <conditionalFormatting sqref="P75:Q79">
    <cfRule type="expression" dxfId="0" priority="24">
      <formula>$P$75=""</formula>
    </cfRule>
  </conditionalFormatting>
  <conditionalFormatting sqref="R75:S79">
    <cfRule type="expression" dxfId="0" priority="25">
      <formula>$R$75=""</formula>
    </cfRule>
  </conditionalFormatting>
  <conditionalFormatting sqref="T75:U79">
    <cfRule type="expression" dxfId="0" priority="26">
      <formula>$T$75=""</formula>
    </cfRule>
  </conditionalFormatting>
  <conditionalFormatting sqref="B95:D97">
    <cfRule type="expression" dxfId="0" priority="27">
      <formula>$B$95=""</formula>
    </cfRule>
  </conditionalFormatting>
  <conditionalFormatting sqref="E95:M97">
    <cfRule type="expression" dxfId="0" priority="28">
      <formula>$E$95=""</formula>
    </cfRule>
  </conditionalFormatting>
  <conditionalFormatting sqref="N95:Q97">
    <cfRule type="expression" dxfId="0" priority="29">
      <formula>$N$95=""</formula>
    </cfRule>
  </conditionalFormatting>
  <conditionalFormatting sqref="R95:U97">
    <cfRule type="expression" dxfId="0" priority="30">
      <formula>$R$95=""</formula>
    </cfRule>
  </conditionalFormatting>
  <conditionalFormatting sqref="B101:U101">
    <cfRule type="containsBlanks" dxfId="0" priority="31">
      <formula>LEN(TRIM(B101))=0</formula>
    </cfRule>
  </conditionalFormatting>
  <conditionalFormatting sqref="E6:U6">
    <cfRule type="containsBlanks" dxfId="0" priority="32">
      <formula>LEN(TRIM(E6))=0</formula>
    </cfRule>
  </conditionalFormatting>
  <dataValidations>
    <dataValidation type="list" allowBlank="1" showErrorMessage="1" sqref="L39:L43 U39:U43">
      <formula1>"X"</formula1>
    </dataValidation>
    <dataValidation type="list" allowBlank="1" showErrorMessage="1" sqref="O15">
      <formula1>Listas!$CM$4:$CM$20</formula1>
    </dataValidation>
    <dataValidation type="list" allowBlank="1" sqref="P75:P79">
      <formula1>Listas!$CU$4:$CU$8</formula1>
    </dataValidation>
    <dataValidation type="list" allowBlank="1" sqref="T75:T79">
      <formula1>Listas!$CW$4:$CW$8</formula1>
    </dataValidation>
    <dataValidation type="list" allowBlank="1" showErrorMessage="1" sqref="R48:R56 I48:I57">
      <formula1>"Si,No"</formula1>
    </dataValidation>
    <dataValidation type="list" allowBlank="1" sqref="R75:R79">
      <formula1>Listas!$CV$4:$CV$8</formula1>
    </dataValidation>
    <dataValidation type="list" allowBlank="1" sqref="L75:L79">
      <formula1>Listas!$CS$4:$CS$8</formula1>
    </dataValidation>
    <dataValidation type="list" allowBlank="1" showErrorMessage="1" sqref="J21:N25">
      <formula1>Listas!$CN$4:$CN$13</formula1>
    </dataValidation>
    <dataValidation type="list" allowBlank="1" showErrorMessage="1" sqref="R31">
      <formula1>Listas!$CO$4:$CO$8</formula1>
    </dataValidation>
    <dataValidation type="list" allowBlank="1" sqref="E6">
      <formula1>Listas!$B$4:$B$27</formula1>
    </dataValidation>
    <dataValidation type="list" allowBlank="1" sqref="B21:B25">
      <formula1>Listas!$CY$4:$CY$18</formula1>
    </dataValidation>
    <dataValidation type="list" allowBlank="1" sqref="N75:N79">
      <formula1>Listas!$CT$4:$CT$8</formula1>
    </dataValidation>
    <dataValidation type="list" allowBlank="1" showErrorMessage="1" sqref="R91">
      <formula1>Listas!$CX$4:$CX$7</formula1>
    </dataValidation>
    <dataValidation type="list" allowBlank="1" showErrorMessage="1" sqref="B15">
      <formula1>Listas!$BD$4:$BD$20</formula1>
    </dataValidation>
  </dataValidations>
  <hyperlinks>
    <hyperlink display="Contexto interno y externo del Proceso" location="null!A1" ref="N11"/>
    <hyperlink r:id="rId2" ref="R11"/>
  </hyperlinks>
  <drawing r:id="rId3"/>
  <legacyDrawing r:id="rId4"/>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0"/>
  <cols>
    <col customWidth="1" min="1" max="1" width="0.86"/>
    <col customWidth="1" min="2" max="21" width="8.86"/>
    <col customWidth="1" min="22" max="22" width="1.43"/>
    <col customWidth="1" hidden="1" min="23" max="23" width="5.57"/>
    <col hidden="1" min="24" max="28" width="14.43"/>
  </cols>
  <sheetData>
    <row r="1" ht="6.0" customHeight="1">
      <c r="A1" s="1"/>
      <c r="B1" s="1"/>
      <c r="C1" s="1"/>
      <c r="D1" s="1"/>
      <c r="E1" s="1"/>
      <c r="F1" s="1"/>
      <c r="G1" s="1"/>
      <c r="H1" s="1"/>
      <c r="I1" s="1"/>
      <c r="J1" s="1"/>
      <c r="K1" s="1"/>
      <c r="L1" s="1"/>
      <c r="M1" s="1"/>
      <c r="N1" s="1"/>
      <c r="O1" s="1"/>
      <c r="P1" s="1"/>
      <c r="Q1" s="1"/>
      <c r="R1" s="1"/>
      <c r="S1" s="1"/>
      <c r="T1" s="1"/>
      <c r="U1" s="1"/>
      <c r="V1" s="1"/>
      <c r="W1" s="1"/>
      <c r="X1" s="1"/>
      <c r="Y1" s="1"/>
      <c r="Z1" s="1"/>
      <c r="AA1" s="1"/>
      <c r="AB1" s="1"/>
    </row>
    <row r="2" ht="15.0" customHeight="1">
      <c r="A2" s="1"/>
      <c r="B2" s="2"/>
      <c r="C2" s="3"/>
      <c r="D2" s="4"/>
      <c r="E2" s="5" t="s">
        <v>0</v>
      </c>
      <c r="F2" s="6"/>
      <c r="G2" s="6"/>
      <c r="H2" s="6"/>
      <c r="I2" s="6"/>
      <c r="J2" s="6"/>
      <c r="K2" s="6"/>
      <c r="L2" s="6"/>
      <c r="M2" s="6"/>
      <c r="N2" s="6"/>
      <c r="O2" s="6"/>
      <c r="P2" s="6"/>
      <c r="Q2" s="6"/>
      <c r="R2" s="6"/>
      <c r="S2" s="6"/>
      <c r="T2" s="6"/>
      <c r="U2" s="7"/>
      <c r="V2" s="1"/>
      <c r="W2" s="1"/>
      <c r="X2" s="1"/>
      <c r="Y2" s="1"/>
      <c r="Z2" s="1"/>
      <c r="AA2" s="1"/>
      <c r="AB2" s="1"/>
    </row>
    <row r="3" ht="15.0" customHeight="1">
      <c r="A3" s="1"/>
      <c r="B3" s="8"/>
      <c r="D3" s="9"/>
      <c r="E3" s="10" t="s">
        <v>1</v>
      </c>
      <c r="F3" s="6"/>
      <c r="G3" s="6"/>
      <c r="H3" s="6"/>
      <c r="I3" s="6"/>
      <c r="J3" s="6"/>
      <c r="K3" s="6"/>
      <c r="L3" s="6"/>
      <c r="M3" s="6"/>
      <c r="N3" s="6"/>
      <c r="O3" s="6"/>
      <c r="P3" s="6"/>
      <c r="Q3" s="6"/>
      <c r="R3" s="6"/>
      <c r="S3" s="6"/>
      <c r="T3" s="6"/>
      <c r="U3" s="7"/>
      <c r="V3" s="1"/>
      <c r="W3" s="1"/>
      <c r="X3" s="1"/>
      <c r="Y3" s="1"/>
      <c r="Z3" s="1"/>
      <c r="AA3" s="1"/>
      <c r="AB3" s="1"/>
    </row>
    <row r="4" ht="15.0" customHeight="1">
      <c r="A4" s="1"/>
      <c r="B4" s="11"/>
      <c r="C4" s="12"/>
      <c r="D4" s="13"/>
      <c r="E4" s="14" t="s">
        <v>141</v>
      </c>
      <c r="F4" s="6"/>
      <c r="G4" s="6"/>
      <c r="H4" s="7"/>
      <c r="I4" s="14" t="s">
        <v>142</v>
      </c>
      <c r="J4" s="6"/>
      <c r="K4" s="7"/>
      <c r="L4" s="14" t="s">
        <v>143</v>
      </c>
      <c r="M4" s="6"/>
      <c r="N4" s="6"/>
      <c r="O4" s="6"/>
      <c r="P4" s="6"/>
      <c r="Q4" s="6"/>
      <c r="R4" s="7"/>
      <c r="S4" s="14" t="s">
        <v>144</v>
      </c>
      <c r="T4" s="6"/>
      <c r="U4" s="7"/>
      <c r="V4" s="1"/>
      <c r="W4" s="1"/>
      <c r="X4" s="1"/>
      <c r="Y4" s="1"/>
      <c r="Z4" s="1"/>
      <c r="AA4" s="1"/>
      <c r="AB4" s="1"/>
    </row>
    <row r="5" ht="3.0" customHeight="1">
      <c r="A5" s="1"/>
      <c r="B5" s="1"/>
      <c r="V5" s="1"/>
      <c r="W5" s="1"/>
      <c r="X5" s="1"/>
      <c r="Y5" s="1"/>
      <c r="Z5" s="1"/>
      <c r="AA5" s="1"/>
      <c r="AB5" s="1"/>
    </row>
    <row r="6" ht="15.0" customHeight="1">
      <c r="A6" s="15"/>
      <c r="B6" s="16" t="s">
        <v>6</v>
      </c>
      <c r="C6" s="17"/>
      <c r="D6" s="18"/>
      <c r="E6" s="19"/>
      <c r="F6" s="17"/>
      <c r="G6" s="17"/>
      <c r="H6" s="17"/>
      <c r="I6" s="17"/>
      <c r="J6" s="17"/>
      <c r="K6" s="17"/>
      <c r="L6" s="17"/>
      <c r="M6" s="17"/>
      <c r="N6" s="17"/>
      <c r="O6" s="17"/>
      <c r="P6" s="17"/>
      <c r="Q6" s="17"/>
      <c r="R6" s="17"/>
      <c r="S6" s="17"/>
      <c r="T6" s="17"/>
      <c r="U6" s="18"/>
      <c r="V6" s="15"/>
      <c r="W6" s="15"/>
      <c r="X6" s="15"/>
      <c r="Y6" s="15"/>
      <c r="Z6" s="15"/>
      <c r="AA6" s="15"/>
      <c r="AB6" s="1"/>
    </row>
    <row r="7" ht="3.75" customHeight="1">
      <c r="A7" s="1"/>
      <c r="B7" s="1"/>
      <c r="V7" s="1"/>
      <c r="W7" s="1"/>
      <c r="X7" s="1"/>
      <c r="Y7" s="1"/>
      <c r="Z7" s="1"/>
      <c r="AA7" s="1"/>
      <c r="AB7" s="1"/>
    </row>
    <row r="8">
      <c r="A8" s="1"/>
      <c r="B8" s="20" t="s">
        <v>7</v>
      </c>
      <c r="C8" s="6"/>
      <c r="D8" s="6"/>
      <c r="E8" s="6"/>
      <c r="F8" s="6"/>
      <c r="G8" s="6"/>
      <c r="H8" s="6"/>
      <c r="I8" s="6"/>
      <c r="J8" s="6"/>
      <c r="K8" s="6"/>
      <c r="L8" s="6"/>
      <c r="M8" s="6"/>
      <c r="N8" s="6"/>
      <c r="O8" s="6"/>
      <c r="P8" s="6"/>
      <c r="Q8" s="6"/>
      <c r="R8" s="6"/>
      <c r="S8" s="6"/>
      <c r="T8" s="6"/>
      <c r="U8" s="7"/>
      <c r="V8" s="1"/>
      <c r="W8" s="1"/>
      <c r="X8" s="1"/>
      <c r="Y8" s="1"/>
      <c r="Z8" s="1"/>
      <c r="AA8" s="1"/>
      <c r="AB8" s="1"/>
    </row>
    <row r="9" ht="3.75" customHeight="1">
      <c r="A9" s="1"/>
      <c r="B9" s="1"/>
      <c r="V9" s="1"/>
      <c r="W9" s="1"/>
      <c r="X9" s="1"/>
      <c r="Y9" s="1"/>
      <c r="Z9" s="1"/>
      <c r="AA9" s="1"/>
      <c r="AB9" s="1"/>
    </row>
    <row r="10">
      <c r="A10" s="1"/>
      <c r="B10" s="21" t="s">
        <v>8</v>
      </c>
      <c r="C10" s="6"/>
      <c r="D10" s="6"/>
      <c r="E10" s="6"/>
      <c r="F10" s="6"/>
      <c r="G10" s="6"/>
      <c r="H10" s="6"/>
      <c r="I10" s="6"/>
      <c r="J10" s="6"/>
      <c r="K10" s="6"/>
      <c r="L10" s="6"/>
      <c r="M10" s="6"/>
      <c r="N10" s="6"/>
      <c r="O10" s="6"/>
      <c r="P10" s="6"/>
      <c r="Q10" s="6"/>
      <c r="R10" s="6"/>
      <c r="S10" s="6"/>
      <c r="T10" s="6"/>
      <c r="U10" s="7"/>
      <c r="V10" s="1"/>
      <c r="W10" s="1"/>
      <c r="X10" s="1"/>
      <c r="Y10" s="1"/>
      <c r="Z10" s="1"/>
      <c r="AA10" s="1"/>
      <c r="AB10" s="1"/>
    </row>
    <row r="11" ht="20.25" customHeight="1">
      <c r="A11" s="1"/>
      <c r="B11" s="22" t="s">
        <v>9</v>
      </c>
      <c r="C11" s="6"/>
      <c r="D11" s="6"/>
      <c r="E11" s="6"/>
      <c r="F11" s="6"/>
      <c r="G11" s="6"/>
      <c r="H11" s="6"/>
      <c r="I11" s="6"/>
      <c r="J11" s="6"/>
      <c r="K11" s="6"/>
      <c r="L11" s="6"/>
      <c r="M11" s="6"/>
      <c r="N11" s="23" t="s">
        <v>10</v>
      </c>
      <c r="O11" s="6"/>
      <c r="P11" s="6"/>
      <c r="Q11" s="7"/>
      <c r="R11" s="24" t="s">
        <v>11</v>
      </c>
      <c r="S11" s="6"/>
      <c r="T11" s="6"/>
      <c r="U11" s="7"/>
      <c r="V11" s="1"/>
      <c r="W11" s="1"/>
      <c r="X11" s="1"/>
      <c r="Y11" s="1"/>
      <c r="Z11" s="1"/>
      <c r="AA11" s="1"/>
      <c r="AB11" s="1"/>
    </row>
    <row r="12" ht="3.75" customHeight="1">
      <c r="A12" s="1"/>
      <c r="B12" s="25"/>
      <c r="V12" s="1"/>
      <c r="W12" s="1"/>
      <c r="X12" s="1"/>
      <c r="Y12" s="1"/>
      <c r="Z12" s="1"/>
      <c r="AA12" s="1"/>
      <c r="AB12" s="1"/>
    </row>
    <row r="13" ht="16.5" customHeight="1">
      <c r="A13" s="15"/>
      <c r="B13" s="26" t="s">
        <v>12</v>
      </c>
      <c r="C13" s="17"/>
      <c r="D13" s="17"/>
      <c r="E13" s="17"/>
      <c r="F13" s="17"/>
      <c r="G13" s="17"/>
      <c r="H13" s="17"/>
      <c r="I13" s="17"/>
      <c r="J13" s="17"/>
      <c r="K13" s="17"/>
      <c r="L13" s="17"/>
      <c r="M13" s="17"/>
      <c r="N13" s="17"/>
      <c r="O13" s="17"/>
      <c r="P13" s="17"/>
      <c r="Q13" s="17"/>
      <c r="R13" s="17"/>
      <c r="S13" s="17"/>
      <c r="T13" s="17"/>
      <c r="U13" s="18"/>
      <c r="V13" s="15"/>
      <c r="W13" s="15"/>
      <c r="X13" s="15"/>
      <c r="Y13" s="15"/>
      <c r="Z13" s="15"/>
      <c r="AA13" s="15"/>
      <c r="AB13" s="1"/>
    </row>
    <row r="14">
      <c r="A14" s="15"/>
      <c r="B14" s="26" t="s">
        <v>13</v>
      </c>
      <c r="C14" s="17"/>
      <c r="D14" s="18"/>
      <c r="E14" s="26" t="s">
        <v>14</v>
      </c>
      <c r="F14" s="17"/>
      <c r="G14" s="17"/>
      <c r="H14" s="17"/>
      <c r="I14" s="17"/>
      <c r="J14" s="18"/>
      <c r="K14" s="26" t="s">
        <v>15</v>
      </c>
      <c r="L14" s="17"/>
      <c r="M14" s="17"/>
      <c r="N14" s="18"/>
      <c r="O14" s="26" t="s">
        <v>16</v>
      </c>
      <c r="P14" s="18"/>
      <c r="Q14" s="27" t="s">
        <v>17</v>
      </c>
      <c r="R14" s="26" t="s">
        <v>18</v>
      </c>
      <c r="S14" s="17"/>
      <c r="T14" s="17"/>
      <c r="U14" s="18"/>
      <c r="V14" s="15"/>
      <c r="W14" s="15"/>
      <c r="X14" s="15"/>
      <c r="Y14" s="15"/>
      <c r="Z14" s="15"/>
      <c r="AA14" s="15"/>
      <c r="AB14" s="1"/>
    </row>
    <row r="15">
      <c r="A15" s="28"/>
      <c r="B15" s="29"/>
      <c r="C15" s="17"/>
      <c r="D15" s="18"/>
      <c r="E15" s="29"/>
      <c r="F15" s="17"/>
      <c r="G15" s="17"/>
      <c r="H15" s="17"/>
      <c r="I15" s="17"/>
      <c r="J15" s="18"/>
      <c r="K15" s="30" t="str">
        <f>IF(P21="","",P21)</f>
        <v/>
      </c>
      <c r="L15" s="17"/>
      <c r="M15" s="17"/>
      <c r="N15" s="18"/>
      <c r="O15" s="31"/>
      <c r="P15" s="18"/>
      <c r="Q15" s="32" t="str">
        <f>IF(OR(E15="",Contexto!U8=""),"",CONCATENATE(Contexto!U8,"_07"))</f>
        <v>#REF!</v>
      </c>
      <c r="R15" s="29"/>
      <c r="S15" s="17"/>
      <c r="T15" s="17"/>
      <c r="U15" s="18"/>
      <c r="V15" s="28"/>
      <c r="W15" s="28"/>
      <c r="X15" s="28"/>
      <c r="Y15" s="28"/>
      <c r="Z15" s="28"/>
      <c r="AA15" s="28"/>
      <c r="AB15" s="1"/>
    </row>
    <row r="16" ht="3.75" customHeight="1">
      <c r="A16" s="1"/>
      <c r="B16" s="1"/>
      <c r="V16" s="1"/>
      <c r="W16" s="1"/>
      <c r="X16" s="1"/>
      <c r="Y16" s="1"/>
      <c r="Z16" s="1"/>
      <c r="AA16" s="1"/>
      <c r="AB16" s="1"/>
    </row>
    <row r="17" ht="16.5" customHeight="1">
      <c r="A17" s="33"/>
      <c r="B17" s="26" t="s">
        <v>19</v>
      </c>
      <c r="C17" s="17"/>
      <c r="D17" s="17"/>
      <c r="E17" s="17"/>
      <c r="F17" s="17"/>
      <c r="G17" s="17"/>
      <c r="H17" s="17"/>
      <c r="I17" s="17"/>
      <c r="J17" s="17"/>
      <c r="K17" s="17"/>
      <c r="L17" s="17"/>
      <c r="M17" s="17"/>
      <c r="N17" s="17"/>
      <c r="O17" s="17"/>
      <c r="P17" s="17"/>
      <c r="Q17" s="17"/>
      <c r="R17" s="17"/>
      <c r="S17" s="17"/>
      <c r="T17" s="17"/>
      <c r="U17" s="18"/>
      <c r="V17" s="33"/>
      <c r="W17" s="33"/>
      <c r="X17" s="33"/>
      <c r="Y17" s="33"/>
      <c r="Z17" s="33"/>
      <c r="AA17" s="33"/>
      <c r="AB17" s="1"/>
    </row>
    <row r="18" ht="3.0" customHeight="1">
      <c r="A18" s="15"/>
      <c r="B18" s="34"/>
      <c r="V18" s="15"/>
      <c r="W18" s="15"/>
      <c r="X18" s="15"/>
      <c r="Y18" s="15"/>
      <c r="Z18" s="15"/>
      <c r="AA18" s="15"/>
      <c r="AB18" s="1"/>
    </row>
    <row r="19" ht="12.75" customHeight="1">
      <c r="A19" s="15"/>
      <c r="B19" s="35" t="s">
        <v>20</v>
      </c>
      <c r="C19" s="4"/>
      <c r="D19" s="35" t="s">
        <v>21</v>
      </c>
      <c r="E19" s="3"/>
      <c r="F19" s="3"/>
      <c r="G19" s="3"/>
      <c r="H19" s="3"/>
      <c r="I19" s="4"/>
      <c r="J19" s="21" t="s">
        <v>22</v>
      </c>
      <c r="K19" s="6"/>
      <c r="L19" s="6"/>
      <c r="M19" s="6"/>
      <c r="N19" s="7"/>
      <c r="O19" s="36" t="s">
        <v>23</v>
      </c>
      <c r="P19" s="35" t="s">
        <v>24</v>
      </c>
      <c r="Q19" s="3"/>
      <c r="R19" s="3"/>
      <c r="S19" s="3"/>
      <c r="T19" s="3"/>
      <c r="U19" s="4"/>
      <c r="V19" s="15"/>
      <c r="W19" s="15"/>
      <c r="X19" s="15"/>
      <c r="Y19" s="15"/>
      <c r="Z19" s="15"/>
      <c r="AA19" s="15"/>
      <c r="AB19" s="1"/>
    </row>
    <row r="20" ht="12.75" customHeight="1">
      <c r="A20" s="15"/>
      <c r="B20" s="11"/>
      <c r="C20" s="13"/>
      <c r="D20" s="11"/>
      <c r="E20" s="12"/>
      <c r="F20" s="12"/>
      <c r="G20" s="12"/>
      <c r="H20" s="12"/>
      <c r="I20" s="13"/>
      <c r="J20" s="37" t="s">
        <v>25</v>
      </c>
      <c r="K20" s="37" t="s">
        <v>26</v>
      </c>
      <c r="L20" s="37" t="s">
        <v>27</v>
      </c>
      <c r="M20" s="37" t="s">
        <v>28</v>
      </c>
      <c r="N20" s="37" t="s">
        <v>29</v>
      </c>
      <c r="O20" s="38"/>
      <c r="P20" s="11"/>
      <c r="Q20" s="12"/>
      <c r="R20" s="12"/>
      <c r="S20" s="12"/>
      <c r="T20" s="12"/>
      <c r="U20" s="13"/>
      <c r="V20" s="15"/>
      <c r="W20" s="15"/>
      <c r="X20" s="15"/>
      <c r="Y20" s="15"/>
      <c r="Z20" s="15"/>
      <c r="AA20" s="15"/>
      <c r="AB20" s="1"/>
    </row>
    <row r="21">
      <c r="A21" s="15"/>
      <c r="B21" s="22"/>
      <c r="C21" s="7"/>
      <c r="D21" s="39"/>
      <c r="E21" s="6"/>
      <c r="F21" s="6"/>
      <c r="G21" s="6"/>
      <c r="H21" s="6"/>
      <c r="I21" s="7"/>
      <c r="J21" s="40"/>
      <c r="K21" s="41"/>
      <c r="L21" s="41"/>
      <c r="M21" s="41"/>
      <c r="N21" s="41"/>
      <c r="O21" s="42" t="str">
        <f t="shared" ref="O21:O25" si="1">IF(J21="","",AVERAGE(J21:N21))</f>
        <v/>
      </c>
      <c r="P21" s="43" t="str">
        <f>IF(D21="","", CONCATENATE(X21,"
",X22,"
",X23,"
",X24,"
",X25))</f>
        <v/>
      </c>
      <c r="Q21" s="3"/>
      <c r="R21" s="3"/>
      <c r="S21" s="3"/>
      <c r="T21" s="3"/>
      <c r="U21" s="4"/>
      <c r="V21" s="15"/>
      <c r="W21" s="15"/>
      <c r="X21" s="44" t="str">
        <f t="shared" ref="X21:X25" si="2">IF(J21="","",IF(O21&gt;=3,D21,""))</f>
        <v/>
      </c>
      <c r="Y21" s="15"/>
      <c r="Z21" s="15"/>
      <c r="AA21" s="15"/>
      <c r="AB21" s="1"/>
    </row>
    <row r="22">
      <c r="A22" s="15"/>
      <c r="B22" s="22"/>
      <c r="C22" s="7"/>
      <c r="D22" s="39"/>
      <c r="E22" s="6"/>
      <c r="F22" s="6"/>
      <c r="G22" s="6"/>
      <c r="H22" s="6"/>
      <c r="I22" s="7"/>
      <c r="J22" s="40"/>
      <c r="K22" s="41"/>
      <c r="L22" s="41"/>
      <c r="M22" s="41"/>
      <c r="N22" s="41"/>
      <c r="O22" s="42" t="str">
        <f t="shared" si="1"/>
        <v/>
      </c>
      <c r="P22" s="8"/>
      <c r="U22" s="9"/>
      <c r="V22" s="15"/>
      <c r="W22" s="15"/>
      <c r="X22" s="44" t="str">
        <f t="shared" si="2"/>
        <v/>
      </c>
      <c r="Y22" s="15"/>
      <c r="Z22" s="15"/>
      <c r="AA22" s="15"/>
      <c r="AB22" s="1"/>
    </row>
    <row r="23">
      <c r="A23" s="15"/>
      <c r="B23" s="22"/>
      <c r="C23" s="7"/>
      <c r="D23" s="39"/>
      <c r="E23" s="6"/>
      <c r="F23" s="6"/>
      <c r="G23" s="6"/>
      <c r="H23" s="6"/>
      <c r="I23" s="7"/>
      <c r="J23" s="40"/>
      <c r="K23" s="41"/>
      <c r="L23" s="41"/>
      <c r="M23" s="41"/>
      <c r="N23" s="41"/>
      <c r="O23" s="42" t="str">
        <f t="shared" si="1"/>
        <v/>
      </c>
      <c r="P23" s="8"/>
      <c r="U23" s="9"/>
      <c r="V23" s="15"/>
      <c r="W23" s="15"/>
      <c r="X23" s="44" t="str">
        <f t="shared" si="2"/>
        <v/>
      </c>
      <c r="Y23" s="15"/>
      <c r="Z23" s="15"/>
      <c r="AA23" s="15"/>
      <c r="AB23" s="1"/>
    </row>
    <row r="24">
      <c r="A24" s="15"/>
      <c r="B24" s="22"/>
      <c r="C24" s="7"/>
      <c r="D24" s="39"/>
      <c r="E24" s="6"/>
      <c r="F24" s="6"/>
      <c r="G24" s="6"/>
      <c r="H24" s="6"/>
      <c r="I24" s="7"/>
      <c r="J24" s="40"/>
      <c r="K24" s="41"/>
      <c r="L24" s="41"/>
      <c r="M24" s="41"/>
      <c r="N24" s="41"/>
      <c r="O24" s="42" t="str">
        <f t="shared" si="1"/>
        <v/>
      </c>
      <c r="P24" s="8"/>
      <c r="U24" s="9"/>
      <c r="V24" s="15"/>
      <c r="W24" s="15"/>
      <c r="X24" s="44" t="str">
        <f t="shared" si="2"/>
        <v/>
      </c>
      <c r="Y24" s="15"/>
      <c r="Z24" s="15"/>
      <c r="AA24" s="15"/>
      <c r="AB24" s="1"/>
    </row>
    <row r="25">
      <c r="A25" s="15"/>
      <c r="B25" s="22"/>
      <c r="C25" s="7"/>
      <c r="D25" s="39"/>
      <c r="E25" s="6"/>
      <c r="F25" s="6"/>
      <c r="G25" s="6"/>
      <c r="H25" s="6"/>
      <c r="I25" s="7"/>
      <c r="J25" s="40"/>
      <c r="K25" s="41"/>
      <c r="L25" s="41"/>
      <c r="M25" s="41"/>
      <c r="N25" s="41"/>
      <c r="O25" s="42" t="str">
        <f t="shared" si="1"/>
        <v/>
      </c>
      <c r="P25" s="11"/>
      <c r="Q25" s="12"/>
      <c r="R25" s="12"/>
      <c r="S25" s="12"/>
      <c r="T25" s="12"/>
      <c r="U25" s="13"/>
      <c r="V25" s="15"/>
      <c r="W25" s="15"/>
      <c r="X25" s="44" t="str">
        <f t="shared" si="2"/>
        <v/>
      </c>
      <c r="Y25" s="15"/>
      <c r="Z25" s="15"/>
      <c r="AA25" s="15"/>
      <c r="AB25" s="1"/>
    </row>
    <row r="26" ht="3.0" customHeight="1">
      <c r="A26" s="15"/>
      <c r="B26" s="34"/>
      <c r="V26" s="15"/>
      <c r="W26" s="15"/>
      <c r="X26" s="15"/>
      <c r="Y26" s="15"/>
      <c r="Z26" s="15"/>
      <c r="AA26" s="15"/>
      <c r="AB26" s="1"/>
    </row>
    <row r="27">
      <c r="A27" s="1"/>
      <c r="B27" s="45" t="s">
        <v>30</v>
      </c>
      <c r="C27" s="6"/>
      <c r="D27" s="6"/>
      <c r="E27" s="6"/>
      <c r="F27" s="6"/>
      <c r="G27" s="6"/>
      <c r="H27" s="6"/>
      <c r="I27" s="6"/>
      <c r="J27" s="6"/>
      <c r="K27" s="6"/>
      <c r="L27" s="6"/>
      <c r="M27" s="6"/>
      <c r="N27" s="6"/>
      <c r="O27" s="6"/>
      <c r="P27" s="6"/>
      <c r="Q27" s="6"/>
      <c r="R27" s="6"/>
      <c r="S27" s="6"/>
      <c r="T27" s="6"/>
      <c r="U27" s="7"/>
      <c r="V27" s="46"/>
      <c r="W27" s="46"/>
      <c r="X27" s="1"/>
      <c r="Y27" s="1"/>
      <c r="Z27" s="1"/>
      <c r="AA27" s="1"/>
      <c r="AB27" s="1"/>
    </row>
    <row r="28" ht="3.75" customHeight="1">
      <c r="A28" s="1"/>
      <c r="B28" s="1"/>
      <c r="V28" s="1"/>
      <c r="W28" s="1"/>
      <c r="X28" s="1"/>
      <c r="Y28" s="1"/>
      <c r="Z28" s="1"/>
      <c r="AA28" s="1"/>
      <c r="AB28" s="1"/>
    </row>
    <row r="29">
      <c r="A29" s="1"/>
      <c r="B29" s="21" t="s">
        <v>31</v>
      </c>
      <c r="C29" s="6"/>
      <c r="D29" s="6"/>
      <c r="E29" s="6"/>
      <c r="F29" s="6"/>
      <c r="G29" s="6"/>
      <c r="H29" s="6"/>
      <c r="I29" s="6"/>
      <c r="J29" s="6"/>
      <c r="K29" s="6"/>
      <c r="L29" s="6"/>
      <c r="M29" s="6"/>
      <c r="N29" s="6"/>
      <c r="O29" s="6"/>
      <c r="P29" s="6"/>
      <c r="Q29" s="6"/>
      <c r="R29" s="6"/>
      <c r="S29" s="6"/>
      <c r="T29" s="6"/>
      <c r="U29" s="7"/>
      <c r="V29" s="1"/>
      <c r="W29" s="1"/>
      <c r="X29" s="1"/>
      <c r="Y29" s="1"/>
      <c r="Z29" s="1"/>
      <c r="AA29" s="1"/>
      <c r="AB29" s="1"/>
    </row>
    <row r="30" ht="12.75" customHeight="1">
      <c r="A30" s="1"/>
      <c r="B30" s="47" t="s">
        <v>32</v>
      </c>
      <c r="C30" s="7"/>
      <c r="D30" s="48" t="s">
        <v>33</v>
      </c>
      <c r="E30" s="7"/>
      <c r="F30" s="47" t="s">
        <v>34</v>
      </c>
      <c r="G30" s="6"/>
      <c r="H30" s="6"/>
      <c r="I30" s="6"/>
      <c r="J30" s="6"/>
      <c r="K30" s="6"/>
      <c r="L30" s="6"/>
      <c r="M30" s="6"/>
      <c r="N30" s="6"/>
      <c r="O30" s="6"/>
      <c r="P30" s="6"/>
      <c r="Q30" s="7"/>
      <c r="R30" s="47" t="s">
        <v>35</v>
      </c>
      <c r="S30" s="7"/>
      <c r="T30" s="47" t="s">
        <v>32</v>
      </c>
      <c r="U30" s="7"/>
      <c r="V30" s="1"/>
      <c r="W30" s="1"/>
      <c r="X30" s="1"/>
      <c r="Y30" s="1"/>
      <c r="Z30" s="1"/>
      <c r="AA30" s="1"/>
      <c r="AB30" s="1"/>
    </row>
    <row r="31">
      <c r="A31" s="1"/>
      <c r="B31" s="49">
        <v>0.2</v>
      </c>
      <c r="C31" s="7"/>
      <c r="D31" s="50" t="s">
        <v>36</v>
      </c>
      <c r="E31" s="7"/>
      <c r="F31" s="22" t="s">
        <v>37</v>
      </c>
      <c r="G31" s="6"/>
      <c r="H31" s="6"/>
      <c r="I31" s="6"/>
      <c r="J31" s="6"/>
      <c r="K31" s="6"/>
      <c r="L31" s="6"/>
      <c r="M31" s="6"/>
      <c r="N31" s="6"/>
      <c r="O31" s="6"/>
      <c r="P31" s="6"/>
      <c r="Q31" s="7"/>
      <c r="R31" s="51"/>
      <c r="S31" s="4"/>
      <c r="T31" s="52" t="str">
        <f>IF(R31="","",IF(R31=Listas!CO4,20%,IF(R31=Listas!CO5,40%,IF(R31=Listas!CO6,60%,IF(R31=Listas!CO7,80%,IF(R31=Listas!CO8,100%,))))))</f>
        <v/>
      </c>
      <c r="U31" s="4"/>
      <c r="V31" s="1"/>
      <c r="W31" s="1"/>
      <c r="X31" s="53"/>
      <c r="Y31" s="1"/>
      <c r="Z31" s="1"/>
      <c r="AA31" s="1"/>
      <c r="AB31" s="1"/>
    </row>
    <row r="32">
      <c r="A32" s="1"/>
      <c r="B32" s="49">
        <v>0.4</v>
      </c>
      <c r="C32" s="7"/>
      <c r="D32" s="50" t="s">
        <v>38</v>
      </c>
      <c r="E32" s="7"/>
      <c r="F32" s="22" t="s">
        <v>39</v>
      </c>
      <c r="G32" s="6"/>
      <c r="H32" s="6"/>
      <c r="I32" s="6"/>
      <c r="J32" s="6"/>
      <c r="K32" s="6"/>
      <c r="L32" s="6"/>
      <c r="M32" s="6"/>
      <c r="N32" s="6"/>
      <c r="O32" s="6"/>
      <c r="P32" s="6"/>
      <c r="Q32" s="7"/>
      <c r="R32" s="8"/>
      <c r="S32" s="9"/>
      <c r="T32" s="8"/>
      <c r="U32" s="9"/>
      <c r="V32" s="1"/>
      <c r="W32" s="1"/>
      <c r="X32" s="53" t="str">
        <f>IF(N31="","",IF(N31=Listas!CO4,20%,IF(N31=Listas!CO5,40%,IF(N31=Listas!CO6,60%,IF(N31=Listas!CO7,80%,IF(N31=Listas!CO8,100%,))))))</f>
        <v/>
      </c>
      <c r="Y32" s="1"/>
      <c r="Z32" s="1"/>
      <c r="AA32" s="1"/>
      <c r="AB32" s="1"/>
    </row>
    <row r="33">
      <c r="A33" s="1"/>
      <c r="B33" s="49">
        <v>0.6</v>
      </c>
      <c r="C33" s="7"/>
      <c r="D33" s="50" t="s">
        <v>40</v>
      </c>
      <c r="E33" s="7"/>
      <c r="F33" s="22" t="s">
        <v>41</v>
      </c>
      <c r="G33" s="6"/>
      <c r="H33" s="6"/>
      <c r="I33" s="6"/>
      <c r="J33" s="6"/>
      <c r="K33" s="6"/>
      <c r="L33" s="6"/>
      <c r="M33" s="6"/>
      <c r="N33" s="6"/>
      <c r="O33" s="6"/>
      <c r="P33" s="6"/>
      <c r="Q33" s="7"/>
      <c r="R33" s="8"/>
      <c r="S33" s="9"/>
      <c r="T33" s="8"/>
      <c r="U33" s="9"/>
      <c r="V33" s="1"/>
      <c r="W33" s="1"/>
      <c r="X33" s="53" t="str">
        <f>IF(O31="","",IF(O31=Listas!CO4,20%,IF(O31=Listas!CO5,40%,IF(O31=Listas!CO6,60%,IF(O31=Listas!CO7,80%,IF(O31=Listas!CO8,100%,))))))</f>
        <v/>
      </c>
      <c r="Y33" s="1"/>
      <c r="Z33" s="1"/>
      <c r="AA33" s="1"/>
      <c r="AB33" s="1"/>
    </row>
    <row r="34">
      <c r="A34" s="1"/>
      <c r="B34" s="49">
        <v>0.8</v>
      </c>
      <c r="C34" s="7"/>
      <c r="D34" s="50" t="s">
        <v>42</v>
      </c>
      <c r="E34" s="7"/>
      <c r="F34" s="22" t="s">
        <v>43</v>
      </c>
      <c r="G34" s="6"/>
      <c r="H34" s="6"/>
      <c r="I34" s="6"/>
      <c r="J34" s="6"/>
      <c r="K34" s="6"/>
      <c r="L34" s="6"/>
      <c r="M34" s="6"/>
      <c r="N34" s="6"/>
      <c r="O34" s="6"/>
      <c r="P34" s="6"/>
      <c r="Q34" s="7"/>
      <c r="R34" s="8"/>
      <c r="S34" s="9"/>
      <c r="T34" s="8"/>
      <c r="U34" s="9"/>
      <c r="V34" s="1"/>
      <c r="W34" s="1"/>
      <c r="X34" s="53" t="str">
        <f>IF(P31="","",IF(P31=Listas!CO4,20%,IF(P31=Listas!CO5,40%,IF(P31=Listas!CO6,60%,IF(P31=Listas!CO7,80%,IF(P31=Listas!CO8,100%,))))))</f>
        <v/>
      </c>
      <c r="Y34" s="1"/>
      <c r="Z34" s="1"/>
      <c r="AA34" s="1"/>
      <c r="AB34" s="1"/>
    </row>
    <row r="35">
      <c r="A35" s="1"/>
      <c r="B35" s="49">
        <v>1.0</v>
      </c>
      <c r="C35" s="7"/>
      <c r="D35" s="50" t="s">
        <v>44</v>
      </c>
      <c r="E35" s="7"/>
      <c r="F35" s="22" t="s">
        <v>45</v>
      </c>
      <c r="G35" s="6"/>
      <c r="H35" s="6"/>
      <c r="I35" s="6"/>
      <c r="J35" s="6"/>
      <c r="K35" s="6"/>
      <c r="L35" s="6"/>
      <c r="M35" s="6"/>
      <c r="N35" s="6"/>
      <c r="O35" s="6"/>
      <c r="P35" s="6"/>
      <c r="Q35" s="7"/>
      <c r="R35" s="11"/>
      <c r="S35" s="13"/>
      <c r="T35" s="11"/>
      <c r="U35" s="13"/>
      <c r="V35" s="1"/>
      <c r="W35" s="1"/>
      <c r="X35" s="53" t="str">
        <f>IF(Q31="","",IF(Q31=Listas!CO4,20%,IF(Q31=Listas!CO5,40%,IF(Q31=Listas!CO6,60%,IF(Q31=Listas!CO7,80%,IF(Q31=Listas!CO8,100%,))))))</f>
        <v/>
      </c>
      <c r="Y35" s="1"/>
      <c r="Z35" s="1"/>
      <c r="AA35" s="1"/>
      <c r="AB35" s="1"/>
    </row>
    <row r="36" ht="3.75" customHeight="1">
      <c r="A36" s="1"/>
      <c r="B36" s="1"/>
      <c r="V36" s="1"/>
      <c r="W36" s="1"/>
      <c r="X36" s="1"/>
      <c r="Y36" s="1"/>
      <c r="Z36" s="1"/>
      <c r="AA36" s="1"/>
      <c r="AB36" s="1"/>
    </row>
    <row r="37">
      <c r="A37" s="1"/>
      <c r="B37" s="21" t="s">
        <v>46</v>
      </c>
      <c r="C37" s="6"/>
      <c r="D37" s="6"/>
      <c r="E37" s="6"/>
      <c r="F37" s="6"/>
      <c r="G37" s="6"/>
      <c r="H37" s="6"/>
      <c r="I37" s="6"/>
      <c r="J37" s="6"/>
      <c r="K37" s="6"/>
      <c r="L37" s="6"/>
      <c r="M37" s="6"/>
      <c r="N37" s="6"/>
      <c r="O37" s="6"/>
      <c r="P37" s="6"/>
      <c r="Q37" s="6"/>
      <c r="R37" s="6"/>
      <c r="S37" s="6"/>
      <c r="T37" s="6"/>
      <c r="U37" s="7"/>
      <c r="V37" s="1"/>
      <c r="W37" s="1"/>
      <c r="X37" s="1"/>
      <c r="Y37" s="1"/>
      <c r="Z37" s="1"/>
      <c r="AA37" s="1"/>
      <c r="AB37" s="1"/>
    </row>
    <row r="38">
      <c r="A38" s="1"/>
      <c r="B38" s="54" t="s">
        <v>32</v>
      </c>
      <c r="C38" s="7"/>
      <c r="D38" s="54" t="s">
        <v>47</v>
      </c>
      <c r="E38" s="6"/>
      <c r="F38" s="6"/>
      <c r="G38" s="6"/>
      <c r="H38" s="6"/>
      <c r="I38" s="6"/>
      <c r="J38" s="6"/>
      <c r="K38" s="6"/>
      <c r="L38" s="7"/>
      <c r="M38" s="54" t="s">
        <v>48</v>
      </c>
      <c r="N38" s="6"/>
      <c r="O38" s="6"/>
      <c r="P38" s="6"/>
      <c r="Q38" s="6"/>
      <c r="R38" s="6"/>
      <c r="S38" s="6"/>
      <c r="T38" s="6"/>
      <c r="U38" s="7"/>
      <c r="V38" s="1"/>
      <c r="W38" s="1"/>
      <c r="X38" s="1"/>
      <c r="Y38" s="1"/>
      <c r="Z38" s="1"/>
      <c r="AA38" s="1"/>
      <c r="AB38" s="1"/>
    </row>
    <row r="39" ht="17.25" customHeight="1">
      <c r="A39" s="1"/>
      <c r="B39" s="22" t="s">
        <v>49</v>
      </c>
      <c r="C39" s="7"/>
      <c r="D39" s="22" t="s">
        <v>50</v>
      </c>
      <c r="E39" s="6"/>
      <c r="F39" s="6"/>
      <c r="G39" s="6"/>
      <c r="H39" s="6"/>
      <c r="I39" s="6"/>
      <c r="J39" s="6"/>
      <c r="K39" s="7"/>
      <c r="L39" s="55"/>
      <c r="M39" s="22" t="s">
        <v>51</v>
      </c>
      <c r="N39" s="6"/>
      <c r="O39" s="6"/>
      <c r="P39" s="6"/>
      <c r="Q39" s="6"/>
      <c r="R39" s="6"/>
      <c r="S39" s="6"/>
      <c r="T39" s="7"/>
      <c r="U39" s="55"/>
      <c r="V39" s="1"/>
      <c r="W39" s="1"/>
      <c r="X39" s="1"/>
      <c r="Y39" s="1"/>
      <c r="Z39" s="1"/>
      <c r="AA39" s="1"/>
      <c r="AB39" s="1"/>
    </row>
    <row r="40" ht="23.25" customHeight="1">
      <c r="A40" s="1"/>
      <c r="B40" s="22" t="s">
        <v>52</v>
      </c>
      <c r="C40" s="7"/>
      <c r="D40" s="22" t="s">
        <v>53</v>
      </c>
      <c r="E40" s="6"/>
      <c r="F40" s="6"/>
      <c r="G40" s="6"/>
      <c r="H40" s="6"/>
      <c r="I40" s="6"/>
      <c r="J40" s="6"/>
      <c r="K40" s="7"/>
      <c r="L40" s="55"/>
      <c r="M40" s="22" t="s">
        <v>54</v>
      </c>
      <c r="N40" s="6"/>
      <c r="O40" s="6"/>
      <c r="P40" s="6"/>
      <c r="Q40" s="6"/>
      <c r="R40" s="6"/>
      <c r="S40" s="6"/>
      <c r="T40" s="7"/>
      <c r="U40" s="55"/>
      <c r="V40" s="1"/>
      <c r="W40" s="1"/>
      <c r="X40" s="1"/>
      <c r="Y40" s="1"/>
      <c r="Z40" s="1"/>
      <c r="AA40" s="1"/>
      <c r="AB40" s="1"/>
    </row>
    <row r="41" ht="23.25" customHeight="1">
      <c r="A41" s="1"/>
      <c r="B41" s="22" t="s">
        <v>55</v>
      </c>
      <c r="C41" s="7"/>
      <c r="D41" s="22" t="s">
        <v>56</v>
      </c>
      <c r="E41" s="6"/>
      <c r="F41" s="6"/>
      <c r="G41" s="6"/>
      <c r="H41" s="6"/>
      <c r="I41" s="6"/>
      <c r="J41" s="6"/>
      <c r="K41" s="7"/>
      <c r="L41" s="55"/>
      <c r="M41" s="22" t="s">
        <v>57</v>
      </c>
      <c r="N41" s="6"/>
      <c r="O41" s="6"/>
      <c r="P41" s="6"/>
      <c r="Q41" s="6"/>
      <c r="R41" s="6"/>
      <c r="S41" s="6"/>
      <c r="T41" s="7"/>
      <c r="U41" s="55"/>
      <c r="V41" s="1"/>
      <c r="W41" s="1"/>
      <c r="X41" s="1"/>
      <c r="Y41" s="1"/>
      <c r="Z41" s="1"/>
      <c r="AA41" s="1"/>
      <c r="AB41" s="1"/>
    </row>
    <row r="42" ht="23.25" customHeight="1">
      <c r="A42" s="1"/>
      <c r="B42" s="22" t="s">
        <v>58</v>
      </c>
      <c r="C42" s="7"/>
      <c r="D42" s="22" t="s">
        <v>59</v>
      </c>
      <c r="E42" s="6"/>
      <c r="F42" s="6"/>
      <c r="G42" s="6"/>
      <c r="H42" s="6"/>
      <c r="I42" s="6"/>
      <c r="J42" s="6"/>
      <c r="K42" s="7"/>
      <c r="L42" s="55"/>
      <c r="M42" s="22" t="s">
        <v>60</v>
      </c>
      <c r="N42" s="6"/>
      <c r="O42" s="6"/>
      <c r="P42" s="6"/>
      <c r="Q42" s="6"/>
      <c r="R42" s="6"/>
      <c r="S42" s="6"/>
      <c r="T42" s="7"/>
      <c r="U42" s="55"/>
      <c r="V42" s="1"/>
      <c r="W42" s="1"/>
      <c r="X42" s="1"/>
      <c r="Y42" s="1"/>
      <c r="Z42" s="1"/>
      <c r="AA42" s="1"/>
      <c r="AB42" s="1"/>
    </row>
    <row r="43" ht="23.25" customHeight="1">
      <c r="A43" s="1"/>
      <c r="B43" s="22" t="s">
        <v>61</v>
      </c>
      <c r="C43" s="7"/>
      <c r="D43" s="22" t="s">
        <v>62</v>
      </c>
      <c r="E43" s="6"/>
      <c r="F43" s="6"/>
      <c r="G43" s="6"/>
      <c r="H43" s="6"/>
      <c r="I43" s="6"/>
      <c r="J43" s="6"/>
      <c r="K43" s="7"/>
      <c r="L43" s="55"/>
      <c r="M43" s="22" t="s">
        <v>63</v>
      </c>
      <c r="N43" s="6"/>
      <c r="O43" s="6"/>
      <c r="P43" s="6"/>
      <c r="Q43" s="6"/>
      <c r="R43" s="6"/>
      <c r="S43" s="6"/>
      <c r="T43" s="7"/>
      <c r="U43" s="55"/>
      <c r="V43" s="1"/>
      <c r="W43" s="1"/>
      <c r="X43" s="1"/>
      <c r="Y43" s="1"/>
      <c r="Z43" s="1"/>
      <c r="AA43" s="1"/>
      <c r="AB43" s="1"/>
    </row>
    <row r="44" hidden="1">
      <c r="A44" s="1"/>
      <c r="B44" s="25" t="s">
        <v>64</v>
      </c>
      <c r="D44" s="56" t="str">
        <f>IF(AND(L39="",L40="",L41="",L42="",L43="",U39="",U40="",U41="",U42="",U43=""),"Sin clasificar",IF(OR(L43="X",U43="X"),Listas!CP8,IF(OR(L42="X",U42="X"),Listas!CP7,IF(OR(L41="X",U41="X"),Listas!CP6,IF(OR(L40="X",U40="X"),Listas!CP5,IF(OR(L39="X",U39="X"),Listas!CP4,))))))</f>
        <v>Sin clasificar</v>
      </c>
      <c r="M44" s="25" t="s">
        <v>65</v>
      </c>
      <c r="O44" s="57" t="str">
        <f>IF(D44="Sin clasificar","",IF(D44=Listas!CP4,20%,IF(D44=Listas!CP5,40%,IF(D44=Listas!CP6,60%,IF(D44=Listas!CP7,80%,IF(D44=Listas!CP8,100%,))))))</f>
        <v/>
      </c>
      <c r="V44" s="1"/>
      <c r="W44" s="1"/>
      <c r="X44" s="1"/>
      <c r="Y44" s="1"/>
      <c r="Z44" s="1"/>
      <c r="AA44" s="1"/>
      <c r="AB44" s="1"/>
    </row>
    <row r="45" ht="3.75" customHeight="1">
      <c r="A45" s="1"/>
      <c r="B45" s="1"/>
      <c r="V45" s="1"/>
      <c r="W45" s="1"/>
      <c r="X45" s="1"/>
      <c r="Y45" s="1"/>
      <c r="Z45" s="1"/>
      <c r="AA45" s="1"/>
      <c r="AB45" s="1"/>
    </row>
    <row r="46">
      <c r="A46" s="1"/>
      <c r="B46" s="21" t="s">
        <v>66</v>
      </c>
      <c r="C46" s="6"/>
      <c r="D46" s="6"/>
      <c r="E46" s="6"/>
      <c r="F46" s="6"/>
      <c r="G46" s="6"/>
      <c r="H46" s="6"/>
      <c r="I46" s="6"/>
      <c r="J46" s="6"/>
      <c r="K46" s="6"/>
      <c r="L46" s="6"/>
      <c r="M46" s="6"/>
      <c r="N46" s="6"/>
      <c r="O46" s="6"/>
      <c r="P46" s="6"/>
      <c r="Q46" s="6"/>
      <c r="R46" s="6"/>
      <c r="S46" s="6"/>
      <c r="T46" s="6"/>
      <c r="U46" s="7"/>
      <c r="V46" s="1"/>
      <c r="W46" s="1"/>
      <c r="X46" s="1"/>
      <c r="Y46" s="1"/>
      <c r="Z46" s="1"/>
      <c r="AA46" s="1"/>
      <c r="AB46" s="1"/>
    </row>
    <row r="47">
      <c r="A47" s="1"/>
      <c r="B47" s="54" t="s">
        <v>67</v>
      </c>
      <c r="C47" s="6"/>
      <c r="D47" s="6"/>
      <c r="E47" s="6"/>
      <c r="F47" s="6"/>
      <c r="G47" s="6"/>
      <c r="H47" s="7"/>
      <c r="I47" s="54" t="s">
        <v>68</v>
      </c>
      <c r="J47" s="7"/>
      <c r="K47" s="54" t="s">
        <v>67</v>
      </c>
      <c r="L47" s="6"/>
      <c r="M47" s="6"/>
      <c r="N47" s="6"/>
      <c r="O47" s="6"/>
      <c r="P47" s="6"/>
      <c r="Q47" s="7"/>
      <c r="R47" s="54" t="s">
        <v>68</v>
      </c>
      <c r="S47" s="7"/>
      <c r="T47" s="58"/>
      <c r="U47" s="7"/>
      <c r="V47" s="1"/>
      <c r="W47" s="1"/>
      <c r="X47" s="1"/>
      <c r="Y47" s="1"/>
      <c r="Z47" s="1"/>
      <c r="AA47" s="1"/>
      <c r="AB47" s="1"/>
    </row>
    <row r="48">
      <c r="A48" s="1"/>
      <c r="B48" s="40">
        <v>1.0</v>
      </c>
      <c r="C48" s="59" t="s">
        <v>69</v>
      </c>
      <c r="D48" s="60"/>
      <c r="E48" s="60"/>
      <c r="F48" s="60"/>
      <c r="G48" s="60"/>
      <c r="H48" s="61"/>
      <c r="I48" s="62"/>
      <c r="J48" s="7"/>
      <c r="K48" s="40">
        <v>11.0</v>
      </c>
      <c r="L48" s="59" t="s">
        <v>70</v>
      </c>
      <c r="M48" s="60"/>
      <c r="N48" s="60"/>
      <c r="O48" s="60"/>
      <c r="P48" s="60"/>
      <c r="Q48" s="61"/>
      <c r="R48" s="62"/>
      <c r="S48" s="7"/>
      <c r="T48" s="2" t="str">
        <f>IF(R57=0,"Sin clasificar",IF(AND(R57&gt;=1,R57&lt;=5),Listas!CP6,IF(AND(R57&gt;=6,R57&lt;=12),Listas!CP7,IF(R57&gt;=12,Listas!CP8,""))))</f>
        <v>Sin clasificar</v>
      </c>
      <c r="U48" s="4"/>
      <c r="V48" s="1"/>
      <c r="W48" s="1"/>
      <c r="X48" s="1"/>
      <c r="Y48" s="1"/>
      <c r="Z48" s="1"/>
      <c r="AA48" s="1"/>
      <c r="AB48" s="1"/>
    </row>
    <row r="49">
      <c r="A49" s="1"/>
      <c r="B49" s="40">
        <v>2.0</v>
      </c>
      <c r="C49" s="59" t="s">
        <v>71</v>
      </c>
      <c r="D49" s="60"/>
      <c r="E49" s="60"/>
      <c r="F49" s="60"/>
      <c r="G49" s="60"/>
      <c r="H49" s="61"/>
      <c r="I49" s="62"/>
      <c r="J49" s="7"/>
      <c r="K49" s="40">
        <v>12.0</v>
      </c>
      <c r="L49" s="59" t="s">
        <v>72</v>
      </c>
      <c r="M49" s="60"/>
      <c r="N49" s="60"/>
      <c r="O49" s="60"/>
      <c r="P49" s="60"/>
      <c r="Q49" s="61"/>
      <c r="R49" s="62"/>
      <c r="S49" s="7"/>
      <c r="T49" s="8"/>
      <c r="U49" s="9"/>
      <c r="V49" s="1"/>
      <c r="W49" s="1"/>
      <c r="X49" s="1"/>
      <c r="Y49" s="1"/>
      <c r="Z49" s="1"/>
      <c r="AA49" s="1"/>
      <c r="AB49" s="1"/>
    </row>
    <row r="50">
      <c r="A50" s="1"/>
      <c r="B50" s="40">
        <v>3.0</v>
      </c>
      <c r="C50" s="59" t="s">
        <v>73</v>
      </c>
      <c r="D50" s="60"/>
      <c r="E50" s="60"/>
      <c r="F50" s="60"/>
      <c r="G50" s="60"/>
      <c r="H50" s="61"/>
      <c r="I50" s="62"/>
      <c r="J50" s="7"/>
      <c r="K50" s="40">
        <v>13.0</v>
      </c>
      <c r="L50" s="59" t="s">
        <v>74</v>
      </c>
      <c r="M50" s="60"/>
      <c r="N50" s="60"/>
      <c r="O50" s="60"/>
      <c r="P50" s="60"/>
      <c r="Q50" s="61"/>
      <c r="R50" s="62"/>
      <c r="S50" s="7"/>
      <c r="T50" s="8"/>
      <c r="U50" s="9"/>
      <c r="V50" s="1"/>
      <c r="W50" s="1"/>
      <c r="X50" s="1"/>
      <c r="Y50" s="1"/>
      <c r="Z50" s="1"/>
      <c r="AA50" s="1"/>
      <c r="AB50" s="1"/>
    </row>
    <row r="51">
      <c r="A51" s="1"/>
      <c r="B51" s="40">
        <v>4.0</v>
      </c>
      <c r="C51" s="59" t="s">
        <v>75</v>
      </c>
      <c r="D51" s="60"/>
      <c r="E51" s="60"/>
      <c r="F51" s="60"/>
      <c r="G51" s="60"/>
      <c r="H51" s="61"/>
      <c r="I51" s="62"/>
      <c r="J51" s="7"/>
      <c r="K51" s="40">
        <v>14.0</v>
      </c>
      <c r="L51" s="59" t="s">
        <v>76</v>
      </c>
      <c r="M51" s="60"/>
      <c r="N51" s="60"/>
      <c r="O51" s="60"/>
      <c r="P51" s="60"/>
      <c r="Q51" s="61"/>
      <c r="R51" s="62"/>
      <c r="S51" s="7"/>
      <c r="T51" s="8"/>
      <c r="U51" s="9"/>
      <c r="V51" s="1"/>
      <c r="W51" s="1"/>
      <c r="X51" s="1"/>
      <c r="Y51" s="1"/>
      <c r="Z51" s="1"/>
      <c r="AA51" s="1"/>
      <c r="AB51" s="1"/>
    </row>
    <row r="52">
      <c r="A52" s="1"/>
      <c r="B52" s="40">
        <v>5.0</v>
      </c>
      <c r="C52" s="59" t="s">
        <v>77</v>
      </c>
      <c r="D52" s="60"/>
      <c r="E52" s="60"/>
      <c r="F52" s="60"/>
      <c r="G52" s="60"/>
      <c r="H52" s="61"/>
      <c r="I52" s="62"/>
      <c r="J52" s="7"/>
      <c r="K52" s="40">
        <v>15.0</v>
      </c>
      <c r="L52" s="59" t="s">
        <v>78</v>
      </c>
      <c r="M52" s="60"/>
      <c r="N52" s="60"/>
      <c r="O52" s="60"/>
      <c r="P52" s="60"/>
      <c r="Q52" s="61"/>
      <c r="R52" s="62"/>
      <c r="S52" s="7"/>
      <c r="T52" s="8"/>
      <c r="U52" s="9"/>
      <c r="V52" s="1"/>
      <c r="W52" s="1"/>
      <c r="X52" s="1"/>
      <c r="Y52" s="1"/>
      <c r="Z52" s="1"/>
      <c r="AA52" s="1"/>
      <c r="AB52" s="1"/>
    </row>
    <row r="53">
      <c r="A53" s="1"/>
      <c r="B53" s="40">
        <v>6.0</v>
      </c>
      <c r="C53" s="59" t="s">
        <v>79</v>
      </c>
      <c r="D53" s="60"/>
      <c r="E53" s="60"/>
      <c r="F53" s="60"/>
      <c r="G53" s="60"/>
      <c r="H53" s="61"/>
      <c r="I53" s="62"/>
      <c r="J53" s="7"/>
      <c r="K53" s="63">
        <v>16.0</v>
      </c>
      <c r="L53" s="59" t="s">
        <v>80</v>
      </c>
      <c r="M53" s="60"/>
      <c r="N53" s="60"/>
      <c r="O53" s="60"/>
      <c r="P53" s="60"/>
      <c r="Q53" s="61"/>
      <c r="R53" s="62"/>
      <c r="S53" s="7"/>
      <c r="T53" s="8"/>
      <c r="U53" s="9"/>
      <c r="V53" s="1"/>
      <c r="W53" s="1"/>
      <c r="X53" s="1"/>
      <c r="Y53" s="1"/>
      <c r="Z53" s="1"/>
      <c r="AA53" s="1"/>
      <c r="AB53" s="1"/>
    </row>
    <row r="54">
      <c r="A54" s="1"/>
      <c r="B54" s="40">
        <v>7.0</v>
      </c>
      <c r="C54" s="59" t="s">
        <v>81</v>
      </c>
      <c r="D54" s="60"/>
      <c r="E54" s="60"/>
      <c r="F54" s="60"/>
      <c r="G54" s="60"/>
      <c r="H54" s="61"/>
      <c r="I54" s="62"/>
      <c r="J54" s="7"/>
      <c r="K54" s="40">
        <v>17.0</v>
      </c>
      <c r="L54" s="59" t="s">
        <v>82</v>
      </c>
      <c r="M54" s="60"/>
      <c r="N54" s="60"/>
      <c r="O54" s="60"/>
      <c r="P54" s="60"/>
      <c r="Q54" s="61"/>
      <c r="R54" s="62"/>
      <c r="S54" s="7"/>
      <c r="T54" s="8"/>
      <c r="U54" s="9"/>
      <c r="V54" s="1"/>
      <c r="W54" s="1"/>
      <c r="X54" s="1"/>
      <c r="Y54" s="1"/>
      <c r="Z54" s="1"/>
      <c r="AA54" s="1"/>
      <c r="AB54" s="1"/>
    </row>
    <row r="55">
      <c r="A55" s="1"/>
      <c r="B55" s="40">
        <v>8.0</v>
      </c>
      <c r="C55" s="59" t="s">
        <v>83</v>
      </c>
      <c r="D55" s="60"/>
      <c r="E55" s="60"/>
      <c r="F55" s="60"/>
      <c r="G55" s="60"/>
      <c r="H55" s="61"/>
      <c r="I55" s="62"/>
      <c r="J55" s="7"/>
      <c r="K55" s="40">
        <v>18.0</v>
      </c>
      <c r="L55" s="59" t="s">
        <v>84</v>
      </c>
      <c r="M55" s="60"/>
      <c r="N55" s="60"/>
      <c r="O55" s="60"/>
      <c r="P55" s="60"/>
      <c r="Q55" s="61"/>
      <c r="R55" s="62"/>
      <c r="S55" s="7"/>
      <c r="T55" s="8"/>
      <c r="U55" s="9"/>
      <c r="V55" s="1"/>
      <c r="W55" s="1"/>
      <c r="X55" s="1"/>
      <c r="Y55" s="1"/>
      <c r="Z55" s="1"/>
      <c r="AA55" s="1"/>
      <c r="AB55" s="1"/>
    </row>
    <row r="56">
      <c r="A56" s="1"/>
      <c r="B56" s="40">
        <v>9.0</v>
      </c>
      <c r="C56" s="59" t="s">
        <v>85</v>
      </c>
      <c r="D56" s="60"/>
      <c r="E56" s="60"/>
      <c r="F56" s="60"/>
      <c r="G56" s="60"/>
      <c r="H56" s="61"/>
      <c r="I56" s="62"/>
      <c r="J56" s="7"/>
      <c r="K56" s="40">
        <v>19.0</v>
      </c>
      <c r="L56" s="59" t="s">
        <v>86</v>
      </c>
      <c r="M56" s="60"/>
      <c r="N56" s="60"/>
      <c r="O56" s="60"/>
      <c r="P56" s="60"/>
      <c r="Q56" s="61"/>
      <c r="R56" s="62"/>
      <c r="S56" s="7"/>
      <c r="T56" s="8"/>
      <c r="U56" s="9"/>
      <c r="V56" s="1"/>
      <c r="W56" s="1"/>
      <c r="X56" s="1"/>
      <c r="Y56" s="1"/>
      <c r="Z56" s="1"/>
      <c r="AA56" s="1"/>
      <c r="AB56" s="1"/>
    </row>
    <row r="57">
      <c r="A57" s="1"/>
      <c r="B57" s="40">
        <v>10.0</v>
      </c>
      <c r="C57" s="59" t="s">
        <v>87</v>
      </c>
      <c r="D57" s="60"/>
      <c r="E57" s="60"/>
      <c r="F57" s="60"/>
      <c r="G57" s="60"/>
      <c r="H57" s="61"/>
      <c r="I57" s="62"/>
      <c r="J57" s="7"/>
      <c r="K57" s="64" t="str">
        <f>IF(T48=X67,"",IF(T48=Listas!CP6,60%,IF(T48=Listas!CP7,80%,IF(T48=Listas!CP6,100%,))))</f>
        <v/>
      </c>
      <c r="L57" s="6"/>
      <c r="M57" s="6"/>
      <c r="N57" s="6"/>
      <c r="O57" s="6"/>
      <c r="P57" s="6"/>
      <c r="Q57" s="6"/>
      <c r="R57" s="65">
        <f>IF(R53="Si",((COUNTIF(I48:J57,"Si")+COUNTIF(R48:S56,"Si"))+18),(COUNTIF(I48:J57,"Si")+COUNTIF(R48:S56,"Si")))</f>
        <v>0</v>
      </c>
      <c r="S57" s="7"/>
      <c r="T57" s="11"/>
      <c r="U57" s="13"/>
      <c r="V57" s="1"/>
      <c r="W57" s="1"/>
      <c r="X57" s="1"/>
      <c r="Y57" s="1"/>
      <c r="Z57" s="1"/>
      <c r="AA57" s="1"/>
      <c r="AB57" s="1"/>
    </row>
    <row r="58" ht="3.75" customHeight="1">
      <c r="A58" s="1"/>
      <c r="B58" s="1"/>
      <c r="V58" s="1"/>
      <c r="W58" s="1"/>
      <c r="X58" s="1"/>
      <c r="Y58" s="1"/>
      <c r="Z58" s="1"/>
      <c r="AA58" s="1"/>
      <c r="AB58" s="1"/>
    </row>
    <row r="59">
      <c r="A59" s="1"/>
      <c r="B59" s="66" t="s">
        <v>145</v>
      </c>
      <c r="C59" s="3"/>
      <c r="D59" s="3"/>
      <c r="E59" s="3"/>
      <c r="F59" s="3"/>
      <c r="G59" s="3"/>
      <c r="H59" s="3"/>
      <c r="I59" s="3"/>
      <c r="J59" s="3"/>
      <c r="K59" s="4"/>
      <c r="L59" s="67" t="s">
        <v>89</v>
      </c>
      <c r="M59" s="7"/>
      <c r="N59" s="68" t="s">
        <v>90</v>
      </c>
      <c r="O59" s="6"/>
      <c r="P59" s="6"/>
      <c r="Q59" s="6"/>
      <c r="R59" s="6"/>
      <c r="S59" s="6"/>
      <c r="T59" s="6"/>
      <c r="U59" s="7"/>
      <c r="V59" s="1"/>
      <c r="W59" s="1"/>
      <c r="X59" s="1"/>
      <c r="Y59" s="1"/>
      <c r="Z59" s="1"/>
      <c r="AA59" s="1"/>
      <c r="AB59" s="1"/>
    </row>
    <row r="60">
      <c r="A60" s="1"/>
      <c r="B60" s="8"/>
      <c r="K60" s="9"/>
      <c r="L60" s="69" t="s">
        <v>91</v>
      </c>
      <c r="M60" s="7"/>
      <c r="N60" s="68" t="s">
        <v>92</v>
      </c>
      <c r="O60" s="6"/>
      <c r="P60" s="6"/>
      <c r="Q60" s="6"/>
      <c r="R60" s="6"/>
      <c r="S60" s="6"/>
      <c r="T60" s="6"/>
      <c r="U60" s="7"/>
      <c r="V60" s="1"/>
      <c r="W60" s="1"/>
      <c r="X60" s="1"/>
      <c r="Y60" s="1"/>
      <c r="Z60" s="1"/>
      <c r="AA60" s="1"/>
      <c r="AB60" s="1"/>
    </row>
    <row r="61">
      <c r="A61" s="1"/>
      <c r="B61" s="11"/>
      <c r="C61" s="12"/>
      <c r="D61" s="12"/>
      <c r="E61" s="12"/>
      <c r="F61" s="12"/>
      <c r="G61" s="12"/>
      <c r="H61" s="12"/>
      <c r="I61" s="12"/>
      <c r="J61" s="12"/>
      <c r="K61" s="13"/>
      <c r="L61" s="70" t="s">
        <v>93</v>
      </c>
      <c r="M61" s="7"/>
      <c r="N61" s="68" t="s">
        <v>94</v>
      </c>
      <c r="O61" s="6"/>
      <c r="P61" s="6"/>
      <c r="Q61" s="6"/>
      <c r="R61" s="6"/>
      <c r="S61" s="6"/>
      <c r="T61" s="6"/>
      <c r="U61" s="7"/>
      <c r="V61" s="1"/>
      <c r="W61" s="1"/>
      <c r="X61" s="1"/>
      <c r="Y61" s="1"/>
      <c r="Z61" s="1"/>
      <c r="AA61" s="1"/>
      <c r="AB61" s="1"/>
    </row>
    <row r="62" ht="3.75" customHeight="1">
      <c r="A62" s="1"/>
      <c r="B62" s="1"/>
      <c r="V62" s="1"/>
      <c r="W62" s="1"/>
      <c r="X62" s="1"/>
      <c r="Y62" s="1"/>
      <c r="Z62" s="1"/>
      <c r="AA62" s="1"/>
      <c r="AB62" s="1"/>
    </row>
    <row r="63" ht="17.25" customHeight="1">
      <c r="A63" s="1"/>
      <c r="B63" s="21" t="s">
        <v>95</v>
      </c>
      <c r="C63" s="6"/>
      <c r="D63" s="6"/>
      <c r="E63" s="6"/>
      <c r="F63" s="6"/>
      <c r="G63" s="6"/>
      <c r="H63" s="6"/>
      <c r="I63" s="6"/>
      <c r="J63" s="6"/>
      <c r="K63" s="6"/>
      <c r="L63" s="6"/>
      <c r="M63" s="6"/>
      <c r="N63" s="6"/>
      <c r="O63" s="6"/>
      <c r="P63" s="6"/>
      <c r="Q63" s="6"/>
      <c r="R63" s="6"/>
      <c r="S63" s="6"/>
      <c r="T63" s="6"/>
      <c r="U63" s="7"/>
      <c r="V63" s="1"/>
      <c r="W63" s="1"/>
      <c r="X63" s="1"/>
      <c r="Y63" s="1"/>
      <c r="Z63" s="1"/>
      <c r="AA63" s="1"/>
      <c r="AB63" s="1"/>
    </row>
    <row r="64" ht="3.75" customHeight="1">
      <c r="A64" s="1"/>
      <c r="B64" s="1"/>
      <c r="V64" s="1"/>
      <c r="W64" s="1"/>
      <c r="X64" s="1"/>
      <c r="Y64" s="1"/>
      <c r="Z64" s="1"/>
      <c r="AA64" s="1"/>
      <c r="AB64" s="1"/>
    </row>
    <row r="65">
      <c r="A65" s="1"/>
      <c r="B65" s="21" t="s">
        <v>96</v>
      </c>
      <c r="C65" s="6"/>
      <c r="D65" s="6"/>
      <c r="E65" s="6"/>
      <c r="F65" s="6"/>
      <c r="G65" s="6"/>
      <c r="H65" s="6"/>
      <c r="I65" s="6"/>
      <c r="J65" s="6"/>
      <c r="K65" s="6"/>
      <c r="L65" s="6"/>
      <c r="M65" s="6"/>
      <c r="N65" s="6"/>
      <c r="O65" s="6"/>
      <c r="P65" s="6"/>
      <c r="Q65" s="6"/>
      <c r="R65" s="6"/>
      <c r="S65" s="6"/>
      <c r="T65" s="6"/>
      <c r="U65" s="7"/>
      <c r="V65" s="1"/>
      <c r="W65" s="1"/>
      <c r="X65" s="1"/>
      <c r="Y65" s="1"/>
      <c r="Z65" s="1"/>
      <c r="AA65" s="1"/>
      <c r="AB65" s="1"/>
    </row>
    <row r="66">
      <c r="A66" s="1"/>
      <c r="B66" s="71" t="s">
        <v>35</v>
      </c>
      <c r="C66" s="72" t="s">
        <v>44</v>
      </c>
      <c r="D66" s="54" t="s">
        <v>42</v>
      </c>
      <c r="E66" s="7"/>
      <c r="F66" s="54" t="s">
        <v>42</v>
      </c>
      <c r="G66" s="7"/>
      <c r="H66" s="54" t="s">
        <v>97</v>
      </c>
      <c r="I66" s="7"/>
      <c r="J66" s="54" t="s">
        <v>97</v>
      </c>
      <c r="K66" s="7"/>
      <c r="L66" s="54" t="s">
        <v>97</v>
      </c>
      <c r="M66" s="7"/>
      <c r="N66" s="1"/>
      <c r="O66" s="47" t="s">
        <v>35</v>
      </c>
      <c r="P66" s="7"/>
      <c r="Q66" s="47" t="s">
        <v>98</v>
      </c>
      <c r="R66" s="7"/>
      <c r="S66" s="47" t="s">
        <v>99</v>
      </c>
      <c r="T66" s="6"/>
      <c r="U66" s="7"/>
      <c r="V66" s="1"/>
      <c r="W66" s="1"/>
      <c r="X66" s="1"/>
      <c r="Y66" s="1"/>
      <c r="Z66" s="1"/>
      <c r="AA66" s="1"/>
      <c r="AB66" s="1"/>
    </row>
    <row r="67">
      <c r="A67" s="1"/>
      <c r="B67" s="73"/>
      <c r="C67" s="72" t="s">
        <v>42</v>
      </c>
      <c r="D67" s="54" t="s">
        <v>40</v>
      </c>
      <c r="E67" s="7"/>
      <c r="F67" s="54" t="s">
        <v>42</v>
      </c>
      <c r="G67" s="7"/>
      <c r="H67" s="54" t="s">
        <v>42</v>
      </c>
      <c r="I67" s="7"/>
      <c r="J67" s="54" t="s">
        <v>97</v>
      </c>
      <c r="K67" s="7"/>
      <c r="L67" s="54" t="s">
        <v>97</v>
      </c>
      <c r="M67" s="7"/>
      <c r="O67" s="2" t="str">
        <f>IF(T31="",X67,R31)</f>
        <v>Sin clasificar</v>
      </c>
      <c r="P67" s="4"/>
      <c r="Q67" s="2" t="str">
        <f>IF(O15=Listas!CM5,T48,D44)</f>
        <v>Sin clasificar</v>
      </c>
      <c r="R67" s="4"/>
      <c r="S67" s="2" t="str">
        <f>IF(O67="Sin clasificar","",VLOOKUP(CONCATENATE(O67,Q67),Listas!$CQ$4:$CR$29,2,FALSE))</f>
        <v/>
      </c>
      <c r="T67" s="3"/>
      <c r="U67" s="4"/>
      <c r="V67" s="1"/>
      <c r="W67" s="1"/>
      <c r="X67" s="74" t="s">
        <v>100</v>
      </c>
      <c r="Y67" s="74" t="s">
        <v>101</v>
      </c>
      <c r="Z67" s="74" t="s">
        <v>102</v>
      </c>
      <c r="AA67" s="1"/>
      <c r="AB67" s="1"/>
    </row>
    <row r="68">
      <c r="A68" s="1"/>
      <c r="B68" s="73"/>
      <c r="C68" s="72" t="s">
        <v>40</v>
      </c>
      <c r="D68" s="54" t="s">
        <v>38</v>
      </c>
      <c r="E68" s="7"/>
      <c r="F68" s="54" t="s">
        <v>40</v>
      </c>
      <c r="G68" s="7"/>
      <c r="H68" s="54" t="s">
        <v>42</v>
      </c>
      <c r="I68" s="7"/>
      <c r="J68" s="54" t="s">
        <v>97</v>
      </c>
      <c r="K68" s="7"/>
      <c r="L68" s="54" t="s">
        <v>97</v>
      </c>
      <c r="M68" s="7"/>
      <c r="O68" s="8"/>
      <c r="P68" s="9"/>
      <c r="Q68" s="8"/>
      <c r="R68" s="9"/>
      <c r="S68" s="8"/>
      <c r="U68" s="9"/>
      <c r="V68" s="1"/>
      <c r="W68" s="1"/>
      <c r="X68" s="75"/>
      <c r="Y68" s="76" t="str">
        <f>T31</f>
        <v/>
      </c>
      <c r="Z68" s="76" t="str">
        <f>IF(O15=Listas!CM4,K57,O44)</f>
        <v/>
      </c>
      <c r="AA68" s="1"/>
      <c r="AB68" s="1"/>
    </row>
    <row r="69">
      <c r="A69" s="1"/>
      <c r="B69" s="73"/>
      <c r="C69" s="72" t="s">
        <v>38</v>
      </c>
      <c r="D69" s="54" t="s">
        <v>38</v>
      </c>
      <c r="E69" s="7"/>
      <c r="F69" s="54" t="s">
        <v>38</v>
      </c>
      <c r="G69" s="7"/>
      <c r="H69" s="54" t="s">
        <v>40</v>
      </c>
      <c r="I69" s="7"/>
      <c r="J69" s="54" t="s">
        <v>42</v>
      </c>
      <c r="K69" s="7"/>
      <c r="L69" s="54" t="s">
        <v>97</v>
      </c>
      <c r="M69" s="7"/>
      <c r="O69" s="8"/>
      <c r="P69" s="9"/>
      <c r="Q69" s="8"/>
      <c r="R69" s="9"/>
      <c r="S69" s="8"/>
      <c r="U69" s="9"/>
      <c r="V69" s="1"/>
      <c r="W69" s="1"/>
      <c r="X69" s="1"/>
      <c r="Y69" s="1"/>
      <c r="Z69" s="1"/>
      <c r="AA69" s="1"/>
      <c r="AB69" s="1"/>
    </row>
    <row r="70">
      <c r="A70" s="1"/>
      <c r="B70" s="38"/>
      <c r="C70" s="72" t="s">
        <v>36</v>
      </c>
      <c r="D70" s="54" t="s">
        <v>38</v>
      </c>
      <c r="E70" s="7"/>
      <c r="F70" s="54" t="s">
        <v>38</v>
      </c>
      <c r="G70" s="7"/>
      <c r="H70" s="54" t="s">
        <v>40</v>
      </c>
      <c r="I70" s="7"/>
      <c r="J70" s="54" t="s">
        <v>42</v>
      </c>
      <c r="K70" s="7"/>
      <c r="L70" s="54" t="s">
        <v>97</v>
      </c>
      <c r="M70" s="7"/>
      <c r="O70" s="8"/>
      <c r="P70" s="9"/>
      <c r="Q70" s="8"/>
      <c r="R70" s="9"/>
      <c r="S70" s="8"/>
      <c r="U70" s="9"/>
      <c r="V70" s="1"/>
      <c r="W70" s="1"/>
      <c r="X70" s="1"/>
      <c r="Y70" s="1"/>
      <c r="Z70" s="1"/>
      <c r="AA70" s="1"/>
      <c r="AB70" s="1"/>
    </row>
    <row r="71">
      <c r="A71" s="1"/>
      <c r="B71" s="77" t="s">
        <v>98</v>
      </c>
      <c r="C71" s="7"/>
      <c r="D71" s="54" t="s">
        <v>103</v>
      </c>
      <c r="E71" s="7"/>
      <c r="F71" s="54" t="s">
        <v>104</v>
      </c>
      <c r="G71" s="7"/>
      <c r="H71" s="54" t="s">
        <v>89</v>
      </c>
      <c r="I71" s="7"/>
      <c r="J71" s="54" t="s">
        <v>91</v>
      </c>
      <c r="K71" s="7"/>
      <c r="L71" s="54" t="s">
        <v>93</v>
      </c>
      <c r="M71" s="7"/>
      <c r="O71" s="11"/>
      <c r="P71" s="13"/>
      <c r="Q71" s="11"/>
      <c r="R71" s="13"/>
      <c r="S71" s="11"/>
      <c r="T71" s="12"/>
      <c r="U71" s="13"/>
      <c r="V71" s="1"/>
      <c r="W71" s="1"/>
      <c r="X71" s="1"/>
      <c r="Y71" s="1"/>
      <c r="Z71" s="1"/>
      <c r="AA71" s="1"/>
      <c r="AB71" s="1"/>
    </row>
    <row r="72" ht="3.75" customHeight="1">
      <c r="A72" s="1"/>
      <c r="B72" s="1"/>
      <c r="V72" s="1"/>
      <c r="W72" s="1"/>
      <c r="X72" s="1"/>
      <c r="Y72" s="1"/>
      <c r="Z72" s="1"/>
      <c r="AA72" s="1"/>
      <c r="AB72" s="1"/>
    </row>
    <row r="73">
      <c r="A73" s="1"/>
      <c r="B73" s="21" t="s">
        <v>105</v>
      </c>
      <c r="C73" s="6"/>
      <c r="D73" s="6"/>
      <c r="E73" s="6"/>
      <c r="F73" s="6"/>
      <c r="G73" s="6"/>
      <c r="H73" s="6"/>
      <c r="I73" s="6"/>
      <c r="J73" s="6"/>
      <c r="K73" s="6"/>
      <c r="L73" s="6"/>
      <c r="M73" s="6"/>
      <c r="N73" s="6"/>
      <c r="O73" s="6"/>
      <c r="P73" s="6"/>
      <c r="Q73" s="6"/>
      <c r="R73" s="6"/>
      <c r="S73" s="6"/>
      <c r="T73" s="6"/>
      <c r="U73" s="7"/>
      <c r="V73" s="1"/>
      <c r="W73" s="1"/>
      <c r="X73" s="1"/>
      <c r="Y73" s="1"/>
      <c r="Z73" s="1"/>
      <c r="AA73" s="1"/>
      <c r="AB73" s="1"/>
    </row>
    <row r="74">
      <c r="A74" s="1"/>
      <c r="B74" s="48" t="s">
        <v>106</v>
      </c>
      <c r="C74" s="6"/>
      <c r="D74" s="6"/>
      <c r="E74" s="6"/>
      <c r="F74" s="7"/>
      <c r="G74" s="48" t="s">
        <v>107</v>
      </c>
      <c r="H74" s="6"/>
      <c r="I74" s="6"/>
      <c r="J74" s="6"/>
      <c r="K74" s="7"/>
      <c r="L74" s="48" t="s">
        <v>108</v>
      </c>
      <c r="M74" s="7"/>
      <c r="N74" s="48" t="s">
        <v>109</v>
      </c>
      <c r="O74" s="7"/>
      <c r="P74" s="48" t="s">
        <v>110</v>
      </c>
      <c r="Q74" s="7"/>
      <c r="R74" s="48" t="s">
        <v>111</v>
      </c>
      <c r="S74" s="7"/>
      <c r="T74" s="48" t="s">
        <v>112</v>
      </c>
      <c r="U74" s="7"/>
      <c r="V74" s="1"/>
      <c r="W74" s="1"/>
      <c r="X74" s="74" t="s">
        <v>113</v>
      </c>
      <c r="Y74" s="74" t="s">
        <v>114</v>
      </c>
      <c r="Z74" s="74" t="s">
        <v>115</v>
      </c>
      <c r="AA74" s="74" t="s">
        <v>116</v>
      </c>
      <c r="AB74" s="74" t="s">
        <v>117</v>
      </c>
    </row>
    <row r="75">
      <c r="A75" s="1"/>
      <c r="B75" s="78" t="str">
        <f>IF(P21="","",P21)</f>
        <v/>
      </c>
      <c r="C75" s="3"/>
      <c r="D75" s="3"/>
      <c r="E75" s="3"/>
      <c r="F75" s="4"/>
      <c r="G75" s="50"/>
      <c r="H75" s="6"/>
      <c r="I75" s="6"/>
      <c r="J75" s="6"/>
      <c r="K75" s="7"/>
      <c r="L75" s="22"/>
      <c r="M75" s="7"/>
      <c r="N75" s="22"/>
      <c r="O75" s="7"/>
      <c r="P75" s="22"/>
      <c r="Q75" s="7"/>
      <c r="R75" s="22"/>
      <c r="S75" s="7"/>
      <c r="T75" s="22"/>
      <c r="U75" s="7"/>
      <c r="V75" s="1"/>
      <c r="W75" s="1"/>
      <c r="X75" s="76" t="str">
        <f>IF(L75=Listas!$CS$4,25%,IF(L75=Listas!$CS$5,15%,IF(L75=Listas!$CS$6,10%,"")))</f>
        <v/>
      </c>
      <c r="Y75" s="76" t="str">
        <f>IF(N75=Listas!$CT$4,25%,IF(N75=Listas!$CT$5,15%,""))</f>
        <v/>
      </c>
      <c r="Z75" s="76" t="str">
        <f t="shared" ref="Z75:Z79" si="3">IF(SUM(X75:Y75)=0,"",SUM(X75:Y75))</f>
        <v/>
      </c>
      <c r="AA75" s="76" t="str">
        <f>IF(OR(L75=Listas!$CS$4,L75=Listas!$CS$5),(Y68-(Y68*Z75)),Y68)</f>
        <v/>
      </c>
      <c r="AB75" s="76" t="str">
        <f>IF(L75=Listas!$CS$6,(Z68-(Z68*Z75)),Z68)</f>
        <v/>
      </c>
    </row>
    <row r="76">
      <c r="A76" s="1"/>
      <c r="B76" s="8"/>
      <c r="F76" s="9"/>
      <c r="G76" s="50"/>
      <c r="H76" s="6"/>
      <c r="I76" s="6"/>
      <c r="J76" s="6"/>
      <c r="K76" s="7"/>
      <c r="L76" s="22"/>
      <c r="M76" s="7"/>
      <c r="N76" s="22"/>
      <c r="O76" s="7"/>
      <c r="P76" s="22"/>
      <c r="Q76" s="7"/>
      <c r="R76" s="22"/>
      <c r="S76" s="7"/>
      <c r="T76" s="22"/>
      <c r="U76" s="7"/>
      <c r="V76" s="1"/>
      <c r="W76" s="1"/>
      <c r="X76" s="76" t="str">
        <f>IF(L76=Listas!$CS$4,25%,IF(L76=Listas!$CS$5,15%,IF(L76=Listas!$CS$6,10%,"")))</f>
        <v/>
      </c>
      <c r="Y76" s="76" t="str">
        <f>IF(N76=Listas!$CT$4,25%,IF(N76=Listas!$CT$5,15%,""))</f>
        <v/>
      </c>
      <c r="Z76" s="76" t="str">
        <f t="shared" si="3"/>
        <v/>
      </c>
      <c r="AA76" s="76" t="str">
        <f>IF(OR(L76=Listas!$CS$4,L76=Listas!$CS$5),(AA75-(AA75*Z76)),AA75)</f>
        <v/>
      </c>
      <c r="AB76" s="76" t="str">
        <f>IF(L76=Listas!$CS$6,(AB75-(AB75*Z76)),AB75)</f>
        <v/>
      </c>
    </row>
    <row r="77">
      <c r="A77" s="1"/>
      <c r="B77" s="8"/>
      <c r="F77" s="9"/>
      <c r="G77" s="50"/>
      <c r="H77" s="6"/>
      <c r="I77" s="6"/>
      <c r="J77" s="6"/>
      <c r="K77" s="7"/>
      <c r="L77" s="22"/>
      <c r="M77" s="7"/>
      <c r="N77" s="22"/>
      <c r="O77" s="7"/>
      <c r="P77" s="22"/>
      <c r="Q77" s="7"/>
      <c r="R77" s="22"/>
      <c r="S77" s="7"/>
      <c r="T77" s="22"/>
      <c r="U77" s="7"/>
      <c r="V77" s="1"/>
      <c r="W77" s="1"/>
      <c r="X77" s="76" t="str">
        <f>IF(L77=Listas!$CS$4,25%,IF(L77=Listas!$CS$5,15%,IF(L77=Listas!$CS$6,10%,"")))</f>
        <v/>
      </c>
      <c r="Y77" s="76" t="str">
        <f>IF(N77=Listas!$CT$4,25%,IF(N77=Listas!$CT$5,15%,""))</f>
        <v/>
      </c>
      <c r="Z77" s="76" t="str">
        <f t="shared" si="3"/>
        <v/>
      </c>
      <c r="AA77" s="76" t="str">
        <f>IF(OR(L77=Listas!$CS$4,L77=Listas!$CS$5),(AA76-(AA76*Z77)),AA76)</f>
        <v/>
      </c>
      <c r="AB77" s="76" t="str">
        <f>IF(L77=Listas!$CS$6,(AB76-(AB76*Z77)),AB76)</f>
        <v/>
      </c>
    </row>
    <row r="78">
      <c r="A78" s="1"/>
      <c r="B78" s="8"/>
      <c r="F78" s="9"/>
      <c r="G78" s="79"/>
      <c r="H78" s="6"/>
      <c r="I78" s="6"/>
      <c r="J78" s="6"/>
      <c r="K78" s="7"/>
      <c r="L78" s="22"/>
      <c r="M78" s="7"/>
      <c r="N78" s="22"/>
      <c r="O78" s="7"/>
      <c r="P78" s="22"/>
      <c r="Q78" s="7"/>
      <c r="R78" s="22"/>
      <c r="S78" s="7"/>
      <c r="T78" s="22"/>
      <c r="U78" s="7"/>
      <c r="V78" s="1"/>
      <c r="W78" s="1"/>
      <c r="X78" s="76" t="str">
        <f>IF(L78=Listas!$CS$4,25%,IF(L78=Listas!$CS$5,15%,IF(L78=Listas!$CS$6,10%,"")))</f>
        <v/>
      </c>
      <c r="Y78" s="76" t="str">
        <f>IF(N78=Listas!$CT$4,25%,IF(N78=Listas!$CT$5,15%,""))</f>
        <v/>
      </c>
      <c r="Z78" s="76" t="str">
        <f t="shared" si="3"/>
        <v/>
      </c>
      <c r="AA78" s="76" t="str">
        <f>IF(OR(L78=Listas!$CS$4,L78=Listas!$CS$5),(AA77-(AA77*Z78)),AA77)</f>
        <v/>
      </c>
      <c r="AB78" s="76" t="str">
        <f>IF(L78=Listas!$CS$6,(AB77-(AB77*Z78)),AB77)</f>
        <v/>
      </c>
    </row>
    <row r="79">
      <c r="A79" s="1"/>
      <c r="B79" s="11"/>
      <c r="C79" s="12"/>
      <c r="D79" s="12"/>
      <c r="E79" s="12"/>
      <c r="F79" s="13"/>
      <c r="G79" s="79"/>
      <c r="H79" s="6"/>
      <c r="I79" s="6"/>
      <c r="J79" s="6"/>
      <c r="K79" s="7"/>
      <c r="L79" s="22"/>
      <c r="M79" s="7"/>
      <c r="N79" s="22"/>
      <c r="O79" s="7"/>
      <c r="P79" s="22"/>
      <c r="Q79" s="7"/>
      <c r="R79" s="22"/>
      <c r="S79" s="7"/>
      <c r="T79" s="22"/>
      <c r="U79" s="7"/>
      <c r="V79" s="1"/>
      <c r="W79" s="1"/>
      <c r="X79" s="76" t="str">
        <f>IF(L79=Listas!$CS$4,25%,IF(L79=Listas!$CS$5,15%,IF(L79=Listas!$CS$6,10%,"")))</f>
        <v/>
      </c>
      <c r="Y79" s="76" t="str">
        <f>IF(N79=Listas!$CT$4,25%,IF(N79=Listas!$CT$5,15%,""))</f>
        <v/>
      </c>
      <c r="Z79" s="76" t="str">
        <f t="shared" si="3"/>
        <v/>
      </c>
      <c r="AA79" s="76" t="str">
        <f>IF(OR(L79=Listas!$CS$4,L79=Listas!$CS$5),(AA78-(AA78*Z79)),AA78)</f>
        <v/>
      </c>
      <c r="AB79" s="76" t="str">
        <f>IF(L79=Listas!$CS$6,(AB78-(AB78*Z79)),AB78)</f>
        <v/>
      </c>
    </row>
    <row r="80" ht="3.75" customHeight="1">
      <c r="A80" s="1"/>
      <c r="B80" s="1"/>
      <c r="V80" s="1"/>
      <c r="W80" s="1"/>
      <c r="X80" s="1"/>
      <c r="Y80" s="1"/>
      <c r="Z80" s="1"/>
      <c r="AA80" s="1"/>
      <c r="AB80" s="1"/>
    </row>
    <row r="81">
      <c r="A81" s="1"/>
      <c r="B81" s="21" t="s">
        <v>118</v>
      </c>
      <c r="C81" s="6"/>
      <c r="D81" s="6"/>
      <c r="E81" s="6"/>
      <c r="F81" s="6"/>
      <c r="G81" s="6"/>
      <c r="H81" s="6"/>
      <c r="I81" s="6"/>
      <c r="J81" s="6"/>
      <c r="K81" s="6"/>
      <c r="L81" s="6"/>
      <c r="M81" s="6"/>
      <c r="N81" s="6"/>
      <c r="O81" s="6"/>
      <c r="P81" s="6"/>
      <c r="Q81" s="6"/>
      <c r="R81" s="6"/>
      <c r="S81" s="6"/>
      <c r="T81" s="6"/>
      <c r="U81" s="7"/>
      <c r="V81" s="1"/>
      <c r="W81" s="1"/>
      <c r="X81" s="74" t="s">
        <v>119</v>
      </c>
      <c r="Y81" s="1"/>
      <c r="Z81" s="1"/>
      <c r="AA81" s="1"/>
      <c r="AB81" s="1"/>
    </row>
    <row r="82">
      <c r="A82" s="1"/>
      <c r="B82" s="80" t="s">
        <v>35</v>
      </c>
      <c r="C82" s="72" t="s">
        <v>44</v>
      </c>
      <c r="D82" s="54" t="s">
        <v>42</v>
      </c>
      <c r="E82" s="7"/>
      <c r="F82" s="54" t="s">
        <v>42</v>
      </c>
      <c r="G82" s="7"/>
      <c r="H82" s="54" t="s">
        <v>97</v>
      </c>
      <c r="I82" s="7"/>
      <c r="J82" s="54" t="s">
        <v>97</v>
      </c>
      <c r="K82" s="7"/>
      <c r="L82" s="54" t="s">
        <v>97</v>
      </c>
      <c r="M82" s="7"/>
      <c r="N82" s="1"/>
      <c r="O82" s="47" t="s">
        <v>35</v>
      </c>
      <c r="P82" s="7"/>
      <c r="Q82" s="47" t="s">
        <v>98</v>
      </c>
      <c r="R82" s="7"/>
      <c r="S82" s="47" t="s">
        <v>99</v>
      </c>
      <c r="T82" s="6"/>
      <c r="U82" s="7"/>
      <c r="V82" s="1"/>
      <c r="W82" s="1"/>
      <c r="Y82" s="1"/>
      <c r="Z82" s="1"/>
      <c r="AA82" s="1"/>
      <c r="AB82" s="1"/>
    </row>
    <row r="83">
      <c r="A83" s="1"/>
      <c r="B83" s="73"/>
      <c r="C83" s="72" t="s">
        <v>42</v>
      </c>
      <c r="D83" s="54" t="s">
        <v>40</v>
      </c>
      <c r="E83" s="7"/>
      <c r="F83" s="54" t="s">
        <v>42</v>
      </c>
      <c r="G83" s="7"/>
      <c r="H83" s="54" t="s">
        <v>42</v>
      </c>
      <c r="I83" s="7"/>
      <c r="J83" s="54" t="s">
        <v>97</v>
      </c>
      <c r="K83" s="7"/>
      <c r="L83" s="54" t="s">
        <v>97</v>
      </c>
      <c r="M83" s="7"/>
      <c r="O83" s="2" t="str">
        <f>IF(L75="",X81,IF(AND(AA79&gt;0,AA79&lt;=20%),Listas!CO4,IF(AND(AA79&gt;20%,AA79&lt;=40%),Listas!CO5,IF(AND(AA79&gt;40%,AA79&lt;=60%),Listas!CO6,IF(AND(AA79&gt;60%,AA79&lt;=80%),Listas!CO7,IF(AND(AA79&gt;80%,AA79&lt;=100%),Listas!CO8,""))))))</f>
        <v>Califique los controles</v>
      </c>
      <c r="P83" s="4"/>
      <c r="Q83" s="81" t="str">
        <f>IF(L75="",X81,IF(O15="Corrupción",Q67,IF(AND(AB79&gt;0,AB79&lt;=20%),Listas!CP4,IF(AND(AB79&gt;20%,AB79&lt;=40%),Listas!CP5,IF(AND(AB79&gt;40%,AB79&lt;=60%),Listas!CP6,IF(AND(AB79&gt;60%,AB79&lt;=80%),Listas!CP7,IF(AND(AB79&gt;80%,AB79&lt;=100%),Listas!CP8,"")))))))</f>
        <v>Califique los controles</v>
      </c>
      <c r="R83" s="4"/>
      <c r="S83" s="2" t="str">
        <f>IF(O83="Califique los controles","",VLOOKUP(CONCATENATE(O83,Q83),Listas!$CQ$4:$CR$29,2,FALSE))</f>
        <v/>
      </c>
      <c r="T83" s="3"/>
      <c r="U83" s="4"/>
      <c r="V83" s="1"/>
      <c r="W83" s="1"/>
      <c r="X83" s="1"/>
      <c r="Y83" s="1"/>
      <c r="Z83" s="1"/>
      <c r="AA83" s="1"/>
      <c r="AB83" s="1"/>
    </row>
    <row r="84">
      <c r="A84" s="1"/>
      <c r="B84" s="73"/>
      <c r="C84" s="72" t="s">
        <v>40</v>
      </c>
      <c r="D84" s="54" t="s">
        <v>38</v>
      </c>
      <c r="E84" s="7"/>
      <c r="F84" s="54" t="s">
        <v>40</v>
      </c>
      <c r="G84" s="7"/>
      <c r="H84" s="54" t="s">
        <v>42</v>
      </c>
      <c r="I84" s="7"/>
      <c r="J84" s="54" t="s">
        <v>97</v>
      </c>
      <c r="K84" s="7"/>
      <c r="L84" s="54" t="s">
        <v>97</v>
      </c>
      <c r="M84" s="7"/>
      <c r="O84" s="8"/>
      <c r="P84" s="9"/>
      <c r="Q84" s="8"/>
      <c r="R84" s="9"/>
      <c r="S84" s="8"/>
      <c r="U84" s="9"/>
      <c r="V84" s="1"/>
      <c r="W84" s="1"/>
      <c r="X84" s="1"/>
      <c r="Y84" s="1"/>
      <c r="Z84" s="1"/>
      <c r="AA84" s="1"/>
      <c r="AB84" s="1"/>
    </row>
    <row r="85">
      <c r="A85" s="1"/>
      <c r="B85" s="73"/>
      <c r="C85" s="72" t="s">
        <v>38</v>
      </c>
      <c r="D85" s="54" t="s">
        <v>38</v>
      </c>
      <c r="E85" s="7"/>
      <c r="F85" s="54" t="s">
        <v>38</v>
      </c>
      <c r="G85" s="7"/>
      <c r="H85" s="54" t="s">
        <v>40</v>
      </c>
      <c r="I85" s="7"/>
      <c r="J85" s="54" t="s">
        <v>42</v>
      </c>
      <c r="K85" s="7"/>
      <c r="L85" s="54" t="s">
        <v>97</v>
      </c>
      <c r="M85" s="7"/>
      <c r="O85" s="8"/>
      <c r="P85" s="9"/>
      <c r="Q85" s="8"/>
      <c r="R85" s="9"/>
      <c r="S85" s="8"/>
      <c r="U85" s="9"/>
      <c r="V85" s="1"/>
      <c r="W85" s="1"/>
      <c r="X85" s="1"/>
      <c r="Y85" s="1"/>
      <c r="Z85" s="1"/>
      <c r="AA85" s="1"/>
      <c r="AB85" s="1"/>
    </row>
    <row r="86">
      <c r="A86" s="1"/>
      <c r="B86" s="38"/>
      <c r="C86" s="72" t="s">
        <v>36</v>
      </c>
      <c r="D86" s="54" t="s">
        <v>38</v>
      </c>
      <c r="E86" s="7"/>
      <c r="F86" s="54" t="s">
        <v>38</v>
      </c>
      <c r="G86" s="7"/>
      <c r="H86" s="54" t="s">
        <v>40</v>
      </c>
      <c r="I86" s="7"/>
      <c r="J86" s="54" t="s">
        <v>42</v>
      </c>
      <c r="K86" s="7"/>
      <c r="L86" s="54" t="s">
        <v>97</v>
      </c>
      <c r="M86" s="7"/>
      <c r="O86" s="8"/>
      <c r="P86" s="9"/>
      <c r="Q86" s="8"/>
      <c r="R86" s="9"/>
      <c r="S86" s="8"/>
      <c r="U86" s="9"/>
      <c r="V86" s="1"/>
      <c r="W86" s="1"/>
      <c r="X86" s="1"/>
      <c r="Y86" s="1"/>
      <c r="Z86" s="1"/>
      <c r="AA86" s="1"/>
      <c r="AB86" s="1"/>
    </row>
    <row r="87">
      <c r="A87" s="1"/>
      <c r="B87" s="82" t="s">
        <v>98</v>
      </c>
      <c r="C87" s="7"/>
      <c r="D87" s="54" t="s">
        <v>120</v>
      </c>
      <c r="E87" s="7"/>
      <c r="F87" s="54" t="s">
        <v>104</v>
      </c>
      <c r="G87" s="7"/>
      <c r="H87" s="54" t="s">
        <v>89</v>
      </c>
      <c r="I87" s="7"/>
      <c r="J87" s="54" t="s">
        <v>91</v>
      </c>
      <c r="K87" s="7"/>
      <c r="L87" s="54" t="s">
        <v>93</v>
      </c>
      <c r="M87" s="7"/>
      <c r="O87" s="11"/>
      <c r="P87" s="13"/>
      <c r="Q87" s="11"/>
      <c r="R87" s="13"/>
      <c r="S87" s="11"/>
      <c r="T87" s="12"/>
      <c r="U87" s="13"/>
      <c r="V87" s="1"/>
      <c r="W87" s="1"/>
      <c r="X87" s="1"/>
      <c r="Y87" s="1"/>
      <c r="Z87" s="1"/>
      <c r="AA87" s="1"/>
      <c r="AB87" s="1"/>
    </row>
    <row r="88" ht="3.75" customHeight="1">
      <c r="A88" s="1"/>
      <c r="B88" s="1"/>
      <c r="V88" s="1"/>
      <c r="W88" s="1"/>
      <c r="X88" s="1"/>
      <c r="Y88" s="1"/>
      <c r="Z88" s="1"/>
      <c r="AA88" s="1"/>
      <c r="AB88" s="1"/>
    </row>
    <row r="89">
      <c r="A89" s="1"/>
      <c r="B89" s="21" t="s">
        <v>121</v>
      </c>
      <c r="C89" s="6"/>
      <c r="D89" s="6"/>
      <c r="E89" s="6"/>
      <c r="F89" s="6"/>
      <c r="G89" s="6"/>
      <c r="H89" s="6"/>
      <c r="I89" s="6"/>
      <c r="J89" s="6"/>
      <c r="K89" s="6"/>
      <c r="L89" s="6"/>
      <c r="M89" s="6"/>
      <c r="N89" s="6"/>
      <c r="O89" s="6"/>
      <c r="P89" s="6"/>
      <c r="Q89" s="6"/>
      <c r="R89" s="6"/>
      <c r="S89" s="6"/>
      <c r="T89" s="6"/>
      <c r="U89" s="7"/>
      <c r="V89" s="1"/>
      <c r="W89" s="1"/>
      <c r="X89" s="1"/>
      <c r="Y89" s="1"/>
      <c r="Z89" s="1"/>
      <c r="AA89" s="1"/>
      <c r="AB89" s="1"/>
    </row>
    <row r="90">
      <c r="A90" s="1"/>
      <c r="B90" s="48" t="s">
        <v>122</v>
      </c>
      <c r="C90" s="6"/>
      <c r="D90" s="6"/>
      <c r="E90" s="7"/>
      <c r="F90" s="48" t="s">
        <v>123</v>
      </c>
      <c r="G90" s="6"/>
      <c r="H90" s="6"/>
      <c r="I90" s="7"/>
      <c r="J90" s="48" t="s">
        <v>124</v>
      </c>
      <c r="K90" s="6"/>
      <c r="L90" s="6"/>
      <c r="M90" s="7"/>
      <c r="N90" s="48" t="s">
        <v>125</v>
      </c>
      <c r="O90" s="6"/>
      <c r="P90" s="6"/>
      <c r="Q90" s="7"/>
      <c r="R90" s="48" t="s">
        <v>126</v>
      </c>
      <c r="S90" s="6"/>
      <c r="T90" s="6"/>
      <c r="U90" s="7"/>
      <c r="V90" s="1"/>
      <c r="W90" s="1"/>
      <c r="X90" s="1"/>
      <c r="Y90" s="1"/>
      <c r="Z90" s="1"/>
      <c r="AA90" s="1"/>
      <c r="AB90" s="1"/>
    </row>
    <row r="91">
      <c r="A91" s="1"/>
      <c r="B91" s="83" t="s">
        <v>146</v>
      </c>
      <c r="C91" s="6"/>
      <c r="D91" s="6"/>
      <c r="E91" s="7"/>
      <c r="F91" s="83" t="s">
        <v>128</v>
      </c>
      <c r="G91" s="6"/>
      <c r="H91" s="6"/>
      <c r="I91" s="7"/>
      <c r="J91" s="83" t="s">
        <v>147</v>
      </c>
      <c r="K91" s="6"/>
      <c r="L91" s="6"/>
      <c r="M91" s="7"/>
      <c r="N91" s="83" t="s">
        <v>130</v>
      </c>
      <c r="O91" s="6"/>
      <c r="P91" s="6"/>
      <c r="Q91" s="7"/>
      <c r="R91" s="62"/>
      <c r="S91" s="6"/>
      <c r="T91" s="6"/>
      <c r="U91" s="7"/>
      <c r="V91" s="1"/>
      <c r="W91" s="1"/>
      <c r="X91" s="1"/>
      <c r="Y91" s="1"/>
      <c r="Z91" s="1"/>
      <c r="AA91" s="1"/>
      <c r="AB91" s="1"/>
    </row>
    <row r="92" ht="3.75" customHeight="1">
      <c r="A92" s="1"/>
      <c r="B92" s="1"/>
      <c r="V92" s="1"/>
      <c r="W92" s="1"/>
      <c r="X92" s="1"/>
      <c r="Y92" s="1"/>
      <c r="Z92" s="1"/>
      <c r="AA92" s="1"/>
      <c r="AB92" s="1"/>
    </row>
    <row r="93">
      <c r="A93" s="1"/>
      <c r="B93" s="21" t="s">
        <v>131</v>
      </c>
      <c r="C93" s="6"/>
      <c r="D93" s="6"/>
      <c r="E93" s="6"/>
      <c r="F93" s="6"/>
      <c r="G93" s="6"/>
      <c r="H93" s="6"/>
      <c r="I93" s="6"/>
      <c r="J93" s="6"/>
      <c r="K93" s="6"/>
      <c r="L93" s="6"/>
      <c r="M93" s="6"/>
      <c r="N93" s="6"/>
      <c r="O93" s="6"/>
      <c r="P93" s="6"/>
      <c r="Q93" s="6"/>
      <c r="R93" s="6"/>
      <c r="S93" s="6"/>
      <c r="T93" s="6"/>
      <c r="U93" s="7"/>
      <c r="V93" s="1"/>
      <c r="W93" s="1"/>
      <c r="X93" s="1"/>
      <c r="Y93" s="1"/>
      <c r="Z93" s="1"/>
      <c r="AA93" s="1"/>
      <c r="AB93" s="1"/>
    </row>
    <row r="94">
      <c r="A94" s="84"/>
      <c r="B94" s="48" t="s">
        <v>132</v>
      </c>
      <c r="C94" s="6"/>
      <c r="D94" s="7"/>
      <c r="E94" s="48" t="s">
        <v>133</v>
      </c>
      <c r="F94" s="6"/>
      <c r="G94" s="6"/>
      <c r="H94" s="6"/>
      <c r="I94" s="6"/>
      <c r="J94" s="6"/>
      <c r="K94" s="7"/>
      <c r="L94" s="48" t="s">
        <v>134</v>
      </c>
      <c r="M94" s="7"/>
      <c r="N94" s="48" t="s">
        <v>135</v>
      </c>
      <c r="O94" s="6"/>
      <c r="P94" s="6"/>
      <c r="Q94" s="7"/>
      <c r="R94" s="48" t="s">
        <v>148</v>
      </c>
      <c r="S94" s="6"/>
      <c r="T94" s="6"/>
      <c r="U94" s="7"/>
      <c r="V94" s="84"/>
      <c r="W94" s="84"/>
      <c r="X94" s="84"/>
      <c r="Y94" s="84"/>
      <c r="Z94" s="84"/>
      <c r="AA94" s="84"/>
      <c r="AB94" s="84"/>
    </row>
    <row r="95">
      <c r="A95" s="1"/>
      <c r="B95" s="83"/>
      <c r="C95" s="6"/>
      <c r="D95" s="7"/>
      <c r="E95" s="22"/>
      <c r="F95" s="6"/>
      <c r="G95" s="6"/>
      <c r="H95" s="6"/>
      <c r="I95" s="6"/>
      <c r="J95" s="6"/>
      <c r="K95" s="7"/>
      <c r="L95" s="83"/>
      <c r="M95" s="7"/>
      <c r="N95" s="22"/>
      <c r="O95" s="6"/>
      <c r="P95" s="6"/>
      <c r="Q95" s="7"/>
      <c r="R95" s="22"/>
      <c r="S95" s="6"/>
      <c r="T95" s="6"/>
      <c r="U95" s="7"/>
      <c r="V95" s="1"/>
      <c r="W95" s="1"/>
      <c r="X95" s="1"/>
      <c r="Y95" s="1"/>
      <c r="Z95" s="1"/>
      <c r="AA95" s="1"/>
      <c r="AB95" s="1"/>
    </row>
    <row r="96">
      <c r="A96" s="1"/>
      <c r="B96" s="85"/>
      <c r="C96" s="6"/>
      <c r="D96" s="7"/>
      <c r="E96" s="58"/>
      <c r="F96" s="6"/>
      <c r="G96" s="6"/>
      <c r="H96" s="6"/>
      <c r="I96" s="6"/>
      <c r="J96" s="6"/>
      <c r="K96" s="7"/>
      <c r="L96" s="85"/>
      <c r="M96" s="7"/>
      <c r="N96" s="58"/>
      <c r="O96" s="6"/>
      <c r="P96" s="6"/>
      <c r="Q96" s="7"/>
      <c r="R96" s="58"/>
      <c r="S96" s="6"/>
      <c r="T96" s="6"/>
      <c r="U96" s="7"/>
      <c r="V96" s="1"/>
      <c r="W96" s="1"/>
      <c r="X96" s="1"/>
      <c r="Y96" s="1"/>
      <c r="Z96" s="1"/>
      <c r="AA96" s="1"/>
      <c r="AB96" s="1"/>
    </row>
    <row r="97">
      <c r="A97" s="1"/>
      <c r="B97" s="85"/>
      <c r="C97" s="6"/>
      <c r="D97" s="7"/>
      <c r="E97" s="58"/>
      <c r="F97" s="6"/>
      <c r="G97" s="6"/>
      <c r="H97" s="6"/>
      <c r="I97" s="6"/>
      <c r="J97" s="6"/>
      <c r="K97" s="7"/>
      <c r="L97" s="85"/>
      <c r="M97" s="7"/>
      <c r="N97" s="58"/>
      <c r="O97" s="6"/>
      <c r="P97" s="6"/>
      <c r="Q97" s="7"/>
      <c r="R97" s="58"/>
      <c r="S97" s="6"/>
      <c r="T97" s="6"/>
      <c r="U97" s="7"/>
      <c r="V97" s="1"/>
      <c r="W97" s="1"/>
      <c r="X97" s="1"/>
      <c r="Y97" s="1"/>
      <c r="Z97" s="1"/>
      <c r="AA97" s="1"/>
      <c r="AB97" s="1"/>
    </row>
    <row r="98" ht="3.75" customHeight="1">
      <c r="A98" s="1"/>
      <c r="B98" s="1"/>
      <c r="V98" s="1"/>
      <c r="W98" s="1"/>
      <c r="X98" s="1"/>
      <c r="Y98" s="1"/>
      <c r="Z98" s="1"/>
      <c r="AA98" s="1"/>
      <c r="AB98" s="1"/>
    </row>
    <row r="99">
      <c r="A99" s="1"/>
      <c r="B99" s="21" t="s">
        <v>137</v>
      </c>
      <c r="C99" s="6"/>
      <c r="D99" s="6"/>
      <c r="E99" s="6"/>
      <c r="F99" s="6"/>
      <c r="G99" s="6"/>
      <c r="H99" s="6"/>
      <c r="I99" s="6"/>
      <c r="J99" s="6"/>
      <c r="K99" s="6"/>
      <c r="L99" s="6"/>
      <c r="M99" s="6"/>
      <c r="N99" s="6"/>
      <c r="O99" s="6"/>
      <c r="P99" s="6"/>
      <c r="Q99" s="6"/>
      <c r="R99" s="6"/>
      <c r="S99" s="6"/>
      <c r="T99" s="6"/>
      <c r="U99" s="7"/>
      <c r="V99" s="1"/>
      <c r="W99" s="1"/>
      <c r="X99" s="1"/>
      <c r="Y99" s="1"/>
      <c r="Z99" s="1"/>
      <c r="AA99" s="1"/>
      <c r="AB99" s="1"/>
    </row>
    <row r="100">
      <c r="A100" s="1"/>
      <c r="B100" s="48" t="s">
        <v>138</v>
      </c>
      <c r="C100" s="6"/>
      <c r="D100" s="6"/>
      <c r="E100" s="6"/>
      <c r="F100" s="6"/>
      <c r="G100" s="7"/>
      <c r="H100" s="48" t="s">
        <v>135</v>
      </c>
      <c r="I100" s="6"/>
      <c r="J100" s="6"/>
      <c r="K100" s="6"/>
      <c r="L100" s="6"/>
      <c r="M100" s="6"/>
      <c r="N100" s="7"/>
      <c r="O100" s="48" t="s">
        <v>139</v>
      </c>
      <c r="P100" s="6"/>
      <c r="Q100" s="7"/>
      <c r="R100" s="48" t="s">
        <v>140</v>
      </c>
      <c r="S100" s="6"/>
      <c r="T100" s="6"/>
      <c r="U100" s="7"/>
      <c r="V100" s="1"/>
      <c r="W100" s="1"/>
      <c r="X100" s="1"/>
      <c r="Y100" s="1"/>
      <c r="Z100" s="1"/>
      <c r="AA100" s="1"/>
      <c r="AB100" s="1"/>
    </row>
    <row r="101">
      <c r="A101" s="1"/>
      <c r="B101" s="22"/>
      <c r="C101" s="6"/>
      <c r="D101" s="6"/>
      <c r="E101" s="6"/>
      <c r="F101" s="6"/>
      <c r="G101" s="7"/>
      <c r="H101" s="22"/>
      <c r="I101" s="6"/>
      <c r="J101" s="6"/>
      <c r="K101" s="6"/>
      <c r="L101" s="6"/>
      <c r="M101" s="6"/>
      <c r="N101" s="7"/>
      <c r="O101" s="83"/>
      <c r="P101" s="6"/>
      <c r="Q101" s="7"/>
      <c r="R101" s="22"/>
      <c r="S101" s="6"/>
      <c r="T101" s="6"/>
      <c r="U101" s="7"/>
      <c r="V101" s="1"/>
      <c r="W101" s="1"/>
      <c r="X101" s="1"/>
      <c r="Y101" s="1"/>
      <c r="Z101" s="1"/>
      <c r="AA101" s="1"/>
      <c r="AB101" s="1"/>
    </row>
    <row r="102" ht="5.2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row>
  </sheetData>
  <mergeCells count="323">
    <mergeCell ref="B35:C35"/>
    <mergeCell ref="B38:C38"/>
    <mergeCell ref="B39:C39"/>
    <mergeCell ref="D39:K39"/>
    <mergeCell ref="M39:T39"/>
    <mergeCell ref="D40:K40"/>
    <mergeCell ref="M40:T40"/>
    <mergeCell ref="B40:C40"/>
    <mergeCell ref="B41:C41"/>
    <mergeCell ref="D41:K41"/>
    <mergeCell ref="M41:T41"/>
    <mergeCell ref="B42:C42"/>
    <mergeCell ref="D42:K42"/>
    <mergeCell ref="M42:T42"/>
    <mergeCell ref="B25:C25"/>
    <mergeCell ref="D25:I25"/>
    <mergeCell ref="B21:C21"/>
    <mergeCell ref="D21:I21"/>
    <mergeCell ref="P21:U25"/>
    <mergeCell ref="B22:C22"/>
    <mergeCell ref="D22:I22"/>
    <mergeCell ref="B23:C23"/>
    <mergeCell ref="D23:I23"/>
    <mergeCell ref="B26:U26"/>
    <mergeCell ref="B27:U27"/>
    <mergeCell ref="B28:U28"/>
    <mergeCell ref="B29:U29"/>
    <mergeCell ref="B30:C30"/>
    <mergeCell ref="D30:E30"/>
    <mergeCell ref="F30:Q30"/>
    <mergeCell ref="D33:E33"/>
    <mergeCell ref="F33:Q33"/>
    <mergeCell ref="B31:C31"/>
    <mergeCell ref="D31:E31"/>
    <mergeCell ref="F31:Q31"/>
    <mergeCell ref="B32:C32"/>
    <mergeCell ref="D32:E32"/>
    <mergeCell ref="F32:Q32"/>
    <mergeCell ref="B33:C33"/>
    <mergeCell ref="C48:H48"/>
    <mergeCell ref="I48:J48"/>
    <mergeCell ref="L48:Q48"/>
    <mergeCell ref="R48:S48"/>
    <mergeCell ref="C49:H49"/>
    <mergeCell ref="I49:J49"/>
    <mergeCell ref="L49:Q49"/>
    <mergeCell ref="L60:M60"/>
    <mergeCell ref="L61:M61"/>
    <mergeCell ref="N61:U61"/>
    <mergeCell ref="C55:H55"/>
    <mergeCell ref="I55:J55"/>
    <mergeCell ref="L55:Q55"/>
    <mergeCell ref="C56:H56"/>
    <mergeCell ref="I56:J56"/>
    <mergeCell ref="L56:Q56"/>
    <mergeCell ref="C57:H57"/>
    <mergeCell ref="I57:J57"/>
    <mergeCell ref="K57:Q57"/>
    <mergeCell ref="B58:U58"/>
    <mergeCell ref="B59:K61"/>
    <mergeCell ref="L59:M59"/>
    <mergeCell ref="N59:U59"/>
    <mergeCell ref="N60:U60"/>
    <mergeCell ref="H66:I66"/>
    <mergeCell ref="J66:K66"/>
    <mergeCell ref="O66:P66"/>
    <mergeCell ref="Q66:R66"/>
    <mergeCell ref="D66:E66"/>
    <mergeCell ref="D67:E67"/>
    <mergeCell ref="F67:G67"/>
    <mergeCell ref="H67:I67"/>
    <mergeCell ref="F66:G66"/>
    <mergeCell ref="D68:E68"/>
    <mergeCell ref="P76:Q76"/>
    <mergeCell ref="R76:S76"/>
    <mergeCell ref="L75:M75"/>
    <mergeCell ref="N75:O75"/>
    <mergeCell ref="P75:Q75"/>
    <mergeCell ref="R75:S75"/>
    <mergeCell ref="T75:U75"/>
    <mergeCell ref="N76:O76"/>
    <mergeCell ref="T76:U76"/>
    <mergeCell ref="G77:K77"/>
    <mergeCell ref="G78:K78"/>
    <mergeCell ref="L78:M78"/>
    <mergeCell ref="N78:O78"/>
    <mergeCell ref="P78:Q78"/>
    <mergeCell ref="R78:S78"/>
    <mergeCell ref="T78:U78"/>
    <mergeCell ref="H82:I82"/>
    <mergeCell ref="J82:K82"/>
    <mergeCell ref="L82:M82"/>
    <mergeCell ref="O82:P82"/>
    <mergeCell ref="Q82:R82"/>
    <mergeCell ref="S82:U82"/>
    <mergeCell ref="L76:M76"/>
    <mergeCell ref="L77:M77"/>
    <mergeCell ref="N77:O77"/>
    <mergeCell ref="P77:Q77"/>
    <mergeCell ref="R77:S77"/>
    <mergeCell ref="T77:U77"/>
    <mergeCell ref="X81:X82"/>
    <mergeCell ref="F68:G68"/>
    <mergeCell ref="H68:I68"/>
    <mergeCell ref="J68:K68"/>
    <mergeCell ref="D69:E69"/>
    <mergeCell ref="F69:G69"/>
    <mergeCell ref="H69:I69"/>
    <mergeCell ref="J69:K69"/>
    <mergeCell ref="B72:U72"/>
    <mergeCell ref="B73:U73"/>
    <mergeCell ref="B62:U62"/>
    <mergeCell ref="B63:U63"/>
    <mergeCell ref="B64:U64"/>
    <mergeCell ref="B65:U65"/>
    <mergeCell ref="B66:B70"/>
    <mergeCell ref="S66:U66"/>
    <mergeCell ref="J67:K67"/>
    <mergeCell ref="H70:I70"/>
    <mergeCell ref="J70:K70"/>
    <mergeCell ref="H71:I71"/>
    <mergeCell ref="J71:K71"/>
    <mergeCell ref="G74:K74"/>
    <mergeCell ref="G75:K75"/>
    <mergeCell ref="G76:K76"/>
    <mergeCell ref="G79:K79"/>
    <mergeCell ref="L79:M79"/>
    <mergeCell ref="N79:O79"/>
    <mergeCell ref="P79:Q79"/>
    <mergeCell ref="R79:S79"/>
    <mergeCell ref="T79:U79"/>
    <mergeCell ref="B80:U80"/>
    <mergeCell ref="B81:U81"/>
    <mergeCell ref="D70:E70"/>
    <mergeCell ref="F70:G70"/>
    <mergeCell ref="B71:C71"/>
    <mergeCell ref="D71:E71"/>
    <mergeCell ref="F71:G71"/>
    <mergeCell ref="B74:F74"/>
    <mergeCell ref="B75:F79"/>
    <mergeCell ref="D83:E83"/>
    <mergeCell ref="D85:E85"/>
    <mergeCell ref="H86:I86"/>
    <mergeCell ref="J86:K86"/>
    <mergeCell ref="B82:B86"/>
    <mergeCell ref="B87:C87"/>
    <mergeCell ref="D87:E87"/>
    <mergeCell ref="F87:G87"/>
    <mergeCell ref="H87:I87"/>
    <mergeCell ref="J87:K87"/>
    <mergeCell ref="D82:E82"/>
    <mergeCell ref="F82:G82"/>
    <mergeCell ref="N82:N87"/>
    <mergeCell ref="F83:G83"/>
    <mergeCell ref="H83:I83"/>
    <mergeCell ref="L84:M84"/>
    <mergeCell ref="L86:M86"/>
    <mergeCell ref="L87:M87"/>
    <mergeCell ref="N90:Q90"/>
    <mergeCell ref="R90:U90"/>
    <mergeCell ref="D86:E86"/>
    <mergeCell ref="F86:G86"/>
    <mergeCell ref="B88:U88"/>
    <mergeCell ref="B89:U89"/>
    <mergeCell ref="B90:E90"/>
    <mergeCell ref="F90:I90"/>
    <mergeCell ref="J90:M90"/>
    <mergeCell ref="L95:M95"/>
    <mergeCell ref="N95:Q95"/>
    <mergeCell ref="N96:Q96"/>
    <mergeCell ref="R96:U96"/>
    <mergeCell ref="N97:Q97"/>
    <mergeCell ref="R97:U97"/>
    <mergeCell ref="B94:D94"/>
    <mergeCell ref="E94:K94"/>
    <mergeCell ref="L94:M94"/>
    <mergeCell ref="N94:Q94"/>
    <mergeCell ref="R94:U94"/>
    <mergeCell ref="E95:K95"/>
    <mergeCell ref="R95:U95"/>
    <mergeCell ref="B95:D95"/>
    <mergeCell ref="B96:D96"/>
    <mergeCell ref="E96:K96"/>
    <mergeCell ref="L96:M96"/>
    <mergeCell ref="B97:D97"/>
    <mergeCell ref="E97:K97"/>
    <mergeCell ref="L97:M97"/>
    <mergeCell ref="H101:N101"/>
    <mergeCell ref="O101:Q101"/>
    <mergeCell ref="B98:U98"/>
    <mergeCell ref="B99:U99"/>
    <mergeCell ref="B100:G100"/>
    <mergeCell ref="H100:N100"/>
    <mergeCell ref="O100:Q100"/>
    <mergeCell ref="R100:U100"/>
    <mergeCell ref="B101:G101"/>
    <mergeCell ref="R101:U101"/>
    <mergeCell ref="J83:K83"/>
    <mergeCell ref="L83:M83"/>
    <mergeCell ref="O83:P87"/>
    <mergeCell ref="Q83:R87"/>
    <mergeCell ref="S83:U87"/>
    <mergeCell ref="D84:E84"/>
    <mergeCell ref="F84:G84"/>
    <mergeCell ref="H84:I84"/>
    <mergeCell ref="J84:K84"/>
    <mergeCell ref="F85:G85"/>
    <mergeCell ref="H85:I85"/>
    <mergeCell ref="J85:K85"/>
    <mergeCell ref="L85:M85"/>
    <mergeCell ref="B91:E91"/>
    <mergeCell ref="F91:I91"/>
    <mergeCell ref="J91:M91"/>
    <mergeCell ref="N91:Q91"/>
    <mergeCell ref="R91:U91"/>
    <mergeCell ref="B92:U92"/>
    <mergeCell ref="B93:U93"/>
    <mergeCell ref="B2:D4"/>
    <mergeCell ref="B6:D6"/>
    <mergeCell ref="E2:U2"/>
    <mergeCell ref="E3:U3"/>
    <mergeCell ref="E4:H4"/>
    <mergeCell ref="I4:K4"/>
    <mergeCell ref="L4:R4"/>
    <mergeCell ref="S4:U4"/>
    <mergeCell ref="B5:U5"/>
    <mergeCell ref="E6:U6"/>
    <mergeCell ref="B7:U7"/>
    <mergeCell ref="B8:U8"/>
    <mergeCell ref="B9:U9"/>
    <mergeCell ref="B10:U10"/>
    <mergeCell ref="N11:Q11"/>
    <mergeCell ref="R11:U11"/>
    <mergeCell ref="B11:M11"/>
    <mergeCell ref="B12:U12"/>
    <mergeCell ref="B13:U13"/>
    <mergeCell ref="E14:J14"/>
    <mergeCell ref="K14:N14"/>
    <mergeCell ref="O14:P14"/>
    <mergeCell ref="R14:U14"/>
    <mergeCell ref="B14:D14"/>
    <mergeCell ref="B15:D15"/>
    <mergeCell ref="E15:J15"/>
    <mergeCell ref="K15:N15"/>
    <mergeCell ref="O15:P15"/>
    <mergeCell ref="R15:U15"/>
    <mergeCell ref="B16:U16"/>
    <mergeCell ref="B17:U17"/>
    <mergeCell ref="B18:U18"/>
    <mergeCell ref="B19:C20"/>
    <mergeCell ref="D19:I20"/>
    <mergeCell ref="J19:N19"/>
    <mergeCell ref="O19:O20"/>
    <mergeCell ref="P19:U20"/>
    <mergeCell ref="B24:C24"/>
    <mergeCell ref="D24:I24"/>
    <mergeCell ref="D38:L38"/>
    <mergeCell ref="M38:U38"/>
    <mergeCell ref="B34:C34"/>
    <mergeCell ref="D34:E34"/>
    <mergeCell ref="F34:Q34"/>
    <mergeCell ref="D35:E35"/>
    <mergeCell ref="F35:Q35"/>
    <mergeCell ref="B36:U36"/>
    <mergeCell ref="B37:U37"/>
    <mergeCell ref="B43:C43"/>
    <mergeCell ref="D43:K43"/>
    <mergeCell ref="M43:T43"/>
    <mergeCell ref="B44:C44"/>
    <mergeCell ref="D44:L44"/>
    <mergeCell ref="M44:N44"/>
    <mergeCell ref="O44:U44"/>
    <mergeCell ref="B45:U45"/>
    <mergeCell ref="B46:U46"/>
    <mergeCell ref="B47:H47"/>
    <mergeCell ref="I47:J47"/>
    <mergeCell ref="K47:Q47"/>
    <mergeCell ref="R47:S47"/>
    <mergeCell ref="T47:U47"/>
    <mergeCell ref="L51:Q51"/>
    <mergeCell ref="L52:Q52"/>
    <mergeCell ref="C50:H50"/>
    <mergeCell ref="I50:J50"/>
    <mergeCell ref="L50:Q50"/>
    <mergeCell ref="C51:H51"/>
    <mergeCell ref="I51:J51"/>
    <mergeCell ref="C52:H52"/>
    <mergeCell ref="I52:J52"/>
    <mergeCell ref="L53:Q53"/>
    <mergeCell ref="L54:Q54"/>
    <mergeCell ref="R51:S51"/>
    <mergeCell ref="R52:S52"/>
    <mergeCell ref="C53:H53"/>
    <mergeCell ref="I53:J53"/>
    <mergeCell ref="R53:S53"/>
    <mergeCell ref="C54:H54"/>
    <mergeCell ref="I54:J54"/>
    <mergeCell ref="R54:S54"/>
    <mergeCell ref="R55:S55"/>
    <mergeCell ref="R56:S56"/>
    <mergeCell ref="R30:S30"/>
    <mergeCell ref="T30:U30"/>
    <mergeCell ref="R31:S35"/>
    <mergeCell ref="T31:U35"/>
    <mergeCell ref="T48:U57"/>
    <mergeCell ref="R49:S49"/>
    <mergeCell ref="R50:S50"/>
    <mergeCell ref="R57:S57"/>
    <mergeCell ref="L66:M66"/>
    <mergeCell ref="N66:N71"/>
    <mergeCell ref="L67:M67"/>
    <mergeCell ref="O67:P71"/>
    <mergeCell ref="Q67:R71"/>
    <mergeCell ref="S67:U71"/>
    <mergeCell ref="L68:M68"/>
    <mergeCell ref="L71:M71"/>
    <mergeCell ref="L69:M69"/>
    <mergeCell ref="L70:M70"/>
    <mergeCell ref="L74:M74"/>
    <mergeCell ref="N74:O74"/>
    <mergeCell ref="P74:Q74"/>
    <mergeCell ref="R74:S74"/>
    <mergeCell ref="T74:U74"/>
  </mergeCells>
  <conditionalFormatting sqref="I48:I57 R48:R56 R91">
    <cfRule type="containsBlanks" dxfId="0" priority="1" stopIfTrue="1">
      <formula>LEN(TRIM(I48))=0</formula>
    </cfRule>
  </conditionalFormatting>
  <conditionalFormatting sqref="L39:L43 U39:U43">
    <cfRule type="expression" dxfId="1" priority="2" stopIfTrue="1">
      <formula>L39="X"</formula>
    </cfRule>
  </conditionalFormatting>
  <conditionalFormatting sqref="L39:L43 U39:U43">
    <cfRule type="expression" dxfId="0" priority="3">
      <formula>AND($L$39="",$L$40="",$L$41="",$L$42="",$L$43="",$U$39="",$U$40="",$U$41="",$U$42="",$U$43="")</formula>
    </cfRule>
  </conditionalFormatting>
  <conditionalFormatting sqref="R31">
    <cfRule type="expression" dxfId="0" priority="4">
      <formula>AND(R31="",S31="",T31="",U31="",V31="")</formula>
    </cfRule>
  </conditionalFormatting>
  <conditionalFormatting sqref="J21:N25">
    <cfRule type="expression" dxfId="0" priority="5" stopIfTrue="1">
      <formula>#REF!=""</formula>
    </cfRule>
  </conditionalFormatting>
  <conditionalFormatting sqref="D21:I25">
    <cfRule type="expression" dxfId="0" priority="6">
      <formula>$D$21=""</formula>
    </cfRule>
  </conditionalFormatting>
  <conditionalFormatting sqref="B21:C25">
    <cfRule type="expression" dxfId="0" priority="7">
      <formula>$B$21=""</formula>
    </cfRule>
  </conditionalFormatting>
  <conditionalFormatting sqref="E6:U6 B15:D15">
    <cfRule type="containsBlanks" dxfId="0" priority="8">
      <formula>LEN(TRIM(E6))=0</formula>
    </cfRule>
  </conditionalFormatting>
  <conditionalFormatting sqref="E15:H15">
    <cfRule type="containsBlanks" dxfId="0" priority="9">
      <formula>LEN(TRIM(E15))=0</formula>
    </cfRule>
  </conditionalFormatting>
  <conditionalFormatting sqref="O15">
    <cfRule type="containsBlanks" dxfId="0" priority="10">
      <formula>LEN(TRIM(O15))=0</formula>
    </cfRule>
  </conditionalFormatting>
  <conditionalFormatting sqref="R15:U15">
    <cfRule type="containsBlanks" dxfId="0" priority="11">
      <formula>LEN(TRIM(R15))=0</formula>
    </cfRule>
  </conditionalFormatting>
  <conditionalFormatting sqref="K15">
    <cfRule type="containsBlanks" dxfId="0" priority="12">
      <formula>LEN(TRIM(K15))=0</formula>
    </cfRule>
  </conditionalFormatting>
  <conditionalFormatting sqref="D66:M70 S67:U71 D82:M86 S83:U87">
    <cfRule type="cellIs" dxfId="2" priority="13" operator="equal">
      <formula>"Baja"</formula>
    </cfRule>
  </conditionalFormatting>
  <conditionalFormatting sqref="D66:M70 S67:U71 D82:M86 S83:U87">
    <cfRule type="cellIs" dxfId="3" priority="14" operator="equal">
      <formula>"Media"</formula>
    </cfRule>
  </conditionalFormatting>
  <conditionalFormatting sqref="D66:M70 S67:U71 D82:M86 S83:U87">
    <cfRule type="cellIs" dxfId="4" priority="15" operator="equal">
      <formula>"Alta"</formula>
    </cfRule>
  </conditionalFormatting>
  <conditionalFormatting sqref="D66:M70 S67:U71 D82:M86 S83:U87">
    <cfRule type="cellIs" dxfId="5" priority="16" operator="equal">
      <formula>"Extrema"</formula>
    </cfRule>
  </conditionalFormatting>
  <conditionalFormatting sqref="S67:U71 S83:U87">
    <cfRule type="cellIs" dxfId="2" priority="17" operator="equal">
      <formula>"Baja"</formula>
    </cfRule>
  </conditionalFormatting>
  <conditionalFormatting sqref="S67:U71 S83:U87">
    <cfRule type="cellIs" dxfId="3" priority="18" operator="equal">
      <formula>"Media"</formula>
    </cfRule>
  </conditionalFormatting>
  <conditionalFormatting sqref="S67:U71 S83:U87">
    <cfRule type="cellIs" dxfId="4" priority="19" operator="equal">
      <formula>"Alta"</formula>
    </cfRule>
  </conditionalFormatting>
  <conditionalFormatting sqref="S67:U71 S83:U87">
    <cfRule type="cellIs" dxfId="5" priority="20" operator="equal">
      <formula>"Extrema"</formula>
    </cfRule>
  </conditionalFormatting>
  <conditionalFormatting sqref="G75:K79">
    <cfRule type="expression" dxfId="0" priority="21">
      <formula>$G$75=""</formula>
    </cfRule>
  </conditionalFormatting>
  <conditionalFormatting sqref="L75:M79">
    <cfRule type="expression" dxfId="0" priority="22">
      <formula>$L$75=""</formula>
    </cfRule>
  </conditionalFormatting>
  <conditionalFormatting sqref="N75:O79">
    <cfRule type="expression" dxfId="0" priority="23">
      <formula>$N$75=""</formula>
    </cfRule>
  </conditionalFormatting>
  <conditionalFormatting sqref="P75:Q79">
    <cfRule type="expression" dxfId="0" priority="24">
      <formula>$P$75=""</formula>
    </cfRule>
  </conditionalFormatting>
  <conditionalFormatting sqref="R75:S79">
    <cfRule type="expression" dxfId="0" priority="25">
      <formula>$R$75=""</formula>
    </cfRule>
  </conditionalFormatting>
  <conditionalFormatting sqref="T75:U79">
    <cfRule type="expression" dxfId="0" priority="26">
      <formula>$T$75=""</formula>
    </cfRule>
  </conditionalFormatting>
  <conditionalFormatting sqref="B95:D97">
    <cfRule type="expression" dxfId="0" priority="27">
      <formula>$B$95=""</formula>
    </cfRule>
  </conditionalFormatting>
  <conditionalFormatting sqref="E95:M97">
    <cfRule type="expression" dxfId="0" priority="28">
      <formula>$E$95=""</formula>
    </cfRule>
  </conditionalFormatting>
  <conditionalFormatting sqref="N95:Q97">
    <cfRule type="expression" dxfId="0" priority="29">
      <formula>$N$95=""</formula>
    </cfRule>
  </conditionalFormatting>
  <conditionalFormatting sqref="R95:U97">
    <cfRule type="expression" dxfId="0" priority="30">
      <formula>$R$95=""</formula>
    </cfRule>
  </conditionalFormatting>
  <conditionalFormatting sqref="B101:U101">
    <cfRule type="containsBlanks" dxfId="0" priority="31">
      <formula>LEN(TRIM(B101))=0</formula>
    </cfRule>
  </conditionalFormatting>
  <conditionalFormatting sqref="E6:U6">
    <cfRule type="containsBlanks" dxfId="0" priority="32">
      <formula>LEN(TRIM(E6))=0</formula>
    </cfRule>
  </conditionalFormatting>
  <dataValidations>
    <dataValidation type="list" allowBlank="1" showErrorMessage="1" sqref="L39:L43 U39:U43">
      <formula1>"X"</formula1>
    </dataValidation>
    <dataValidation type="list" allowBlank="1" showErrorMessage="1" sqref="O15">
      <formula1>Listas!$CM$4:$CM$20</formula1>
    </dataValidation>
    <dataValidation type="list" allowBlank="1" sqref="P75:P79">
      <formula1>Listas!$CU$4:$CU$8</formula1>
    </dataValidation>
    <dataValidation type="list" allowBlank="1" sqref="T75:T79">
      <formula1>Listas!$CW$4:$CW$8</formula1>
    </dataValidation>
    <dataValidation type="list" allowBlank="1" showErrorMessage="1" sqref="R48:R56 I48:I57">
      <formula1>"Si,No"</formula1>
    </dataValidation>
    <dataValidation type="list" allowBlank="1" sqref="R75:R79">
      <formula1>Listas!$CV$4:$CV$8</formula1>
    </dataValidation>
    <dataValidation type="list" allowBlank="1" sqref="L75:L79">
      <formula1>Listas!$CS$4:$CS$8</formula1>
    </dataValidation>
    <dataValidation type="list" allowBlank="1" showErrorMessage="1" sqref="J21:N25">
      <formula1>Listas!$CN$4:$CN$13</formula1>
    </dataValidation>
    <dataValidation type="list" allowBlank="1" showErrorMessage="1" sqref="R31">
      <formula1>Listas!$CO$4:$CO$8</formula1>
    </dataValidation>
    <dataValidation type="list" allowBlank="1" sqref="E6">
      <formula1>Listas!$B$4:$B$27</formula1>
    </dataValidation>
    <dataValidation type="list" allowBlank="1" sqref="B21:B25">
      <formula1>Listas!$CY$4:$CY$18</formula1>
    </dataValidation>
    <dataValidation type="list" allowBlank="1" sqref="N75:N79">
      <formula1>Listas!$CT$4:$CT$8</formula1>
    </dataValidation>
    <dataValidation type="list" allowBlank="1" showErrorMessage="1" sqref="R91">
      <formula1>Listas!$CX$4:$CX$7</formula1>
    </dataValidation>
    <dataValidation type="list" allowBlank="1" showErrorMessage="1" sqref="B15">
      <formula1>Listas!$BD$4:$BD$20</formula1>
    </dataValidation>
  </dataValidations>
  <hyperlinks>
    <hyperlink display="Contexto interno y externo del Proceso" location="null!A1" ref="N11"/>
    <hyperlink r:id="rId2" ref="R11"/>
  </hyperlinks>
  <drawing r:id="rId3"/>
  <legacy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0"/>
  <cols>
    <col customWidth="1" min="1" max="1" width="0.86"/>
    <col customWidth="1" min="2" max="21" width="8.86"/>
    <col customWidth="1" min="22" max="22" width="1.43"/>
    <col customWidth="1" hidden="1" min="23" max="23" width="5.57"/>
    <col hidden="1" min="24" max="28" width="14.43"/>
  </cols>
  <sheetData>
    <row r="1" ht="6.0" customHeight="1">
      <c r="A1" s="1"/>
      <c r="B1" s="1"/>
      <c r="C1" s="1"/>
      <c r="D1" s="1"/>
      <c r="E1" s="1"/>
      <c r="F1" s="1"/>
      <c r="G1" s="1"/>
      <c r="H1" s="1"/>
      <c r="I1" s="1"/>
      <c r="J1" s="1"/>
      <c r="K1" s="1"/>
      <c r="L1" s="1"/>
      <c r="M1" s="1"/>
      <c r="N1" s="1"/>
      <c r="O1" s="1"/>
      <c r="P1" s="1"/>
      <c r="Q1" s="1"/>
      <c r="R1" s="1"/>
      <c r="S1" s="1"/>
      <c r="T1" s="1"/>
      <c r="U1" s="1"/>
      <c r="V1" s="1"/>
      <c r="W1" s="1"/>
      <c r="X1" s="1"/>
      <c r="Y1" s="1"/>
      <c r="Z1" s="1"/>
      <c r="AA1" s="1"/>
      <c r="AB1" s="1"/>
    </row>
    <row r="2" ht="15.0" customHeight="1">
      <c r="A2" s="1"/>
      <c r="B2" s="2"/>
      <c r="C2" s="3"/>
      <c r="D2" s="4"/>
      <c r="E2" s="5" t="s">
        <v>0</v>
      </c>
      <c r="F2" s="6"/>
      <c r="G2" s="6"/>
      <c r="H2" s="6"/>
      <c r="I2" s="6"/>
      <c r="J2" s="6"/>
      <c r="K2" s="6"/>
      <c r="L2" s="6"/>
      <c r="M2" s="6"/>
      <c r="N2" s="6"/>
      <c r="O2" s="6"/>
      <c r="P2" s="6"/>
      <c r="Q2" s="6"/>
      <c r="R2" s="6"/>
      <c r="S2" s="6"/>
      <c r="T2" s="6"/>
      <c r="U2" s="7"/>
      <c r="V2" s="1"/>
      <c r="W2" s="1"/>
      <c r="X2" s="1"/>
      <c r="Y2" s="1"/>
      <c r="Z2" s="1"/>
      <c r="AA2" s="1"/>
      <c r="AB2" s="1"/>
    </row>
    <row r="3" ht="15.0" customHeight="1">
      <c r="A3" s="1"/>
      <c r="B3" s="8"/>
      <c r="D3" s="9"/>
      <c r="E3" s="10" t="s">
        <v>1</v>
      </c>
      <c r="F3" s="6"/>
      <c r="G3" s="6"/>
      <c r="H3" s="6"/>
      <c r="I3" s="6"/>
      <c r="J3" s="6"/>
      <c r="K3" s="6"/>
      <c r="L3" s="6"/>
      <c r="M3" s="6"/>
      <c r="N3" s="6"/>
      <c r="O3" s="6"/>
      <c r="P3" s="6"/>
      <c r="Q3" s="6"/>
      <c r="R3" s="6"/>
      <c r="S3" s="6"/>
      <c r="T3" s="6"/>
      <c r="U3" s="7"/>
      <c r="V3" s="1"/>
      <c r="W3" s="1"/>
      <c r="X3" s="1"/>
      <c r="Y3" s="1"/>
      <c r="Z3" s="1"/>
      <c r="AA3" s="1"/>
      <c r="AB3" s="1"/>
    </row>
    <row r="4" ht="15.0" customHeight="1">
      <c r="A4" s="1"/>
      <c r="B4" s="11"/>
      <c r="C4" s="12"/>
      <c r="D4" s="13"/>
      <c r="E4" s="14" t="s">
        <v>149</v>
      </c>
      <c r="F4" s="6"/>
      <c r="G4" s="6"/>
      <c r="H4" s="7"/>
      <c r="I4" s="14" t="s">
        <v>150</v>
      </c>
      <c r="J4" s="6"/>
      <c r="K4" s="7"/>
      <c r="L4" s="14" t="s">
        <v>151</v>
      </c>
      <c r="M4" s="6"/>
      <c r="N4" s="6"/>
      <c r="O4" s="6"/>
      <c r="P4" s="6"/>
      <c r="Q4" s="6"/>
      <c r="R4" s="7"/>
      <c r="S4" s="14" t="s">
        <v>152</v>
      </c>
      <c r="T4" s="6"/>
      <c r="U4" s="7"/>
      <c r="V4" s="1"/>
      <c r="W4" s="1"/>
      <c r="X4" s="1"/>
      <c r="Y4" s="1"/>
      <c r="Z4" s="1"/>
      <c r="AA4" s="1"/>
      <c r="AB4" s="1"/>
    </row>
    <row r="5" ht="3.0" customHeight="1">
      <c r="A5" s="1"/>
      <c r="B5" s="1"/>
      <c r="V5" s="1"/>
      <c r="W5" s="1"/>
      <c r="X5" s="1"/>
      <c r="Y5" s="1"/>
      <c r="Z5" s="1"/>
      <c r="AA5" s="1"/>
      <c r="AB5" s="1"/>
    </row>
    <row r="6" ht="15.0" customHeight="1">
      <c r="A6" s="15"/>
      <c r="B6" s="16" t="s">
        <v>6</v>
      </c>
      <c r="C6" s="17"/>
      <c r="D6" s="18"/>
      <c r="E6" s="19"/>
      <c r="F6" s="17"/>
      <c r="G6" s="17"/>
      <c r="H6" s="17"/>
      <c r="I6" s="17"/>
      <c r="J6" s="17"/>
      <c r="K6" s="17"/>
      <c r="L6" s="17"/>
      <c r="M6" s="17"/>
      <c r="N6" s="17"/>
      <c r="O6" s="17"/>
      <c r="P6" s="17"/>
      <c r="Q6" s="17"/>
      <c r="R6" s="17"/>
      <c r="S6" s="17"/>
      <c r="T6" s="17"/>
      <c r="U6" s="18"/>
      <c r="V6" s="15"/>
      <c r="W6" s="15"/>
      <c r="X6" s="15"/>
      <c r="Y6" s="15"/>
      <c r="Z6" s="15"/>
      <c r="AA6" s="15"/>
      <c r="AB6" s="1"/>
    </row>
    <row r="7" ht="3.75" customHeight="1">
      <c r="A7" s="1"/>
      <c r="B7" s="1"/>
      <c r="V7" s="1"/>
      <c r="W7" s="1"/>
      <c r="X7" s="1"/>
      <c r="Y7" s="1"/>
      <c r="Z7" s="1"/>
      <c r="AA7" s="1"/>
      <c r="AB7" s="1"/>
    </row>
    <row r="8">
      <c r="A8" s="1"/>
      <c r="B8" s="20" t="s">
        <v>7</v>
      </c>
      <c r="C8" s="6"/>
      <c r="D8" s="6"/>
      <c r="E8" s="6"/>
      <c r="F8" s="6"/>
      <c r="G8" s="6"/>
      <c r="H8" s="6"/>
      <c r="I8" s="6"/>
      <c r="J8" s="6"/>
      <c r="K8" s="6"/>
      <c r="L8" s="6"/>
      <c r="M8" s="6"/>
      <c r="N8" s="6"/>
      <c r="O8" s="6"/>
      <c r="P8" s="6"/>
      <c r="Q8" s="6"/>
      <c r="R8" s="6"/>
      <c r="S8" s="6"/>
      <c r="T8" s="6"/>
      <c r="U8" s="7"/>
      <c r="V8" s="1"/>
      <c r="W8" s="1"/>
      <c r="X8" s="1"/>
      <c r="Y8" s="1"/>
      <c r="Z8" s="1"/>
      <c r="AA8" s="1"/>
      <c r="AB8" s="1"/>
    </row>
    <row r="9" ht="3.75" customHeight="1">
      <c r="A9" s="1"/>
      <c r="B9" s="1"/>
      <c r="V9" s="1"/>
      <c r="W9" s="1"/>
      <c r="X9" s="1"/>
      <c r="Y9" s="1"/>
      <c r="Z9" s="1"/>
      <c r="AA9" s="1"/>
      <c r="AB9" s="1"/>
    </row>
    <row r="10">
      <c r="A10" s="1"/>
      <c r="B10" s="21" t="s">
        <v>8</v>
      </c>
      <c r="C10" s="6"/>
      <c r="D10" s="6"/>
      <c r="E10" s="6"/>
      <c r="F10" s="6"/>
      <c r="G10" s="6"/>
      <c r="H10" s="6"/>
      <c r="I10" s="6"/>
      <c r="J10" s="6"/>
      <c r="K10" s="6"/>
      <c r="L10" s="6"/>
      <c r="M10" s="6"/>
      <c r="N10" s="6"/>
      <c r="O10" s="6"/>
      <c r="P10" s="6"/>
      <c r="Q10" s="6"/>
      <c r="R10" s="6"/>
      <c r="S10" s="6"/>
      <c r="T10" s="6"/>
      <c r="U10" s="7"/>
      <c r="V10" s="1"/>
      <c r="W10" s="1"/>
      <c r="X10" s="1"/>
      <c r="Y10" s="1"/>
      <c r="Z10" s="1"/>
      <c r="AA10" s="1"/>
      <c r="AB10" s="1"/>
    </row>
    <row r="11" ht="20.25" customHeight="1">
      <c r="A11" s="1"/>
      <c r="B11" s="22" t="s">
        <v>9</v>
      </c>
      <c r="C11" s="6"/>
      <c r="D11" s="6"/>
      <c r="E11" s="6"/>
      <c r="F11" s="6"/>
      <c r="G11" s="6"/>
      <c r="H11" s="6"/>
      <c r="I11" s="6"/>
      <c r="J11" s="6"/>
      <c r="K11" s="6"/>
      <c r="L11" s="6"/>
      <c r="M11" s="6"/>
      <c r="N11" s="23" t="s">
        <v>10</v>
      </c>
      <c r="O11" s="6"/>
      <c r="P11" s="6"/>
      <c r="Q11" s="7"/>
      <c r="R11" s="24" t="s">
        <v>11</v>
      </c>
      <c r="S11" s="6"/>
      <c r="T11" s="6"/>
      <c r="U11" s="7"/>
      <c r="V11" s="1"/>
      <c r="W11" s="1"/>
      <c r="X11" s="1"/>
      <c r="Y11" s="1"/>
      <c r="Z11" s="1"/>
      <c r="AA11" s="1"/>
      <c r="AB11" s="1"/>
    </row>
    <row r="12" ht="3.75" customHeight="1">
      <c r="A12" s="1"/>
      <c r="B12" s="25"/>
      <c r="V12" s="1"/>
      <c r="W12" s="1"/>
      <c r="X12" s="1"/>
      <c r="Y12" s="1"/>
      <c r="Z12" s="1"/>
      <c r="AA12" s="1"/>
      <c r="AB12" s="1"/>
    </row>
    <row r="13" ht="16.5" customHeight="1">
      <c r="A13" s="15"/>
      <c r="B13" s="26" t="s">
        <v>12</v>
      </c>
      <c r="C13" s="17"/>
      <c r="D13" s="17"/>
      <c r="E13" s="17"/>
      <c r="F13" s="17"/>
      <c r="G13" s="17"/>
      <c r="H13" s="17"/>
      <c r="I13" s="17"/>
      <c r="J13" s="17"/>
      <c r="K13" s="17"/>
      <c r="L13" s="17"/>
      <c r="M13" s="17"/>
      <c r="N13" s="17"/>
      <c r="O13" s="17"/>
      <c r="P13" s="17"/>
      <c r="Q13" s="17"/>
      <c r="R13" s="17"/>
      <c r="S13" s="17"/>
      <c r="T13" s="17"/>
      <c r="U13" s="18"/>
      <c r="V13" s="15"/>
      <c r="W13" s="15"/>
      <c r="X13" s="15"/>
      <c r="Y13" s="15"/>
      <c r="Z13" s="15"/>
      <c r="AA13" s="15"/>
      <c r="AB13" s="1"/>
    </row>
    <row r="14">
      <c r="A14" s="15"/>
      <c r="B14" s="26" t="s">
        <v>13</v>
      </c>
      <c r="C14" s="17"/>
      <c r="D14" s="18"/>
      <c r="E14" s="26" t="s">
        <v>14</v>
      </c>
      <c r="F14" s="17"/>
      <c r="G14" s="17"/>
      <c r="H14" s="17"/>
      <c r="I14" s="17"/>
      <c r="J14" s="18"/>
      <c r="K14" s="26" t="s">
        <v>15</v>
      </c>
      <c r="L14" s="17"/>
      <c r="M14" s="17"/>
      <c r="N14" s="18"/>
      <c r="O14" s="26" t="s">
        <v>16</v>
      </c>
      <c r="P14" s="18"/>
      <c r="Q14" s="27" t="s">
        <v>17</v>
      </c>
      <c r="R14" s="26" t="s">
        <v>18</v>
      </c>
      <c r="S14" s="17"/>
      <c r="T14" s="17"/>
      <c r="U14" s="18"/>
      <c r="V14" s="15"/>
      <c r="W14" s="15"/>
      <c r="X14" s="15"/>
      <c r="Y14" s="15"/>
      <c r="Z14" s="15"/>
      <c r="AA14" s="15"/>
      <c r="AB14" s="1"/>
    </row>
    <row r="15">
      <c r="A15" s="28"/>
      <c r="B15" s="29"/>
      <c r="C15" s="17"/>
      <c r="D15" s="18"/>
      <c r="E15" s="29"/>
      <c r="F15" s="17"/>
      <c r="G15" s="17"/>
      <c r="H15" s="17"/>
      <c r="I15" s="17"/>
      <c r="J15" s="18"/>
      <c r="K15" s="30" t="str">
        <f>IF(P21="","",P21)</f>
        <v/>
      </c>
      <c r="L15" s="17"/>
      <c r="M15" s="17"/>
      <c r="N15" s="18"/>
      <c r="O15" s="31"/>
      <c r="P15" s="18"/>
      <c r="Q15" s="32" t="str">
        <f>IF(OR(E15="",Contexto!U8=""),"",CONCATENATE(Contexto!U8,"_08"))</f>
        <v>#REF!</v>
      </c>
      <c r="R15" s="29"/>
      <c r="S15" s="17"/>
      <c r="T15" s="17"/>
      <c r="U15" s="18"/>
      <c r="V15" s="28"/>
      <c r="W15" s="28"/>
      <c r="X15" s="28"/>
      <c r="Y15" s="28"/>
      <c r="Z15" s="28"/>
      <c r="AA15" s="28"/>
      <c r="AB15" s="1"/>
    </row>
    <row r="16" ht="3.75" customHeight="1">
      <c r="A16" s="1"/>
      <c r="B16" s="1"/>
      <c r="V16" s="1"/>
      <c r="W16" s="1"/>
      <c r="X16" s="1"/>
      <c r="Y16" s="1"/>
      <c r="Z16" s="1"/>
      <c r="AA16" s="1"/>
      <c r="AB16" s="1"/>
    </row>
    <row r="17" ht="16.5" customHeight="1">
      <c r="A17" s="33"/>
      <c r="B17" s="26" t="s">
        <v>19</v>
      </c>
      <c r="C17" s="17"/>
      <c r="D17" s="17"/>
      <c r="E17" s="17"/>
      <c r="F17" s="17"/>
      <c r="G17" s="17"/>
      <c r="H17" s="17"/>
      <c r="I17" s="17"/>
      <c r="J17" s="17"/>
      <c r="K17" s="17"/>
      <c r="L17" s="17"/>
      <c r="M17" s="17"/>
      <c r="N17" s="17"/>
      <c r="O17" s="17"/>
      <c r="P17" s="17"/>
      <c r="Q17" s="17"/>
      <c r="R17" s="17"/>
      <c r="S17" s="17"/>
      <c r="T17" s="17"/>
      <c r="U17" s="18"/>
      <c r="V17" s="33"/>
      <c r="W17" s="33"/>
      <c r="X17" s="33"/>
      <c r="Y17" s="33"/>
      <c r="Z17" s="33"/>
      <c r="AA17" s="33"/>
      <c r="AB17" s="1"/>
    </row>
    <row r="18" ht="3.0" customHeight="1">
      <c r="A18" s="15"/>
      <c r="B18" s="34"/>
      <c r="V18" s="15"/>
      <c r="W18" s="15"/>
      <c r="X18" s="15"/>
      <c r="Y18" s="15"/>
      <c r="Z18" s="15"/>
      <c r="AA18" s="15"/>
      <c r="AB18" s="1"/>
    </row>
    <row r="19" ht="12.75" customHeight="1">
      <c r="A19" s="15"/>
      <c r="B19" s="35" t="s">
        <v>20</v>
      </c>
      <c r="C19" s="4"/>
      <c r="D19" s="35" t="s">
        <v>21</v>
      </c>
      <c r="E19" s="3"/>
      <c r="F19" s="3"/>
      <c r="G19" s="3"/>
      <c r="H19" s="3"/>
      <c r="I19" s="4"/>
      <c r="J19" s="21" t="s">
        <v>22</v>
      </c>
      <c r="K19" s="6"/>
      <c r="L19" s="6"/>
      <c r="M19" s="6"/>
      <c r="N19" s="7"/>
      <c r="O19" s="36" t="s">
        <v>23</v>
      </c>
      <c r="P19" s="35" t="s">
        <v>24</v>
      </c>
      <c r="Q19" s="3"/>
      <c r="R19" s="3"/>
      <c r="S19" s="3"/>
      <c r="T19" s="3"/>
      <c r="U19" s="4"/>
      <c r="V19" s="15"/>
      <c r="W19" s="15"/>
      <c r="X19" s="15"/>
      <c r="Y19" s="15"/>
      <c r="Z19" s="15"/>
      <c r="AA19" s="15"/>
      <c r="AB19" s="1"/>
    </row>
    <row r="20" ht="12.75" customHeight="1">
      <c r="A20" s="15"/>
      <c r="B20" s="11"/>
      <c r="C20" s="13"/>
      <c r="D20" s="11"/>
      <c r="E20" s="12"/>
      <c r="F20" s="12"/>
      <c r="G20" s="12"/>
      <c r="H20" s="12"/>
      <c r="I20" s="13"/>
      <c r="J20" s="37" t="s">
        <v>25</v>
      </c>
      <c r="K20" s="37" t="s">
        <v>26</v>
      </c>
      <c r="L20" s="37" t="s">
        <v>27</v>
      </c>
      <c r="M20" s="37" t="s">
        <v>28</v>
      </c>
      <c r="N20" s="37" t="s">
        <v>29</v>
      </c>
      <c r="O20" s="38"/>
      <c r="P20" s="11"/>
      <c r="Q20" s="12"/>
      <c r="R20" s="12"/>
      <c r="S20" s="12"/>
      <c r="T20" s="12"/>
      <c r="U20" s="13"/>
      <c r="V20" s="15"/>
      <c r="W20" s="15"/>
      <c r="X20" s="15"/>
      <c r="Y20" s="15"/>
      <c r="Z20" s="15"/>
      <c r="AA20" s="15"/>
      <c r="AB20" s="1"/>
    </row>
    <row r="21">
      <c r="A21" s="15"/>
      <c r="B21" s="22"/>
      <c r="C21" s="7"/>
      <c r="D21" s="39"/>
      <c r="E21" s="6"/>
      <c r="F21" s="6"/>
      <c r="G21" s="6"/>
      <c r="H21" s="6"/>
      <c r="I21" s="7"/>
      <c r="J21" s="40"/>
      <c r="K21" s="41"/>
      <c r="L21" s="41"/>
      <c r="M21" s="41"/>
      <c r="N21" s="41"/>
      <c r="O21" s="42" t="str">
        <f t="shared" ref="O21:O25" si="1">IF(J21="","",AVERAGE(J21:N21))</f>
        <v/>
      </c>
      <c r="P21" s="43" t="str">
        <f>IF(D21="","", CONCATENATE(X21,"
",X22,"
",X23,"
",X24,"
",X25))</f>
        <v/>
      </c>
      <c r="Q21" s="3"/>
      <c r="R21" s="3"/>
      <c r="S21" s="3"/>
      <c r="T21" s="3"/>
      <c r="U21" s="4"/>
      <c r="V21" s="15"/>
      <c r="W21" s="15"/>
      <c r="X21" s="44" t="str">
        <f t="shared" ref="X21:X25" si="2">IF(J21="","",IF(O21&gt;=3,D21,""))</f>
        <v/>
      </c>
      <c r="Y21" s="15"/>
      <c r="Z21" s="15"/>
      <c r="AA21" s="15"/>
      <c r="AB21" s="1"/>
    </row>
    <row r="22">
      <c r="A22" s="15"/>
      <c r="B22" s="22"/>
      <c r="C22" s="7"/>
      <c r="D22" s="39"/>
      <c r="E22" s="6"/>
      <c r="F22" s="6"/>
      <c r="G22" s="6"/>
      <c r="H22" s="6"/>
      <c r="I22" s="7"/>
      <c r="J22" s="40"/>
      <c r="K22" s="41"/>
      <c r="L22" s="41"/>
      <c r="M22" s="41"/>
      <c r="N22" s="41"/>
      <c r="O22" s="42" t="str">
        <f t="shared" si="1"/>
        <v/>
      </c>
      <c r="P22" s="8"/>
      <c r="U22" s="9"/>
      <c r="V22" s="15"/>
      <c r="W22" s="15"/>
      <c r="X22" s="44" t="str">
        <f t="shared" si="2"/>
        <v/>
      </c>
      <c r="Y22" s="15"/>
      <c r="Z22" s="15"/>
      <c r="AA22" s="15"/>
      <c r="AB22" s="1"/>
    </row>
    <row r="23">
      <c r="A23" s="15"/>
      <c r="B23" s="22"/>
      <c r="C23" s="7"/>
      <c r="D23" s="39"/>
      <c r="E23" s="6"/>
      <c r="F23" s="6"/>
      <c r="G23" s="6"/>
      <c r="H23" s="6"/>
      <c r="I23" s="7"/>
      <c r="J23" s="40"/>
      <c r="K23" s="41"/>
      <c r="L23" s="41"/>
      <c r="M23" s="41"/>
      <c r="N23" s="41"/>
      <c r="O23" s="42" t="str">
        <f t="shared" si="1"/>
        <v/>
      </c>
      <c r="P23" s="8"/>
      <c r="U23" s="9"/>
      <c r="V23" s="15"/>
      <c r="W23" s="15"/>
      <c r="X23" s="44" t="str">
        <f t="shared" si="2"/>
        <v/>
      </c>
      <c r="Y23" s="15"/>
      <c r="Z23" s="15"/>
      <c r="AA23" s="15"/>
      <c r="AB23" s="1"/>
    </row>
    <row r="24">
      <c r="A24" s="15"/>
      <c r="B24" s="22"/>
      <c r="C24" s="7"/>
      <c r="D24" s="39"/>
      <c r="E24" s="6"/>
      <c r="F24" s="6"/>
      <c r="G24" s="6"/>
      <c r="H24" s="6"/>
      <c r="I24" s="7"/>
      <c r="J24" s="40"/>
      <c r="K24" s="41"/>
      <c r="L24" s="41"/>
      <c r="M24" s="41"/>
      <c r="N24" s="41"/>
      <c r="O24" s="42" t="str">
        <f t="shared" si="1"/>
        <v/>
      </c>
      <c r="P24" s="8"/>
      <c r="U24" s="9"/>
      <c r="V24" s="15"/>
      <c r="W24" s="15"/>
      <c r="X24" s="44" t="str">
        <f t="shared" si="2"/>
        <v/>
      </c>
      <c r="Y24" s="15"/>
      <c r="Z24" s="15"/>
      <c r="AA24" s="15"/>
      <c r="AB24" s="1"/>
    </row>
    <row r="25">
      <c r="A25" s="15"/>
      <c r="B25" s="22"/>
      <c r="C25" s="7"/>
      <c r="D25" s="39"/>
      <c r="E25" s="6"/>
      <c r="F25" s="6"/>
      <c r="G25" s="6"/>
      <c r="H25" s="6"/>
      <c r="I25" s="7"/>
      <c r="J25" s="40"/>
      <c r="K25" s="41"/>
      <c r="L25" s="41"/>
      <c r="M25" s="41"/>
      <c r="N25" s="41"/>
      <c r="O25" s="42" t="str">
        <f t="shared" si="1"/>
        <v/>
      </c>
      <c r="P25" s="11"/>
      <c r="Q25" s="12"/>
      <c r="R25" s="12"/>
      <c r="S25" s="12"/>
      <c r="T25" s="12"/>
      <c r="U25" s="13"/>
      <c r="V25" s="15"/>
      <c r="W25" s="15"/>
      <c r="X25" s="44" t="str">
        <f t="shared" si="2"/>
        <v/>
      </c>
      <c r="Y25" s="15"/>
      <c r="Z25" s="15"/>
      <c r="AA25" s="15"/>
      <c r="AB25" s="1"/>
    </row>
    <row r="26" ht="3.0" customHeight="1">
      <c r="A26" s="15"/>
      <c r="B26" s="34"/>
      <c r="V26" s="15"/>
      <c r="W26" s="15"/>
      <c r="X26" s="15"/>
      <c r="Y26" s="15"/>
      <c r="Z26" s="15"/>
      <c r="AA26" s="15"/>
      <c r="AB26" s="1"/>
    </row>
    <row r="27">
      <c r="A27" s="1"/>
      <c r="B27" s="45" t="s">
        <v>30</v>
      </c>
      <c r="C27" s="6"/>
      <c r="D27" s="6"/>
      <c r="E27" s="6"/>
      <c r="F27" s="6"/>
      <c r="G27" s="6"/>
      <c r="H27" s="6"/>
      <c r="I27" s="6"/>
      <c r="J27" s="6"/>
      <c r="K27" s="6"/>
      <c r="L27" s="6"/>
      <c r="M27" s="6"/>
      <c r="N27" s="6"/>
      <c r="O27" s="6"/>
      <c r="P27" s="6"/>
      <c r="Q27" s="6"/>
      <c r="R27" s="6"/>
      <c r="S27" s="6"/>
      <c r="T27" s="6"/>
      <c r="U27" s="7"/>
      <c r="V27" s="46"/>
      <c r="W27" s="46"/>
      <c r="X27" s="1"/>
      <c r="Y27" s="1"/>
      <c r="Z27" s="1"/>
      <c r="AA27" s="1"/>
      <c r="AB27" s="1"/>
    </row>
    <row r="28" ht="3.75" customHeight="1">
      <c r="A28" s="1"/>
      <c r="B28" s="1"/>
      <c r="V28" s="1"/>
      <c r="W28" s="1"/>
      <c r="X28" s="1"/>
      <c r="Y28" s="1"/>
      <c r="Z28" s="1"/>
      <c r="AA28" s="1"/>
      <c r="AB28" s="1"/>
    </row>
    <row r="29">
      <c r="A29" s="1"/>
      <c r="B29" s="21" t="s">
        <v>31</v>
      </c>
      <c r="C29" s="6"/>
      <c r="D29" s="6"/>
      <c r="E29" s="6"/>
      <c r="F29" s="6"/>
      <c r="G29" s="6"/>
      <c r="H29" s="6"/>
      <c r="I29" s="6"/>
      <c r="J29" s="6"/>
      <c r="K29" s="6"/>
      <c r="L29" s="6"/>
      <c r="M29" s="6"/>
      <c r="N29" s="6"/>
      <c r="O29" s="6"/>
      <c r="P29" s="6"/>
      <c r="Q29" s="6"/>
      <c r="R29" s="6"/>
      <c r="S29" s="6"/>
      <c r="T29" s="6"/>
      <c r="U29" s="7"/>
      <c r="V29" s="1"/>
      <c r="W29" s="1"/>
      <c r="X29" s="1"/>
      <c r="Y29" s="1"/>
      <c r="Z29" s="1"/>
      <c r="AA29" s="1"/>
      <c r="AB29" s="1"/>
    </row>
    <row r="30" ht="12.75" customHeight="1">
      <c r="A30" s="1"/>
      <c r="B30" s="47" t="s">
        <v>32</v>
      </c>
      <c r="C30" s="7"/>
      <c r="D30" s="48" t="s">
        <v>33</v>
      </c>
      <c r="E30" s="7"/>
      <c r="F30" s="47" t="s">
        <v>34</v>
      </c>
      <c r="G30" s="6"/>
      <c r="H30" s="6"/>
      <c r="I30" s="6"/>
      <c r="J30" s="6"/>
      <c r="K30" s="6"/>
      <c r="L30" s="6"/>
      <c r="M30" s="6"/>
      <c r="N30" s="6"/>
      <c r="O30" s="6"/>
      <c r="P30" s="6"/>
      <c r="Q30" s="7"/>
      <c r="R30" s="47" t="s">
        <v>35</v>
      </c>
      <c r="S30" s="7"/>
      <c r="T30" s="47" t="s">
        <v>32</v>
      </c>
      <c r="U30" s="7"/>
      <c r="V30" s="1"/>
      <c r="W30" s="1"/>
      <c r="X30" s="1"/>
      <c r="Y30" s="1"/>
      <c r="Z30" s="1"/>
      <c r="AA30" s="1"/>
      <c r="AB30" s="1"/>
    </row>
    <row r="31">
      <c r="A31" s="1"/>
      <c r="B31" s="49">
        <v>0.2</v>
      </c>
      <c r="C31" s="7"/>
      <c r="D31" s="50" t="s">
        <v>36</v>
      </c>
      <c r="E31" s="7"/>
      <c r="F31" s="22" t="s">
        <v>37</v>
      </c>
      <c r="G31" s="6"/>
      <c r="H31" s="6"/>
      <c r="I31" s="6"/>
      <c r="J31" s="6"/>
      <c r="K31" s="6"/>
      <c r="L31" s="6"/>
      <c r="M31" s="6"/>
      <c r="N31" s="6"/>
      <c r="O31" s="6"/>
      <c r="P31" s="6"/>
      <c r="Q31" s="7"/>
      <c r="R31" s="51"/>
      <c r="S31" s="4"/>
      <c r="T31" s="52" t="str">
        <f>IF(R31="","",IF(R31=Listas!CO4,20%,IF(R31=Listas!CO5,40%,IF(R31=Listas!CO6,60%,IF(R31=Listas!CO7,80%,IF(R31=Listas!CO8,100%,))))))</f>
        <v/>
      </c>
      <c r="U31" s="4"/>
      <c r="V31" s="1"/>
      <c r="W31" s="1"/>
      <c r="X31" s="53"/>
      <c r="Y31" s="1"/>
      <c r="Z31" s="1"/>
      <c r="AA31" s="1"/>
      <c r="AB31" s="1"/>
    </row>
    <row r="32">
      <c r="A32" s="1"/>
      <c r="B32" s="49">
        <v>0.4</v>
      </c>
      <c r="C32" s="7"/>
      <c r="D32" s="50" t="s">
        <v>38</v>
      </c>
      <c r="E32" s="7"/>
      <c r="F32" s="22" t="s">
        <v>39</v>
      </c>
      <c r="G32" s="6"/>
      <c r="H32" s="6"/>
      <c r="I32" s="6"/>
      <c r="J32" s="6"/>
      <c r="K32" s="6"/>
      <c r="L32" s="6"/>
      <c r="M32" s="6"/>
      <c r="N32" s="6"/>
      <c r="O32" s="6"/>
      <c r="P32" s="6"/>
      <c r="Q32" s="7"/>
      <c r="R32" s="8"/>
      <c r="S32" s="9"/>
      <c r="T32" s="8"/>
      <c r="U32" s="9"/>
      <c r="V32" s="1"/>
      <c r="W32" s="1"/>
      <c r="X32" s="53" t="str">
        <f>IF(N31="","",IF(N31=Listas!CO4,20%,IF(N31=Listas!CO5,40%,IF(N31=Listas!CO6,60%,IF(N31=Listas!CO7,80%,IF(N31=Listas!CO8,100%,))))))</f>
        <v/>
      </c>
      <c r="Y32" s="1"/>
      <c r="Z32" s="1"/>
      <c r="AA32" s="1"/>
      <c r="AB32" s="1"/>
    </row>
    <row r="33">
      <c r="A33" s="1"/>
      <c r="B33" s="49">
        <v>0.6</v>
      </c>
      <c r="C33" s="7"/>
      <c r="D33" s="50" t="s">
        <v>40</v>
      </c>
      <c r="E33" s="7"/>
      <c r="F33" s="22" t="s">
        <v>41</v>
      </c>
      <c r="G33" s="6"/>
      <c r="H33" s="6"/>
      <c r="I33" s="6"/>
      <c r="J33" s="6"/>
      <c r="K33" s="6"/>
      <c r="L33" s="6"/>
      <c r="M33" s="6"/>
      <c r="N33" s="6"/>
      <c r="O33" s="6"/>
      <c r="P33" s="6"/>
      <c r="Q33" s="7"/>
      <c r="R33" s="8"/>
      <c r="S33" s="9"/>
      <c r="T33" s="8"/>
      <c r="U33" s="9"/>
      <c r="V33" s="1"/>
      <c r="W33" s="1"/>
      <c r="X33" s="53" t="str">
        <f>IF(O31="","",IF(O31=Listas!CO4,20%,IF(O31=Listas!CO5,40%,IF(O31=Listas!CO6,60%,IF(O31=Listas!CO7,80%,IF(O31=Listas!CO8,100%,))))))</f>
        <v/>
      </c>
      <c r="Y33" s="1"/>
      <c r="Z33" s="1"/>
      <c r="AA33" s="1"/>
      <c r="AB33" s="1"/>
    </row>
    <row r="34">
      <c r="A34" s="1"/>
      <c r="B34" s="49">
        <v>0.8</v>
      </c>
      <c r="C34" s="7"/>
      <c r="D34" s="50" t="s">
        <v>42</v>
      </c>
      <c r="E34" s="7"/>
      <c r="F34" s="22" t="s">
        <v>43</v>
      </c>
      <c r="G34" s="6"/>
      <c r="H34" s="6"/>
      <c r="I34" s="6"/>
      <c r="J34" s="6"/>
      <c r="K34" s="6"/>
      <c r="L34" s="6"/>
      <c r="M34" s="6"/>
      <c r="N34" s="6"/>
      <c r="O34" s="6"/>
      <c r="P34" s="6"/>
      <c r="Q34" s="7"/>
      <c r="R34" s="8"/>
      <c r="S34" s="9"/>
      <c r="T34" s="8"/>
      <c r="U34" s="9"/>
      <c r="V34" s="1"/>
      <c r="W34" s="1"/>
      <c r="X34" s="53" t="str">
        <f>IF(P31="","",IF(P31=Listas!CO4,20%,IF(P31=Listas!CO5,40%,IF(P31=Listas!CO6,60%,IF(P31=Listas!CO7,80%,IF(P31=Listas!CO8,100%,))))))</f>
        <v/>
      </c>
      <c r="Y34" s="1"/>
      <c r="Z34" s="1"/>
      <c r="AA34" s="1"/>
      <c r="AB34" s="1"/>
    </row>
    <row r="35">
      <c r="A35" s="1"/>
      <c r="B35" s="49">
        <v>1.0</v>
      </c>
      <c r="C35" s="7"/>
      <c r="D35" s="50" t="s">
        <v>44</v>
      </c>
      <c r="E35" s="7"/>
      <c r="F35" s="22" t="s">
        <v>45</v>
      </c>
      <c r="G35" s="6"/>
      <c r="H35" s="6"/>
      <c r="I35" s="6"/>
      <c r="J35" s="6"/>
      <c r="K35" s="6"/>
      <c r="L35" s="6"/>
      <c r="M35" s="6"/>
      <c r="N35" s="6"/>
      <c r="O35" s="6"/>
      <c r="P35" s="6"/>
      <c r="Q35" s="7"/>
      <c r="R35" s="11"/>
      <c r="S35" s="13"/>
      <c r="T35" s="11"/>
      <c r="U35" s="13"/>
      <c r="V35" s="1"/>
      <c r="W35" s="1"/>
      <c r="X35" s="53" t="str">
        <f>IF(Q31="","",IF(Q31=Listas!CO4,20%,IF(Q31=Listas!CO5,40%,IF(Q31=Listas!CO6,60%,IF(Q31=Listas!CO7,80%,IF(Q31=Listas!CO8,100%,))))))</f>
        <v/>
      </c>
      <c r="Y35" s="1"/>
      <c r="Z35" s="1"/>
      <c r="AA35" s="1"/>
      <c r="AB35" s="1"/>
    </row>
    <row r="36" ht="3.75" customHeight="1">
      <c r="A36" s="1"/>
      <c r="B36" s="1"/>
      <c r="V36" s="1"/>
      <c r="W36" s="1"/>
      <c r="X36" s="1"/>
      <c r="Y36" s="1"/>
      <c r="Z36" s="1"/>
      <c r="AA36" s="1"/>
      <c r="AB36" s="1"/>
    </row>
    <row r="37">
      <c r="A37" s="1"/>
      <c r="B37" s="21" t="s">
        <v>46</v>
      </c>
      <c r="C37" s="6"/>
      <c r="D37" s="6"/>
      <c r="E37" s="6"/>
      <c r="F37" s="6"/>
      <c r="G37" s="6"/>
      <c r="H37" s="6"/>
      <c r="I37" s="6"/>
      <c r="J37" s="6"/>
      <c r="K37" s="6"/>
      <c r="L37" s="6"/>
      <c r="M37" s="6"/>
      <c r="N37" s="6"/>
      <c r="O37" s="6"/>
      <c r="P37" s="6"/>
      <c r="Q37" s="6"/>
      <c r="R37" s="6"/>
      <c r="S37" s="6"/>
      <c r="T37" s="6"/>
      <c r="U37" s="7"/>
      <c r="V37" s="1"/>
      <c r="W37" s="1"/>
      <c r="X37" s="1"/>
      <c r="Y37" s="1"/>
      <c r="Z37" s="1"/>
      <c r="AA37" s="1"/>
      <c r="AB37" s="1"/>
    </row>
    <row r="38">
      <c r="A38" s="1"/>
      <c r="B38" s="54" t="s">
        <v>32</v>
      </c>
      <c r="C38" s="7"/>
      <c r="D38" s="54" t="s">
        <v>47</v>
      </c>
      <c r="E38" s="6"/>
      <c r="F38" s="6"/>
      <c r="G38" s="6"/>
      <c r="H38" s="6"/>
      <c r="I38" s="6"/>
      <c r="J38" s="6"/>
      <c r="K38" s="6"/>
      <c r="L38" s="7"/>
      <c r="M38" s="54" t="s">
        <v>48</v>
      </c>
      <c r="N38" s="6"/>
      <c r="O38" s="6"/>
      <c r="P38" s="6"/>
      <c r="Q38" s="6"/>
      <c r="R38" s="6"/>
      <c r="S38" s="6"/>
      <c r="T38" s="6"/>
      <c r="U38" s="7"/>
      <c r="V38" s="1"/>
      <c r="W38" s="1"/>
      <c r="X38" s="1"/>
      <c r="Y38" s="1"/>
      <c r="Z38" s="1"/>
      <c r="AA38" s="1"/>
      <c r="AB38" s="1"/>
    </row>
    <row r="39" ht="17.25" customHeight="1">
      <c r="A39" s="1"/>
      <c r="B39" s="22" t="s">
        <v>49</v>
      </c>
      <c r="C39" s="7"/>
      <c r="D39" s="22" t="s">
        <v>50</v>
      </c>
      <c r="E39" s="6"/>
      <c r="F39" s="6"/>
      <c r="G39" s="6"/>
      <c r="H39" s="6"/>
      <c r="I39" s="6"/>
      <c r="J39" s="6"/>
      <c r="K39" s="7"/>
      <c r="L39" s="55"/>
      <c r="M39" s="22" t="s">
        <v>51</v>
      </c>
      <c r="N39" s="6"/>
      <c r="O39" s="6"/>
      <c r="P39" s="6"/>
      <c r="Q39" s="6"/>
      <c r="R39" s="6"/>
      <c r="S39" s="6"/>
      <c r="T39" s="7"/>
      <c r="U39" s="55"/>
      <c r="V39" s="1"/>
      <c r="W39" s="1"/>
      <c r="X39" s="1"/>
      <c r="Y39" s="1"/>
      <c r="Z39" s="1"/>
      <c r="AA39" s="1"/>
      <c r="AB39" s="1"/>
    </row>
    <row r="40" ht="23.25" customHeight="1">
      <c r="A40" s="1"/>
      <c r="B40" s="22" t="s">
        <v>52</v>
      </c>
      <c r="C40" s="7"/>
      <c r="D40" s="22" t="s">
        <v>53</v>
      </c>
      <c r="E40" s="6"/>
      <c r="F40" s="6"/>
      <c r="G40" s="6"/>
      <c r="H40" s="6"/>
      <c r="I40" s="6"/>
      <c r="J40" s="6"/>
      <c r="K40" s="7"/>
      <c r="L40" s="55"/>
      <c r="M40" s="22" t="s">
        <v>54</v>
      </c>
      <c r="N40" s="6"/>
      <c r="O40" s="6"/>
      <c r="P40" s="6"/>
      <c r="Q40" s="6"/>
      <c r="R40" s="6"/>
      <c r="S40" s="6"/>
      <c r="T40" s="7"/>
      <c r="U40" s="55"/>
      <c r="V40" s="1"/>
      <c r="W40" s="1"/>
      <c r="X40" s="1"/>
      <c r="Y40" s="1"/>
      <c r="Z40" s="1"/>
      <c r="AA40" s="1"/>
      <c r="AB40" s="1"/>
    </row>
    <row r="41" ht="23.25" customHeight="1">
      <c r="A41" s="1"/>
      <c r="B41" s="22" t="s">
        <v>55</v>
      </c>
      <c r="C41" s="7"/>
      <c r="D41" s="22" t="s">
        <v>56</v>
      </c>
      <c r="E41" s="6"/>
      <c r="F41" s="6"/>
      <c r="G41" s="6"/>
      <c r="H41" s="6"/>
      <c r="I41" s="6"/>
      <c r="J41" s="6"/>
      <c r="K41" s="7"/>
      <c r="L41" s="55"/>
      <c r="M41" s="22" t="s">
        <v>57</v>
      </c>
      <c r="N41" s="6"/>
      <c r="O41" s="6"/>
      <c r="P41" s="6"/>
      <c r="Q41" s="6"/>
      <c r="R41" s="6"/>
      <c r="S41" s="6"/>
      <c r="T41" s="7"/>
      <c r="U41" s="55"/>
      <c r="V41" s="1"/>
      <c r="W41" s="1"/>
      <c r="X41" s="1"/>
      <c r="Y41" s="1"/>
      <c r="Z41" s="1"/>
      <c r="AA41" s="1"/>
      <c r="AB41" s="1"/>
    </row>
    <row r="42" ht="23.25" customHeight="1">
      <c r="A42" s="1"/>
      <c r="B42" s="22" t="s">
        <v>58</v>
      </c>
      <c r="C42" s="7"/>
      <c r="D42" s="22" t="s">
        <v>59</v>
      </c>
      <c r="E42" s="6"/>
      <c r="F42" s="6"/>
      <c r="G42" s="6"/>
      <c r="H42" s="6"/>
      <c r="I42" s="6"/>
      <c r="J42" s="6"/>
      <c r="K42" s="7"/>
      <c r="L42" s="55"/>
      <c r="M42" s="22" t="s">
        <v>60</v>
      </c>
      <c r="N42" s="6"/>
      <c r="O42" s="6"/>
      <c r="P42" s="6"/>
      <c r="Q42" s="6"/>
      <c r="R42" s="6"/>
      <c r="S42" s="6"/>
      <c r="T42" s="7"/>
      <c r="U42" s="55"/>
      <c r="V42" s="1"/>
      <c r="W42" s="1"/>
      <c r="X42" s="1"/>
      <c r="Y42" s="1"/>
      <c r="Z42" s="1"/>
      <c r="AA42" s="1"/>
      <c r="AB42" s="1"/>
    </row>
    <row r="43" ht="23.25" customHeight="1">
      <c r="A43" s="1"/>
      <c r="B43" s="22" t="s">
        <v>61</v>
      </c>
      <c r="C43" s="7"/>
      <c r="D43" s="22" t="s">
        <v>62</v>
      </c>
      <c r="E43" s="6"/>
      <c r="F43" s="6"/>
      <c r="G43" s="6"/>
      <c r="H43" s="6"/>
      <c r="I43" s="6"/>
      <c r="J43" s="6"/>
      <c r="K43" s="7"/>
      <c r="L43" s="55"/>
      <c r="M43" s="22" t="s">
        <v>63</v>
      </c>
      <c r="N43" s="6"/>
      <c r="O43" s="6"/>
      <c r="P43" s="6"/>
      <c r="Q43" s="6"/>
      <c r="R43" s="6"/>
      <c r="S43" s="6"/>
      <c r="T43" s="7"/>
      <c r="U43" s="55"/>
      <c r="V43" s="1"/>
      <c r="W43" s="1"/>
      <c r="X43" s="1"/>
      <c r="Y43" s="1"/>
      <c r="Z43" s="1"/>
      <c r="AA43" s="1"/>
      <c r="AB43" s="1"/>
    </row>
    <row r="44" hidden="1">
      <c r="A44" s="1"/>
      <c r="B44" s="25" t="s">
        <v>64</v>
      </c>
      <c r="D44" s="56" t="str">
        <f>IF(AND(L39="",L40="",L41="",L42="",L43="",U39="",U40="",U41="",U42="",U43=""),"Sin clasificar",IF(OR(L43="X",U43="X"),Listas!CP8,IF(OR(L42="X",U42="X"),Listas!CP7,IF(OR(L41="X",U41="X"),Listas!CP6,IF(OR(L40="X",U40="X"),Listas!CP5,IF(OR(L39="X",U39="X"),Listas!CP4,))))))</f>
        <v>Sin clasificar</v>
      </c>
      <c r="M44" s="25" t="s">
        <v>65</v>
      </c>
      <c r="O44" s="57" t="str">
        <f>IF(D44="Sin clasificar","",IF(D44=Listas!CP4,20%,IF(D44=Listas!CP5,40%,IF(D44=Listas!CP6,60%,IF(D44=Listas!CP7,80%,IF(D44=Listas!CP8,100%,))))))</f>
        <v/>
      </c>
      <c r="V44" s="1"/>
      <c r="W44" s="1"/>
      <c r="X44" s="1"/>
      <c r="Y44" s="1"/>
      <c r="Z44" s="1"/>
      <c r="AA44" s="1"/>
      <c r="AB44" s="1"/>
    </row>
    <row r="45" ht="3.75" customHeight="1">
      <c r="A45" s="1"/>
      <c r="B45" s="1"/>
      <c r="V45" s="1"/>
      <c r="W45" s="1"/>
      <c r="X45" s="1"/>
      <c r="Y45" s="1"/>
      <c r="Z45" s="1"/>
      <c r="AA45" s="1"/>
      <c r="AB45" s="1"/>
    </row>
    <row r="46">
      <c r="A46" s="1"/>
      <c r="B46" s="21" t="s">
        <v>66</v>
      </c>
      <c r="C46" s="6"/>
      <c r="D46" s="6"/>
      <c r="E46" s="6"/>
      <c r="F46" s="6"/>
      <c r="G46" s="6"/>
      <c r="H46" s="6"/>
      <c r="I46" s="6"/>
      <c r="J46" s="6"/>
      <c r="K46" s="6"/>
      <c r="L46" s="6"/>
      <c r="M46" s="6"/>
      <c r="N46" s="6"/>
      <c r="O46" s="6"/>
      <c r="P46" s="6"/>
      <c r="Q46" s="6"/>
      <c r="R46" s="6"/>
      <c r="S46" s="6"/>
      <c r="T46" s="6"/>
      <c r="U46" s="7"/>
      <c r="V46" s="1"/>
      <c r="W46" s="1"/>
      <c r="X46" s="1"/>
      <c r="Y46" s="1"/>
      <c r="Z46" s="1"/>
      <c r="AA46" s="1"/>
      <c r="AB46" s="1"/>
    </row>
    <row r="47">
      <c r="A47" s="1"/>
      <c r="B47" s="54" t="s">
        <v>67</v>
      </c>
      <c r="C47" s="6"/>
      <c r="D47" s="6"/>
      <c r="E47" s="6"/>
      <c r="F47" s="6"/>
      <c r="G47" s="6"/>
      <c r="H47" s="7"/>
      <c r="I47" s="54" t="s">
        <v>68</v>
      </c>
      <c r="J47" s="7"/>
      <c r="K47" s="54" t="s">
        <v>67</v>
      </c>
      <c r="L47" s="6"/>
      <c r="M47" s="6"/>
      <c r="N47" s="6"/>
      <c r="O47" s="6"/>
      <c r="P47" s="6"/>
      <c r="Q47" s="7"/>
      <c r="R47" s="54" t="s">
        <v>68</v>
      </c>
      <c r="S47" s="7"/>
      <c r="T47" s="58"/>
      <c r="U47" s="7"/>
      <c r="V47" s="1"/>
      <c r="W47" s="1"/>
      <c r="X47" s="1"/>
      <c r="Y47" s="1"/>
      <c r="Z47" s="1"/>
      <c r="AA47" s="1"/>
      <c r="AB47" s="1"/>
    </row>
    <row r="48">
      <c r="A48" s="1"/>
      <c r="B48" s="40">
        <v>1.0</v>
      </c>
      <c r="C48" s="59" t="s">
        <v>69</v>
      </c>
      <c r="D48" s="60"/>
      <c r="E48" s="60"/>
      <c r="F48" s="60"/>
      <c r="G48" s="60"/>
      <c r="H48" s="61"/>
      <c r="I48" s="62"/>
      <c r="J48" s="7"/>
      <c r="K48" s="40">
        <v>11.0</v>
      </c>
      <c r="L48" s="59" t="s">
        <v>70</v>
      </c>
      <c r="M48" s="60"/>
      <c r="N48" s="60"/>
      <c r="O48" s="60"/>
      <c r="P48" s="60"/>
      <c r="Q48" s="61"/>
      <c r="R48" s="62"/>
      <c r="S48" s="7"/>
      <c r="T48" s="2" t="str">
        <f>IF(R57=0,"Sin clasificar",IF(AND(R57&gt;=1,R57&lt;=5),Listas!CP6,IF(AND(R57&gt;=6,R57&lt;=12),Listas!CP7,IF(R57&gt;=12,Listas!CP8,""))))</f>
        <v>Sin clasificar</v>
      </c>
      <c r="U48" s="4"/>
      <c r="V48" s="1"/>
      <c r="W48" s="1"/>
      <c r="X48" s="1"/>
      <c r="Y48" s="1"/>
      <c r="Z48" s="1"/>
      <c r="AA48" s="1"/>
      <c r="AB48" s="1"/>
    </row>
    <row r="49">
      <c r="A49" s="1"/>
      <c r="B49" s="40">
        <v>2.0</v>
      </c>
      <c r="C49" s="59" t="s">
        <v>71</v>
      </c>
      <c r="D49" s="60"/>
      <c r="E49" s="60"/>
      <c r="F49" s="60"/>
      <c r="G49" s="60"/>
      <c r="H49" s="61"/>
      <c r="I49" s="62"/>
      <c r="J49" s="7"/>
      <c r="K49" s="40">
        <v>12.0</v>
      </c>
      <c r="L49" s="59" t="s">
        <v>72</v>
      </c>
      <c r="M49" s="60"/>
      <c r="N49" s="60"/>
      <c r="O49" s="60"/>
      <c r="P49" s="60"/>
      <c r="Q49" s="61"/>
      <c r="R49" s="62"/>
      <c r="S49" s="7"/>
      <c r="T49" s="8"/>
      <c r="U49" s="9"/>
      <c r="V49" s="1"/>
      <c r="W49" s="1"/>
      <c r="X49" s="1"/>
      <c r="Y49" s="1"/>
      <c r="Z49" s="1"/>
      <c r="AA49" s="1"/>
      <c r="AB49" s="1"/>
    </row>
    <row r="50">
      <c r="A50" s="1"/>
      <c r="B50" s="40">
        <v>3.0</v>
      </c>
      <c r="C50" s="59" t="s">
        <v>73</v>
      </c>
      <c r="D50" s="60"/>
      <c r="E50" s="60"/>
      <c r="F50" s="60"/>
      <c r="G50" s="60"/>
      <c r="H50" s="61"/>
      <c r="I50" s="62"/>
      <c r="J50" s="7"/>
      <c r="K50" s="40">
        <v>13.0</v>
      </c>
      <c r="L50" s="59" t="s">
        <v>74</v>
      </c>
      <c r="M50" s="60"/>
      <c r="N50" s="60"/>
      <c r="O50" s="60"/>
      <c r="P50" s="60"/>
      <c r="Q50" s="61"/>
      <c r="R50" s="62"/>
      <c r="S50" s="7"/>
      <c r="T50" s="8"/>
      <c r="U50" s="9"/>
      <c r="V50" s="1"/>
      <c r="W50" s="1"/>
      <c r="X50" s="1"/>
      <c r="Y50" s="1"/>
      <c r="Z50" s="1"/>
      <c r="AA50" s="1"/>
      <c r="AB50" s="1"/>
    </row>
    <row r="51">
      <c r="A51" s="1"/>
      <c r="B51" s="40">
        <v>4.0</v>
      </c>
      <c r="C51" s="59" t="s">
        <v>75</v>
      </c>
      <c r="D51" s="60"/>
      <c r="E51" s="60"/>
      <c r="F51" s="60"/>
      <c r="G51" s="60"/>
      <c r="H51" s="61"/>
      <c r="I51" s="62"/>
      <c r="J51" s="7"/>
      <c r="K51" s="40">
        <v>14.0</v>
      </c>
      <c r="L51" s="59" t="s">
        <v>76</v>
      </c>
      <c r="M51" s="60"/>
      <c r="N51" s="60"/>
      <c r="O51" s="60"/>
      <c r="P51" s="60"/>
      <c r="Q51" s="61"/>
      <c r="R51" s="62"/>
      <c r="S51" s="7"/>
      <c r="T51" s="8"/>
      <c r="U51" s="9"/>
      <c r="V51" s="1"/>
      <c r="W51" s="1"/>
      <c r="X51" s="1"/>
      <c r="Y51" s="1"/>
      <c r="Z51" s="1"/>
      <c r="AA51" s="1"/>
      <c r="AB51" s="1"/>
    </row>
    <row r="52">
      <c r="A52" s="1"/>
      <c r="B52" s="40">
        <v>5.0</v>
      </c>
      <c r="C52" s="59" t="s">
        <v>77</v>
      </c>
      <c r="D52" s="60"/>
      <c r="E52" s="60"/>
      <c r="F52" s="60"/>
      <c r="G52" s="60"/>
      <c r="H52" s="61"/>
      <c r="I52" s="62"/>
      <c r="J52" s="7"/>
      <c r="K52" s="40">
        <v>15.0</v>
      </c>
      <c r="L52" s="59" t="s">
        <v>78</v>
      </c>
      <c r="M52" s="60"/>
      <c r="N52" s="60"/>
      <c r="O52" s="60"/>
      <c r="P52" s="60"/>
      <c r="Q52" s="61"/>
      <c r="R52" s="62"/>
      <c r="S52" s="7"/>
      <c r="T52" s="8"/>
      <c r="U52" s="9"/>
      <c r="V52" s="1"/>
      <c r="W52" s="1"/>
      <c r="X52" s="1"/>
      <c r="Y52" s="1"/>
      <c r="Z52" s="1"/>
      <c r="AA52" s="1"/>
      <c r="AB52" s="1"/>
    </row>
    <row r="53">
      <c r="A53" s="1"/>
      <c r="B53" s="40">
        <v>6.0</v>
      </c>
      <c r="C53" s="59" t="s">
        <v>79</v>
      </c>
      <c r="D53" s="60"/>
      <c r="E53" s="60"/>
      <c r="F53" s="60"/>
      <c r="G53" s="60"/>
      <c r="H53" s="61"/>
      <c r="I53" s="62"/>
      <c r="J53" s="7"/>
      <c r="K53" s="63">
        <v>16.0</v>
      </c>
      <c r="L53" s="59" t="s">
        <v>80</v>
      </c>
      <c r="M53" s="60"/>
      <c r="N53" s="60"/>
      <c r="O53" s="60"/>
      <c r="P53" s="60"/>
      <c r="Q53" s="61"/>
      <c r="R53" s="62"/>
      <c r="S53" s="7"/>
      <c r="T53" s="8"/>
      <c r="U53" s="9"/>
      <c r="V53" s="1"/>
      <c r="W53" s="1"/>
      <c r="X53" s="1"/>
      <c r="Y53" s="1"/>
      <c r="Z53" s="1"/>
      <c r="AA53" s="1"/>
      <c r="AB53" s="1"/>
    </row>
    <row r="54">
      <c r="A54" s="1"/>
      <c r="B54" s="40">
        <v>7.0</v>
      </c>
      <c r="C54" s="59" t="s">
        <v>81</v>
      </c>
      <c r="D54" s="60"/>
      <c r="E54" s="60"/>
      <c r="F54" s="60"/>
      <c r="G54" s="60"/>
      <c r="H54" s="61"/>
      <c r="I54" s="62"/>
      <c r="J54" s="7"/>
      <c r="K54" s="40">
        <v>17.0</v>
      </c>
      <c r="L54" s="59" t="s">
        <v>82</v>
      </c>
      <c r="M54" s="60"/>
      <c r="N54" s="60"/>
      <c r="O54" s="60"/>
      <c r="P54" s="60"/>
      <c r="Q54" s="61"/>
      <c r="R54" s="62"/>
      <c r="S54" s="7"/>
      <c r="T54" s="8"/>
      <c r="U54" s="9"/>
      <c r="V54" s="1"/>
      <c r="W54" s="1"/>
      <c r="X54" s="1"/>
      <c r="Y54" s="1"/>
      <c r="Z54" s="1"/>
      <c r="AA54" s="1"/>
      <c r="AB54" s="1"/>
    </row>
    <row r="55">
      <c r="A55" s="1"/>
      <c r="B55" s="40">
        <v>8.0</v>
      </c>
      <c r="C55" s="59" t="s">
        <v>83</v>
      </c>
      <c r="D55" s="60"/>
      <c r="E55" s="60"/>
      <c r="F55" s="60"/>
      <c r="G55" s="60"/>
      <c r="H55" s="61"/>
      <c r="I55" s="62"/>
      <c r="J55" s="7"/>
      <c r="K55" s="40">
        <v>18.0</v>
      </c>
      <c r="L55" s="59" t="s">
        <v>84</v>
      </c>
      <c r="M55" s="60"/>
      <c r="N55" s="60"/>
      <c r="O55" s="60"/>
      <c r="P55" s="60"/>
      <c r="Q55" s="61"/>
      <c r="R55" s="62"/>
      <c r="S55" s="7"/>
      <c r="T55" s="8"/>
      <c r="U55" s="9"/>
      <c r="V55" s="1"/>
      <c r="W55" s="1"/>
      <c r="X55" s="1"/>
      <c r="Y55" s="1"/>
      <c r="Z55" s="1"/>
      <c r="AA55" s="1"/>
      <c r="AB55" s="1"/>
    </row>
    <row r="56">
      <c r="A56" s="1"/>
      <c r="B56" s="40">
        <v>9.0</v>
      </c>
      <c r="C56" s="59" t="s">
        <v>85</v>
      </c>
      <c r="D56" s="60"/>
      <c r="E56" s="60"/>
      <c r="F56" s="60"/>
      <c r="G56" s="60"/>
      <c r="H56" s="61"/>
      <c r="I56" s="62"/>
      <c r="J56" s="7"/>
      <c r="K56" s="40">
        <v>19.0</v>
      </c>
      <c r="L56" s="59" t="s">
        <v>86</v>
      </c>
      <c r="M56" s="60"/>
      <c r="N56" s="60"/>
      <c r="O56" s="60"/>
      <c r="P56" s="60"/>
      <c r="Q56" s="61"/>
      <c r="R56" s="62"/>
      <c r="S56" s="7"/>
      <c r="T56" s="8"/>
      <c r="U56" s="9"/>
      <c r="V56" s="1"/>
      <c r="W56" s="1"/>
      <c r="X56" s="1"/>
      <c r="Y56" s="1"/>
      <c r="Z56" s="1"/>
      <c r="AA56" s="1"/>
      <c r="AB56" s="1"/>
    </row>
    <row r="57">
      <c r="A57" s="1"/>
      <c r="B57" s="40">
        <v>10.0</v>
      </c>
      <c r="C57" s="59" t="s">
        <v>87</v>
      </c>
      <c r="D57" s="60"/>
      <c r="E57" s="60"/>
      <c r="F57" s="60"/>
      <c r="G57" s="60"/>
      <c r="H57" s="61"/>
      <c r="I57" s="62"/>
      <c r="J57" s="7"/>
      <c r="K57" s="64" t="str">
        <f>IF(T48=X67,"",IF(T48=Listas!CP6,60%,IF(T48=Listas!CP7,80%,IF(T48=Listas!CP6,100%,))))</f>
        <v/>
      </c>
      <c r="L57" s="6"/>
      <c r="M57" s="6"/>
      <c r="N57" s="6"/>
      <c r="O57" s="6"/>
      <c r="P57" s="6"/>
      <c r="Q57" s="6"/>
      <c r="R57" s="65">
        <f>IF(R53="Si",((COUNTIF(I48:J57,"Si")+COUNTIF(R48:S56,"Si"))+18),(COUNTIF(I48:J57,"Si")+COUNTIF(R48:S56,"Si")))</f>
        <v>0</v>
      </c>
      <c r="S57" s="7"/>
      <c r="T57" s="11"/>
      <c r="U57" s="13"/>
      <c r="V57" s="1"/>
      <c r="W57" s="1"/>
      <c r="X57" s="1"/>
      <c r="Y57" s="1"/>
      <c r="Z57" s="1"/>
      <c r="AA57" s="1"/>
      <c r="AB57" s="1"/>
    </row>
    <row r="58" ht="3.75" customHeight="1">
      <c r="A58" s="1"/>
      <c r="B58" s="1"/>
      <c r="V58" s="1"/>
      <c r="W58" s="1"/>
      <c r="X58" s="1"/>
      <c r="Y58" s="1"/>
      <c r="Z58" s="1"/>
      <c r="AA58" s="1"/>
      <c r="AB58" s="1"/>
    </row>
    <row r="59">
      <c r="A59" s="1"/>
      <c r="B59" s="66" t="s">
        <v>153</v>
      </c>
      <c r="C59" s="3"/>
      <c r="D59" s="3"/>
      <c r="E59" s="3"/>
      <c r="F59" s="3"/>
      <c r="G59" s="3"/>
      <c r="H59" s="3"/>
      <c r="I59" s="3"/>
      <c r="J59" s="3"/>
      <c r="K59" s="4"/>
      <c r="L59" s="67" t="s">
        <v>89</v>
      </c>
      <c r="M59" s="7"/>
      <c r="N59" s="68" t="s">
        <v>90</v>
      </c>
      <c r="O59" s="6"/>
      <c r="P59" s="6"/>
      <c r="Q59" s="6"/>
      <c r="R59" s="6"/>
      <c r="S59" s="6"/>
      <c r="T59" s="6"/>
      <c r="U59" s="7"/>
      <c r="V59" s="1"/>
      <c r="W59" s="1"/>
      <c r="X59" s="1"/>
      <c r="Y59" s="1"/>
      <c r="Z59" s="1"/>
      <c r="AA59" s="1"/>
      <c r="AB59" s="1"/>
    </row>
    <row r="60">
      <c r="A60" s="1"/>
      <c r="B60" s="8"/>
      <c r="K60" s="9"/>
      <c r="L60" s="69" t="s">
        <v>91</v>
      </c>
      <c r="M60" s="7"/>
      <c r="N60" s="68" t="s">
        <v>92</v>
      </c>
      <c r="O60" s="6"/>
      <c r="P60" s="6"/>
      <c r="Q60" s="6"/>
      <c r="R60" s="6"/>
      <c r="S60" s="6"/>
      <c r="T60" s="6"/>
      <c r="U60" s="7"/>
      <c r="V60" s="1"/>
      <c r="W60" s="1"/>
      <c r="X60" s="1"/>
      <c r="Y60" s="1"/>
      <c r="Z60" s="1"/>
      <c r="AA60" s="1"/>
      <c r="AB60" s="1"/>
    </row>
    <row r="61">
      <c r="A61" s="1"/>
      <c r="B61" s="11"/>
      <c r="C61" s="12"/>
      <c r="D61" s="12"/>
      <c r="E61" s="12"/>
      <c r="F61" s="12"/>
      <c r="G61" s="12"/>
      <c r="H61" s="12"/>
      <c r="I61" s="12"/>
      <c r="J61" s="12"/>
      <c r="K61" s="13"/>
      <c r="L61" s="70" t="s">
        <v>93</v>
      </c>
      <c r="M61" s="7"/>
      <c r="N61" s="68" t="s">
        <v>94</v>
      </c>
      <c r="O61" s="6"/>
      <c r="P61" s="6"/>
      <c r="Q61" s="6"/>
      <c r="R61" s="6"/>
      <c r="S61" s="6"/>
      <c r="T61" s="6"/>
      <c r="U61" s="7"/>
      <c r="V61" s="1"/>
      <c r="W61" s="1"/>
      <c r="X61" s="1"/>
      <c r="Y61" s="1"/>
      <c r="Z61" s="1"/>
      <c r="AA61" s="1"/>
      <c r="AB61" s="1"/>
    </row>
    <row r="62" ht="3.75" customHeight="1">
      <c r="A62" s="1"/>
      <c r="B62" s="1"/>
      <c r="V62" s="1"/>
      <c r="W62" s="1"/>
      <c r="X62" s="1"/>
      <c r="Y62" s="1"/>
      <c r="Z62" s="1"/>
      <c r="AA62" s="1"/>
      <c r="AB62" s="1"/>
    </row>
    <row r="63" ht="17.25" customHeight="1">
      <c r="A63" s="1"/>
      <c r="B63" s="21" t="s">
        <v>95</v>
      </c>
      <c r="C63" s="6"/>
      <c r="D63" s="6"/>
      <c r="E63" s="6"/>
      <c r="F63" s="6"/>
      <c r="G63" s="6"/>
      <c r="H63" s="6"/>
      <c r="I63" s="6"/>
      <c r="J63" s="6"/>
      <c r="K63" s="6"/>
      <c r="L63" s="6"/>
      <c r="M63" s="6"/>
      <c r="N63" s="6"/>
      <c r="O63" s="6"/>
      <c r="P63" s="6"/>
      <c r="Q63" s="6"/>
      <c r="R63" s="6"/>
      <c r="S63" s="6"/>
      <c r="T63" s="6"/>
      <c r="U63" s="7"/>
      <c r="V63" s="1"/>
      <c r="W63" s="1"/>
      <c r="X63" s="1"/>
      <c r="Y63" s="1"/>
      <c r="Z63" s="1"/>
      <c r="AA63" s="1"/>
      <c r="AB63" s="1"/>
    </row>
    <row r="64" ht="3.75" customHeight="1">
      <c r="A64" s="1"/>
      <c r="B64" s="1"/>
      <c r="V64" s="1"/>
      <c r="W64" s="1"/>
      <c r="X64" s="1"/>
      <c r="Y64" s="1"/>
      <c r="Z64" s="1"/>
      <c r="AA64" s="1"/>
      <c r="AB64" s="1"/>
    </row>
    <row r="65">
      <c r="A65" s="1"/>
      <c r="B65" s="21" t="s">
        <v>96</v>
      </c>
      <c r="C65" s="6"/>
      <c r="D65" s="6"/>
      <c r="E65" s="6"/>
      <c r="F65" s="6"/>
      <c r="G65" s="6"/>
      <c r="H65" s="6"/>
      <c r="I65" s="6"/>
      <c r="J65" s="6"/>
      <c r="K65" s="6"/>
      <c r="L65" s="6"/>
      <c r="M65" s="6"/>
      <c r="N65" s="6"/>
      <c r="O65" s="6"/>
      <c r="P65" s="6"/>
      <c r="Q65" s="6"/>
      <c r="R65" s="6"/>
      <c r="S65" s="6"/>
      <c r="T65" s="6"/>
      <c r="U65" s="7"/>
      <c r="V65" s="1"/>
      <c r="W65" s="1"/>
      <c r="X65" s="1"/>
      <c r="Y65" s="1"/>
      <c r="Z65" s="1"/>
      <c r="AA65" s="1"/>
      <c r="AB65" s="1"/>
    </row>
    <row r="66">
      <c r="A66" s="1"/>
      <c r="B66" s="71" t="s">
        <v>35</v>
      </c>
      <c r="C66" s="72" t="s">
        <v>44</v>
      </c>
      <c r="D66" s="54" t="s">
        <v>42</v>
      </c>
      <c r="E66" s="7"/>
      <c r="F66" s="54" t="s">
        <v>42</v>
      </c>
      <c r="G66" s="7"/>
      <c r="H66" s="54" t="s">
        <v>97</v>
      </c>
      <c r="I66" s="7"/>
      <c r="J66" s="54" t="s">
        <v>97</v>
      </c>
      <c r="K66" s="7"/>
      <c r="L66" s="54" t="s">
        <v>97</v>
      </c>
      <c r="M66" s="7"/>
      <c r="N66" s="1"/>
      <c r="O66" s="47" t="s">
        <v>35</v>
      </c>
      <c r="P66" s="7"/>
      <c r="Q66" s="47" t="s">
        <v>98</v>
      </c>
      <c r="R66" s="7"/>
      <c r="S66" s="47" t="s">
        <v>99</v>
      </c>
      <c r="T66" s="6"/>
      <c r="U66" s="7"/>
      <c r="V66" s="1"/>
      <c r="W66" s="1"/>
      <c r="X66" s="1"/>
      <c r="Y66" s="1"/>
      <c r="Z66" s="1"/>
      <c r="AA66" s="1"/>
      <c r="AB66" s="1"/>
    </row>
    <row r="67">
      <c r="A67" s="1"/>
      <c r="B67" s="73"/>
      <c r="C67" s="72" t="s">
        <v>42</v>
      </c>
      <c r="D67" s="54" t="s">
        <v>40</v>
      </c>
      <c r="E67" s="7"/>
      <c r="F67" s="54" t="s">
        <v>42</v>
      </c>
      <c r="G67" s="7"/>
      <c r="H67" s="54" t="s">
        <v>42</v>
      </c>
      <c r="I67" s="7"/>
      <c r="J67" s="54" t="s">
        <v>97</v>
      </c>
      <c r="K67" s="7"/>
      <c r="L67" s="54" t="s">
        <v>97</v>
      </c>
      <c r="M67" s="7"/>
      <c r="O67" s="2" t="str">
        <f>IF(T31="",X67,R31)</f>
        <v>Sin clasificar</v>
      </c>
      <c r="P67" s="4"/>
      <c r="Q67" s="2" t="str">
        <f>IF(O15=Listas!CM5,T48,D44)</f>
        <v>Sin clasificar</v>
      </c>
      <c r="R67" s="4"/>
      <c r="S67" s="2" t="str">
        <f>IF(O67="Sin clasificar","",VLOOKUP(CONCATENATE(O67,Q67),Listas!$CQ$4:$CR$29,2,FALSE))</f>
        <v/>
      </c>
      <c r="T67" s="3"/>
      <c r="U67" s="4"/>
      <c r="V67" s="1"/>
      <c r="W67" s="1"/>
      <c r="X67" s="74" t="s">
        <v>100</v>
      </c>
      <c r="Y67" s="74" t="s">
        <v>101</v>
      </c>
      <c r="Z67" s="74" t="s">
        <v>102</v>
      </c>
      <c r="AA67" s="1"/>
      <c r="AB67" s="1"/>
    </row>
    <row r="68">
      <c r="A68" s="1"/>
      <c r="B68" s="73"/>
      <c r="C68" s="72" t="s">
        <v>40</v>
      </c>
      <c r="D68" s="54" t="s">
        <v>38</v>
      </c>
      <c r="E68" s="7"/>
      <c r="F68" s="54" t="s">
        <v>40</v>
      </c>
      <c r="G68" s="7"/>
      <c r="H68" s="54" t="s">
        <v>42</v>
      </c>
      <c r="I68" s="7"/>
      <c r="J68" s="54" t="s">
        <v>97</v>
      </c>
      <c r="K68" s="7"/>
      <c r="L68" s="54" t="s">
        <v>97</v>
      </c>
      <c r="M68" s="7"/>
      <c r="O68" s="8"/>
      <c r="P68" s="9"/>
      <c r="Q68" s="8"/>
      <c r="R68" s="9"/>
      <c r="S68" s="8"/>
      <c r="U68" s="9"/>
      <c r="V68" s="1"/>
      <c r="W68" s="1"/>
      <c r="X68" s="75"/>
      <c r="Y68" s="76" t="str">
        <f>T31</f>
        <v/>
      </c>
      <c r="Z68" s="76" t="str">
        <f>IF(O15=Listas!CM4,K57,O44)</f>
        <v/>
      </c>
      <c r="AA68" s="1"/>
      <c r="AB68" s="1"/>
    </row>
    <row r="69">
      <c r="A69" s="1"/>
      <c r="B69" s="73"/>
      <c r="C69" s="72" t="s">
        <v>38</v>
      </c>
      <c r="D69" s="54" t="s">
        <v>38</v>
      </c>
      <c r="E69" s="7"/>
      <c r="F69" s="54" t="s">
        <v>38</v>
      </c>
      <c r="G69" s="7"/>
      <c r="H69" s="54" t="s">
        <v>40</v>
      </c>
      <c r="I69" s="7"/>
      <c r="J69" s="54" t="s">
        <v>42</v>
      </c>
      <c r="K69" s="7"/>
      <c r="L69" s="54" t="s">
        <v>97</v>
      </c>
      <c r="M69" s="7"/>
      <c r="O69" s="8"/>
      <c r="P69" s="9"/>
      <c r="Q69" s="8"/>
      <c r="R69" s="9"/>
      <c r="S69" s="8"/>
      <c r="U69" s="9"/>
      <c r="V69" s="1"/>
      <c r="W69" s="1"/>
      <c r="X69" s="1"/>
      <c r="Y69" s="1"/>
      <c r="Z69" s="1"/>
      <c r="AA69" s="1"/>
      <c r="AB69" s="1"/>
    </row>
    <row r="70">
      <c r="A70" s="1"/>
      <c r="B70" s="38"/>
      <c r="C70" s="72" t="s">
        <v>36</v>
      </c>
      <c r="D70" s="54" t="s">
        <v>38</v>
      </c>
      <c r="E70" s="7"/>
      <c r="F70" s="54" t="s">
        <v>38</v>
      </c>
      <c r="G70" s="7"/>
      <c r="H70" s="54" t="s">
        <v>40</v>
      </c>
      <c r="I70" s="7"/>
      <c r="J70" s="54" t="s">
        <v>42</v>
      </c>
      <c r="K70" s="7"/>
      <c r="L70" s="54" t="s">
        <v>97</v>
      </c>
      <c r="M70" s="7"/>
      <c r="O70" s="8"/>
      <c r="P70" s="9"/>
      <c r="Q70" s="8"/>
      <c r="R70" s="9"/>
      <c r="S70" s="8"/>
      <c r="U70" s="9"/>
      <c r="V70" s="1"/>
      <c r="W70" s="1"/>
      <c r="X70" s="1"/>
      <c r="Y70" s="1"/>
      <c r="Z70" s="1"/>
      <c r="AA70" s="1"/>
      <c r="AB70" s="1"/>
    </row>
    <row r="71">
      <c r="A71" s="1"/>
      <c r="B71" s="77" t="s">
        <v>98</v>
      </c>
      <c r="C71" s="7"/>
      <c r="D71" s="54" t="s">
        <v>103</v>
      </c>
      <c r="E71" s="7"/>
      <c r="F71" s="54" t="s">
        <v>104</v>
      </c>
      <c r="G71" s="7"/>
      <c r="H71" s="54" t="s">
        <v>89</v>
      </c>
      <c r="I71" s="7"/>
      <c r="J71" s="54" t="s">
        <v>91</v>
      </c>
      <c r="K71" s="7"/>
      <c r="L71" s="54" t="s">
        <v>93</v>
      </c>
      <c r="M71" s="7"/>
      <c r="O71" s="11"/>
      <c r="P71" s="13"/>
      <c r="Q71" s="11"/>
      <c r="R71" s="13"/>
      <c r="S71" s="11"/>
      <c r="T71" s="12"/>
      <c r="U71" s="13"/>
      <c r="V71" s="1"/>
      <c r="W71" s="1"/>
      <c r="X71" s="1"/>
      <c r="Y71" s="1"/>
      <c r="Z71" s="1"/>
      <c r="AA71" s="1"/>
      <c r="AB71" s="1"/>
    </row>
    <row r="72" ht="3.75" customHeight="1">
      <c r="A72" s="1"/>
      <c r="B72" s="1"/>
      <c r="V72" s="1"/>
      <c r="W72" s="1"/>
      <c r="X72" s="1"/>
      <c r="Y72" s="1"/>
      <c r="Z72" s="1"/>
      <c r="AA72" s="1"/>
      <c r="AB72" s="1"/>
    </row>
    <row r="73">
      <c r="A73" s="1"/>
      <c r="B73" s="21" t="s">
        <v>105</v>
      </c>
      <c r="C73" s="6"/>
      <c r="D73" s="6"/>
      <c r="E73" s="6"/>
      <c r="F73" s="6"/>
      <c r="G73" s="6"/>
      <c r="H73" s="6"/>
      <c r="I73" s="6"/>
      <c r="J73" s="6"/>
      <c r="K73" s="6"/>
      <c r="L73" s="6"/>
      <c r="M73" s="6"/>
      <c r="N73" s="6"/>
      <c r="O73" s="6"/>
      <c r="P73" s="6"/>
      <c r="Q73" s="6"/>
      <c r="R73" s="6"/>
      <c r="S73" s="6"/>
      <c r="T73" s="6"/>
      <c r="U73" s="7"/>
      <c r="V73" s="1"/>
      <c r="W73" s="1"/>
      <c r="X73" s="1"/>
      <c r="Y73" s="1"/>
      <c r="Z73" s="1"/>
      <c r="AA73" s="1"/>
      <c r="AB73" s="1"/>
    </row>
    <row r="74">
      <c r="A74" s="1"/>
      <c r="B74" s="48" t="s">
        <v>106</v>
      </c>
      <c r="C74" s="6"/>
      <c r="D74" s="6"/>
      <c r="E74" s="6"/>
      <c r="F74" s="7"/>
      <c r="G74" s="48" t="s">
        <v>107</v>
      </c>
      <c r="H74" s="6"/>
      <c r="I74" s="6"/>
      <c r="J74" s="6"/>
      <c r="K74" s="7"/>
      <c r="L74" s="48" t="s">
        <v>108</v>
      </c>
      <c r="M74" s="7"/>
      <c r="N74" s="48" t="s">
        <v>109</v>
      </c>
      <c r="O74" s="7"/>
      <c r="P74" s="48" t="s">
        <v>110</v>
      </c>
      <c r="Q74" s="7"/>
      <c r="R74" s="48" t="s">
        <v>111</v>
      </c>
      <c r="S74" s="7"/>
      <c r="T74" s="48" t="s">
        <v>112</v>
      </c>
      <c r="U74" s="7"/>
      <c r="V74" s="1"/>
      <c r="W74" s="1"/>
      <c r="X74" s="74" t="s">
        <v>113</v>
      </c>
      <c r="Y74" s="74" t="s">
        <v>114</v>
      </c>
      <c r="Z74" s="74" t="s">
        <v>115</v>
      </c>
      <c r="AA74" s="74" t="s">
        <v>116</v>
      </c>
      <c r="AB74" s="74" t="s">
        <v>117</v>
      </c>
    </row>
    <row r="75">
      <c r="A75" s="1"/>
      <c r="B75" s="78" t="str">
        <f>IF(P21="","",P21)</f>
        <v/>
      </c>
      <c r="C75" s="3"/>
      <c r="D75" s="3"/>
      <c r="E75" s="3"/>
      <c r="F75" s="4"/>
      <c r="G75" s="50"/>
      <c r="H75" s="6"/>
      <c r="I75" s="6"/>
      <c r="J75" s="6"/>
      <c r="K75" s="7"/>
      <c r="L75" s="22"/>
      <c r="M75" s="7"/>
      <c r="N75" s="22"/>
      <c r="O75" s="7"/>
      <c r="P75" s="22"/>
      <c r="Q75" s="7"/>
      <c r="R75" s="22"/>
      <c r="S75" s="7"/>
      <c r="T75" s="22"/>
      <c r="U75" s="7"/>
      <c r="V75" s="1"/>
      <c r="W75" s="1"/>
      <c r="X75" s="76" t="str">
        <f>IF(L75=Listas!$CS$4,25%,IF(L75=Listas!$CS$5,15%,IF(L75=Listas!$CS$6,10%,"")))</f>
        <v/>
      </c>
      <c r="Y75" s="76" t="str">
        <f>IF(N75=Listas!$CT$4,25%,IF(N75=Listas!$CT$5,15%,""))</f>
        <v/>
      </c>
      <c r="Z75" s="76" t="str">
        <f t="shared" ref="Z75:Z79" si="3">IF(SUM(X75:Y75)=0,"",SUM(X75:Y75))</f>
        <v/>
      </c>
      <c r="AA75" s="76" t="str">
        <f>IF(OR(L75=Listas!$CS$4,L75=Listas!$CS$5),(Y68-(Y68*Z75)),Y68)</f>
        <v/>
      </c>
      <c r="AB75" s="76" t="str">
        <f>IF(L75=Listas!$CS$6,(Z68-(Z68*Z75)),Z68)</f>
        <v/>
      </c>
    </row>
    <row r="76">
      <c r="A76" s="1"/>
      <c r="B76" s="8"/>
      <c r="F76" s="9"/>
      <c r="G76" s="50"/>
      <c r="H76" s="6"/>
      <c r="I76" s="6"/>
      <c r="J76" s="6"/>
      <c r="K76" s="7"/>
      <c r="L76" s="22"/>
      <c r="M76" s="7"/>
      <c r="N76" s="22"/>
      <c r="O76" s="7"/>
      <c r="P76" s="22"/>
      <c r="Q76" s="7"/>
      <c r="R76" s="22"/>
      <c r="S76" s="7"/>
      <c r="T76" s="22"/>
      <c r="U76" s="7"/>
      <c r="V76" s="1"/>
      <c r="W76" s="1"/>
      <c r="X76" s="76" t="str">
        <f>IF(L76=Listas!$CS$4,25%,IF(L76=Listas!$CS$5,15%,IF(L76=Listas!$CS$6,10%,"")))</f>
        <v/>
      </c>
      <c r="Y76" s="76" t="str">
        <f>IF(N76=Listas!$CT$4,25%,IF(N76=Listas!$CT$5,15%,""))</f>
        <v/>
      </c>
      <c r="Z76" s="76" t="str">
        <f t="shared" si="3"/>
        <v/>
      </c>
      <c r="AA76" s="76" t="str">
        <f>IF(OR(L76=Listas!$CS$4,L76=Listas!$CS$5),(AA75-(AA75*Z76)),AA75)</f>
        <v/>
      </c>
      <c r="AB76" s="76" t="str">
        <f>IF(L76=Listas!$CS$6,(AB75-(AB75*Z76)),AB75)</f>
        <v/>
      </c>
    </row>
    <row r="77">
      <c r="A77" s="1"/>
      <c r="B77" s="8"/>
      <c r="F77" s="9"/>
      <c r="G77" s="50"/>
      <c r="H77" s="6"/>
      <c r="I77" s="6"/>
      <c r="J77" s="6"/>
      <c r="K77" s="7"/>
      <c r="L77" s="22"/>
      <c r="M77" s="7"/>
      <c r="N77" s="22"/>
      <c r="O77" s="7"/>
      <c r="P77" s="22"/>
      <c r="Q77" s="7"/>
      <c r="R77" s="22"/>
      <c r="S77" s="7"/>
      <c r="T77" s="22"/>
      <c r="U77" s="7"/>
      <c r="V77" s="1"/>
      <c r="W77" s="1"/>
      <c r="X77" s="76" t="str">
        <f>IF(L77=Listas!$CS$4,25%,IF(L77=Listas!$CS$5,15%,IF(L77=Listas!$CS$6,10%,"")))</f>
        <v/>
      </c>
      <c r="Y77" s="76" t="str">
        <f>IF(N77=Listas!$CT$4,25%,IF(N77=Listas!$CT$5,15%,""))</f>
        <v/>
      </c>
      <c r="Z77" s="76" t="str">
        <f t="shared" si="3"/>
        <v/>
      </c>
      <c r="AA77" s="76" t="str">
        <f>IF(OR(L77=Listas!$CS$4,L77=Listas!$CS$5),(AA76-(AA76*Z77)),AA76)</f>
        <v/>
      </c>
      <c r="AB77" s="76" t="str">
        <f>IF(L77=Listas!$CS$6,(AB76-(AB76*Z77)),AB76)</f>
        <v/>
      </c>
    </row>
    <row r="78">
      <c r="A78" s="1"/>
      <c r="B78" s="8"/>
      <c r="F78" s="9"/>
      <c r="G78" s="79"/>
      <c r="H78" s="6"/>
      <c r="I78" s="6"/>
      <c r="J78" s="6"/>
      <c r="K78" s="7"/>
      <c r="L78" s="22"/>
      <c r="M78" s="7"/>
      <c r="N78" s="22"/>
      <c r="O78" s="7"/>
      <c r="P78" s="22"/>
      <c r="Q78" s="7"/>
      <c r="R78" s="22"/>
      <c r="S78" s="7"/>
      <c r="T78" s="22"/>
      <c r="U78" s="7"/>
      <c r="V78" s="1"/>
      <c r="W78" s="1"/>
      <c r="X78" s="76" t="str">
        <f>IF(L78=Listas!$CS$4,25%,IF(L78=Listas!$CS$5,15%,IF(L78=Listas!$CS$6,10%,"")))</f>
        <v/>
      </c>
      <c r="Y78" s="76" t="str">
        <f>IF(N78=Listas!$CT$4,25%,IF(N78=Listas!$CT$5,15%,""))</f>
        <v/>
      </c>
      <c r="Z78" s="76" t="str">
        <f t="shared" si="3"/>
        <v/>
      </c>
      <c r="AA78" s="76" t="str">
        <f>IF(OR(L78=Listas!$CS$4,L78=Listas!$CS$5),(AA77-(AA77*Z78)),AA77)</f>
        <v/>
      </c>
      <c r="AB78" s="76" t="str">
        <f>IF(L78=Listas!$CS$6,(AB77-(AB77*Z78)),AB77)</f>
        <v/>
      </c>
    </row>
    <row r="79">
      <c r="A79" s="1"/>
      <c r="B79" s="11"/>
      <c r="C79" s="12"/>
      <c r="D79" s="12"/>
      <c r="E79" s="12"/>
      <c r="F79" s="13"/>
      <c r="G79" s="79"/>
      <c r="H79" s="6"/>
      <c r="I79" s="6"/>
      <c r="J79" s="6"/>
      <c r="K79" s="7"/>
      <c r="L79" s="22"/>
      <c r="M79" s="7"/>
      <c r="N79" s="22"/>
      <c r="O79" s="7"/>
      <c r="P79" s="22"/>
      <c r="Q79" s="7"/>
      <c r="R79" s="22"/>
      <c r="S79" s="7"/>
      <c r="T79" s="22"/>
      <c r="U79" s="7"/>
      <c r="V79" s="1"/>
      <c r="W79" s="1"/>
      <c r="X79" s="76" t="str">
        <f>IF(L79=Listas!$CS$4,25%,IF(L79=Listas!$CS$5,15%,IF(L79=Listas!$CS$6,10%,"")))</f>
        <v/>
      </c>
      <c r="Y79" s="76" t="str">
        <f>IF(N79=Listas!$CT$4,25%,IF(N79=Listas!$CT$5,15%,""))</f>
        <v/>
      </c>
      <c r="Z79" s="76" t="str">
        <f t="shared" si="3"/>
        <v/>
      </c>
      <c r="AA79" s="76" t="str">
        <f>IF(OR(L79=Listas!$CS$4,L79=Listas!$CS$5),(AA78-(AA78*Z79)),AA78)</f>
        <v/>
      </c>
      <c r="AB79" s="76" t="str">
        <f>IF(L79=Listas!$CS$6,(AB78-(AB78*Z79)),AB78)</f>
        <v/>
      </c>
    </row>
    <row r="80" ht="3.75" customHeight="1">
      <c r="A80" s="1"/>
      <c r="B80" s="1"/>
      <c r="V80" s="1"/>
      <c r="W80" s="1"/>
      <c r="X80" s="1"/>
      <c r="Y80" s="1"/>
      <c r="Z80" s="1"/>
      <c r="AA80" s="1"/>
      <c r="AB80" s="1"/>
    </row>
    <row r="81">
      <c r="A81" s="1"/>
      <c r="B81" s="21" t="s">
        <v>118</v>
      </c>
      <c r="C81" s="6"/>
      <c r="D81" s="6"/>
      <c r="E81" s="6"/>
      <c r="F81" s="6"/>
      <c r="G81" s="6"/>
      <c r="H81" s="6"/>
      <c r="I81" s="6"/>
      <c r="J81" s="6"/>
      <c r="K81" s="6"/>
      <c r="L81" s="6"/>
      <c r="M81" s="6"/>
      <c r="N81" s="6"/>
      <c r="O81" s="6"/>
      <c r="P81" s="6"/>
      <c r="Q81" s="6"/>
      <c r="R81" s="6"/>
      <c r="S81" s="6"/>
      <c r="T81" s="6"/>
      <c r="U81" s="7"/>
      <c r="V81" s="1"/>
      <c r="W81" s="1"/>
      <c r="X81" s="74" t="s">
        <v>119</v>
      </c>
      <c r="Y81" s="1"/>
      <c r="Z81" s="1"/>
      <c r="AA81" s="1"/>
      <c r="AB81" s="1"/>
    </row>
    <row r="82">
      <c r="A82" s="1"/>
      <c r="B82" s="80" t="s">
        <v>35</v>
      </c>
      <c r="C82" s="72" t="s">
        <v>44</v>
      </c>
      <c r="D82" s="54" t="s">
        <v>42</v>
      </c>
      <c r="E82" s="7"/>
      <c r="F82" s="54" t="s">
        <v>42</v>
      </c>
      <c r="G82" s="7"/>
      <c r="H82" s="54" t="s">
        <v>97</v>
      </c>
      <c r="I82" s="7"/>
      <c r="J82" s="54" t="s">
        <v>97</v>
      </c>
      <c r="K82" s="7"/>
      <c r="L82" s="54" t="s">
        <v>97</v>
      </c>
      <c r="M82" s="7"/>
      <c r="N82" s="1"/>
      <c r="O82" s="47" t="s">
        <v>35</v>
      </c>
      <c r="P82" s="7"/>
      <c r="Q82" s="47" t="s">
        <v>98</v>
      </c>
      <c r="R82" s="7"/>
      <c r="S82" s="47" t="s">
        <v>99</v>
      </c>
      <c r="T82" s="6"/>
      <c r="U82" s="7"/>
      <c r="V82" s="1"/>
      <c r="W82" s="1"/>
      <c r="Y82" s="1"/>
      <c r="Z82" s="1"/>
      <c r="AA82" s="1"/>
      <c r="AB82" s="1"/>
    </row>
    <row r="83">
      <c r="A83" s="1"/>
      <c r="B83" s="73"/>
      <c r="C83" s="72" t="s">
        <v>42</v>
      </c>
      <c r="D83" s="54" t="s">
        <v>40</v>
      </c>
      <c r="E83" s="7"/>
      <c r="F83" s="54" t="s">
        <v>42</v>
      </c>
      <c r="G83" s="7"/>
      <c r="H83" s="54" t="s">
        <v>42</v>
      </c>
      <c r="I83" s="7"/>
      <c r="J83" s="54" t="s">
        <v>97</v>
      </c>
      <c r="K83" s="7"/>
      <c r="L83" s="54" t="s">
        <v>97</v>
      </c>
      <c r="M83" s="7"/>
      <c r="O83" s="2" t="str">
        <f>IF(L75="",X81,IF(AND(AA79&gt;0,AA79&lt;=20%),Listas!CO4,IF(AND(AA79&gt;20%,AA79&lt;=40%),Listas!CO5,IF(AND(AA79&gt;40%,AA79&lt;=60%),Listas!CO6,IF(AND(AA79&gt;60%,AA79&lt;=80%),Listas!CO7,IF(AND(AA79&gt;80%,AA79&lt;=100%),Listas!CO8,""))))))</f>
        <v>Califique los controles</v>
      </c>
      <c r="P83" s="4"/>
      <c r="Q83" s="81" t="str">
        <f>IF(L75="",X81,IF(O15="Corrupción",Q67,IF(AND(AB79&gt;0,AB79&lt;=20%),Listas!CP4,IF(AND(AB79&gt;20%,AB79&lt;=40%),Listas!CP5,IF(AND(AB79&gt;40%,AB79&lt;=60%),Listas!CP6,IF(AND(AB79&gt;60%,AB79&lt;=80%),Listas!CP7,IF(AND(AB79&gt;80%,AB79&lt;=100%),Listas!CP8,"")))))))</f>
        <v>Califique los controles</v>
      </c>
      <c r="R83" s="4"/>
      <c r="S83" s="2" t="str">
        <f>IF(O83="Califique los controles","",VLOOKUP(CONCATENATE(O83,Q83),Listas!$CQ$4:$CR$29,2,FALSE))</f>
        <v/>
      </c>
      <c r="T83" s="3"/>
      <c r="U83" s="4"/>
      <c r="V83" s="1"/>
      <c r="W83" s="1"/>
      <c r="X83" s="1"/>
      <c r="Y83" s="1"/>
      <c r="Z83" s="1"/>
      <c r="AA83" s="1"/>
      <c r="AB83" s="1"/>
    </row>
    <row r="84">
      <c r="A84" s="1"/>
      <c r="B84" s="73"/>
      <c r="C84" s="72" t="s">
        <v>40</v>
      </c>
      <c r="D84" s="54" t="s">
        <v>38</v>
      </c>
      <c r="E84" s="7"/>
      <c r="F84" s="54" t="s">
        <v>40</v>
      </c>
      <c r="G84" s="7"/>
      <c r="H84" s="54" t="s">
        <v>42</v>
      </c>
      <c r="I84" s="7"/>
      <c r="J84" s="54" t="s">
        <v>97</v>
      </c>
      <c r="K84" s="7"/>
      <c r="L84" s="54" t="s">
        <v>97</v>
      </c>
      <c r="M84" s="7"/>
      <c r="O84" s="8"/>
      <c r="P84" s="9"/>
      <c r="Q84" s="8"/>
      <c r="R84" s="9"/>
      <c r="S84" s="8"/>
      <c r="U84" s="9"/>
      <c r="V84" s="1"/>
      <c r="W84" s="1"/>
      <c r="X84" s="1"/>
      <c r="Y84" s="1"/>
      <c r="Z84" s="1"/>
      <c r="AA84" s="1"/>
      <c r="AB84" s="1"/>
    </row>
    <row r="85">
      <c r="A85" s="1"/>
      <c r="B85" s="73"/>
      <c r="C85" s="72" t="s">
        <v>38</v>
      </c>
      <c r="D85" s="54" t="s">
        <v>38</v>
      </c>
      <c r="E85" s="7"/>
      <c r="F85" s="54" t="s">
        <v>38</v>
      </c>
      <c r="G85" s="7"/>
      <c r="H85" s="54" t="s">
        <v>40</v>
      </c>
      <c r="I85" s="7"/>
      <c r="J85" s="54" t="s">
        <v>42</v>
      </c>
      <c r="K85" s="7"/>
      <c r="L85" s="54" t="s">
        <v>97</v>
      </c>
      <c r="M85" s="7"/>
      <c r="O85" s="8"/>
      <c r="P85" s="9"/>
      <c r="Q85" s="8"/>
      <c r="R85" s="9"/>
      <c r="S85" s="8"/>
      <c r="U85" s="9"/>
      <c r="V85" s="1"/>
      <c r="W85" s="1"/>
      <c r="X85" s="1"/>
      <c r="Y85" s="1"/>
      <c r="Z85" s="1"/>
      <c r="AA85" s="1"/>
      <c r="AB85" s="1"/>
    </row>
    <row r="86">
      <c r="A86" s="1"/>
      <c r="B86" s="38"/>
      <c r="C86" s="72" t="s">
        <v>36</v>
      </c>
      <c r="D86" s="54" t="s">
        <v>38</v>
      </c>
      <c r="E86" s="7"/>
      <c r="F86" s="54" t="s">
        <v>38</v>
      </c>
      <c r="G86" s="7"/>
      <c r="H86" s="54" t="s">
        <v>40</v>
      </c>
      <c r="I86" s="7"/>
      <c r="J86" s="54" t="s">
        <v>42</v>
      </c>
      <c r="K86" s="7"/>
      <c r="L86" s="54" t="s">
        <v>97</v>
      </c>
      <c r="M86" s="7"/>
      <c r="O86" s="8"/>
      <c r="P86" s="9"/>
      <c r="Q86" s="8"/>
      <c r="R86" s="9"/>
      <c r="S86" s="8"/>
      <c r="U86" s="9"/>
      <c r="V86" s="1"/>
      <c r="W86" s="1"/>
      <c r="X86" s="1"/>
      <c r="Y86" s="1"/>
      <c r="Z86" s="1"/>
      <c r="AA86" s="1"/>
      <c r="AB86" s="1"/>
    </row>
    <row r="87">
      <c r="A87" s="1"/>
      <c r="B87" s="82" t="s">
        <v>98</v>
      </c>
      <c r="C87" s="7"/>
      <c r="D87" s="54" t="s">
        <v>120</v>
      </c>
      <c r="E87" s="7"/>
      <c r="F87" s="54" t="s">
        <v>104</v>
      </c>
      <c r="G87" s="7"/>
      <c r="H87" s="54" t="s">
        <v>89</v>
      </c>
      <c r="I87" s="7"/>
      <c r="J87" s="54" t="s">
        <v>91</v>
      </c>
      <c r="K87" s="7"/>
      <c r="L87" s="54" t="s">
        <v>93</v>
      </c>
      <c r="M87" s="7"/>
      <c r="O87" s="11"/>
      <c r="P87" s="13"/>
      <c r="Q87" s="11"/>
      <c r="R87" s="13"/>
      <c r="S87" s="11"/>
      <c r="T87" s="12"/>
      <c r="U87" s="13"/>
      <c r="V87" s="1"/>
      <c r="W87" s="1"/>
      <c r="X87" s="1"/>
      <c r="Y87" s="1"/>
      <c r="Z87" s="1"/>
      <c r="AA87" s="1"/>
      <c r="AB87" s="1"/>
    </row>
    <row r="88" ht="3.75" customHeight="1">
      <c r="A88" s="1"/>
      <c r="B88" s="1"/>
      <c r="V88" s="1"/>
      <c r="W88" s="1"/>
      <c r="X88" s="1"/>
      <c r="Y88" s="1"/>
      <c r="Z88" s="1"/>
      <c r="AA88" s="1"/>
      <c r="AB88" s="1"/>
    </row>
    <row r="89">
      <c r="A89" s="1"/>
      <c r="B89" s="21" t="s">
        <v>121</v>
      </c>
      <c r="C89" s="6"/>
      <c r="D89" s="6"/>
      <c r="E89" s="6"/>
      <c r="F89" s="6"/>
      <c r="G89" s="6"/>
      <c r="H89" s="6"/>
      <c r="I89" s="6"/>
      <c r="J89" s="6"/>
      <c r="K89" s="6"/>
      <c r="L89" s="6"/>
      <c r="M89" s="6"/>
      <c r="N89" s="6"/>
      <c r="O89" s="6"/>
      <c r="P89" s="6"/>
      <c r="Q89" s="6"/>
      <c r="R89" s="6"/>
      <c r="S89" s="6"/>
      <c r="T89" s="6"/>
      <c r="U89" s="7"/>
      <c r="V89" s="1"/>
      <c r="W89" s="1"/>
      <c r="X89" s="1"/>
      <c r="Y89" s="1"/>
      <c r="Z89" s="1"/>
      <c r="AA89" s="1"/>
      <c r="AB89" s="1"/>
    </row>
    <row r="90">
      <c r="A90" s="1"/>
      <c r="B90" s="48" t="s">
        <v>122</v>
      </c>
      <c r="C90" s="6"/>
      <c r="D90" s="6"/>
      <c r="E90" s="7"/>
      <c r="F90" s="48" t="s">
        <v>123</v>
      </c>
      <c r="G90" s="6"/>
      <c r="H90" s="6"/>
      <c r="I90" s="7"/>
      <c r="J90" s="48" t="s">
        <v>124</v>
      </c>
      <c r="K90" s="6"/>
      <c r="L90" s="6"/>
      <c r="M90" s="7"/>
      <c r="N90" s="48" t="s">
        <v>125</v>
      </c>
      <c r="O90" s="6"/>
      <c r="P90" s="6"/>
      <c r="Q90" s="7"/>
      <c r="R90" s="48" t="s">
        <v>126</v>
      </c>
      <c r="S90" s="6"/>
      <c r="T90" s="6"/>
      <c r="U90" s="7"/>
      <c r="V90" s="1"/>
      <c r="W90" s="1"/>
      <c r="X90" s="1"/>
      <c r="Y90" s="1"/>
      <c r="Z90" s="1"/>
      <c r="AA90" s="1"/>
      <c r="AB90" s="1"/>
    </row>
    <row r="91">
      <c r="A91" s="1"/>
      <c r="B91" s="83" t="s">
        <v>154</v>
      </c>
      <c r="C91" s="6"/>
      <c r="D91" s="6"/>
      <c r="E91" s="7"/>
      <c r="F91" s="83" t="s">
        <v>128</v>
      </c>
      <c r="G91" s="6"/>
      <c r="H91" s="6"/>
      <c r="I91" s="7"/>
      <c r="J91" s="83" t="s">
        <v>155</v>
      </c>
      <c r="K91" s="6"/>
      <c r="L91" s="6"/>
      <c r="M91" s="7"/>
      <c r="N91" s="83" t="s">
        <v>130</v>
      </c>
      <c r="O91" s="6"/>
      <c r="P91" s="6"/>
      <c r="Q91" s="7"/>
      <c r="R91" s="62"/>
      <c r="S91" s="6"/>
      <c r="T91" s="6"/>
      <c r="U91" s="7"/>
      <c r="V91" s="1"/>
      <c r="W91" s="1"/>
      <c r="X91" s="1"/>
      <c r="Y91" s="1"/>
      <c r="Z91" s="1"/>
      <c r="AA91" s="1"/>
      <c r="AB91" s="1"/>
    </row>
    <row r="92" ht="3.75" customHeight="1">
      <c r="A92" s="1"/>
      <c r="B92" s="1"/>
      <c r="V92" s="1"/>
      <c r="W92" s="1"/>
      <c r="X92" s="1"/>
      <c r="Y92" s="1"/>
      <c r="Z92" s="1"/>
      <c r="AA92" s="1"/>
      <c r="AB92" s="1"/>
    </row>
    <row r="93">
      <c r="A93" s="1"/>
      <c r="B93" s="21" t="s">
        <v>131</v>
      </c>
      <c r="C93" s="6"/>
      <c r="D93" s="6"/>
      <c r="E93" s="6"/>
      <c r="F93" s="6"/>
      <c r="G93" s="6"/>
      <c r="H93" s="6"/>
      <c r="I93" s="6"/>
      <c r="J93" s="6"/>
      <c r="K93" s="6"/>
      <c r="L93" s="6"/>
      <c r="M93" s="6"/>
      <c r="N93" s="6"/>
      <c r="O93" s="6"/>
      <c r="P93" s="6"/>
      <c r="Q93" s="6"/>
      <c r="R93" s="6"/>
      <c r="S93" s="6"/>
      <c r="T93" s="6"/>
      <c r="U93" s="7"/>
      <c r="V93" s="1"/>
      <c r="W93" s="1"/>
      <c r="X93" s="1"/>
      <c r="Y93" s="1"/>
      <c r="Z93" s="1"/>
      <c r="AA93" s="1"/>
      <c r="AB93" s="1"/>
    </row>
    <row r="94">
      <c r="A94" s="84"/>
      <c r="B94" s="48" t="s">
        <v>132</v>
      </c>
      <c r="C94" s="6"/>
      <c r="D94" s="7"/>
      <c r="E94" s="48" t="s">
        <v>133</v>
      </c>
      <c r="F94" s="6"/>
      <c r="G94" s="6"/>
      <c r="H94" s="6"/>
      <c r="I94" s="6"/>
      <c r="J94" s="6"/>
      <c r="K94" s="7"/>
      <c r="L94" s="48" t="s">
        <v>134</v>
      </c>
      <c r="M94" s="7"/>
      <c r="N94" s="48" t="s">
        <v>135</v>
      </c>
      <c r="O94" s="6"/>
      <c r="P94" s="6"/>
      <c r="Q94" s="7"/>
      <c r="R94" s="48" t="s">
        <v>156</v>
      </c>
      <c r="S94" s="6"/>
      <c r="T94" s="6"/>
      <c r="U94" s="7"/>
      <c r="V94" s="84"/>
      <c r="W94" s="84"/>
      <c r="X94" s="84"/>
      <c r="Y94" s="84"/>
      <c r="Z94" s="84"/>
      <c r="AA94" s="84"/>
      <c r="AB94" s="84"/>
    </row>
    <row r="95">
      <c r="A95" s="1"/>
      <c r="B95" s="83"/>
      <c r="C95" s="6"/>
      <c r="D95" s="7"/>
      <c r="E95" s="22"/>
      <c r="F95" s="6"/>
      <c r="G95" s="6"/>
      <c r="H95" s="6"/>
      <c r="I95" s="6"/>
      <c r="J95" s="6"/>
      <c r="K95" s="7"/>
      <c r="L95" s="83"/>
      <c r="M95" s="7"/>
      <c r="N95" s="22"/>
      <c r="O95" s="6"/>
      <c r="P95" s="6"/>
      <c r="Q95" s="7"/>
      <c r="R95" s="22"/>
      <c r="S95" s="6"/>
      <c r="T95" s="6"/>
      <c r="U95" s="7"/>
      <c r="V95" s="1"/>
      <c r="W95" s="1"/>
      <c r="X95" s="1"/>
      <c r="Y95" s="1"/>
      <c r="Z95" s="1"/>
      <c r="AA95" s="1"/>
      <c r="AB95" s="1"/>
    </row>
    <row r="96">
      <c r="A96" s="1"/>
      <c r="B96" s="85"/>
      <c r="C96" s="6"/>
      <c r="D96" s="7"/>
      <c r="E96" s="58"/>
      <c r="F96" s="6"/>
      <c r="G96" s="6"/>
      <c r="H96" s="6"/>
      <c r="I96" s="6"/>
      <c r="J96" s="6"/>
      <c r="K96" s="7"/>
      <c r="L96" s="85"/>
      <c r="M96" s="7"/>
      <c r="N96" s="58"/>
      <c r="O96" s="6"/>
      <c r="P96" s="6"/>
      <c r="Q96" s="7"/>
      <c r="R96" s="58"/>
      <c r="S96" s="6"/>
      <c r="T96" s="6"/>
      <c r="U96" s="7"/>
      <c r="V96" s="1"/>
      <c r="W96" s="1"/>
      <c r="X96" s="1"/>
      <c r="Y96" s="1"/>
      <c r="Z96" s="1"/>
      <c r="AA96" s="1"/>
      <c r="AB96" s="1"/>
    </row>
    <row r="97">
      <c r="A97" s="1"/>
      <c r="B97" s="85"/>
      <c r="C97" s="6"/>
      <c r="D97" s="7"/>
      <c r="E97" s="58"/>
      <c r="F97" s="6"/>
      <c r="G97" s="6"/>
      <c r="H97" s="6"/>
      <c r="I97" s="6"/>
      <c r="J97" s="6"/>
      <c r="K97" s="7"/>
      <c r="L97" s="85"/>
      <c r="M97" s="7"/>
      <c r="N97" s="58"/>
      <c r="O97" s="6"/>
      <c r="P97" s="6"/>
      <c r="Q97" s="7"/>
      <c r="R97" s="58"/>
      <c r="S97" s="6"/>
      <c r="T97" s="6"/>
      <c r="U97" s="7"/>
      <c r="V97" s="1"/>
      <c r="W97" s="1"/>
      <c r="X97" s="1"/>
      <c r="Y97" s="1"/>
      <c r="Z97" s="1"/>
      <c r="AA97" s="1"/>
      <c r="AB97" s="1"/>
    </row>
    <row r="98" ht="3.75" customHeight="1">
      <c r="A98" s="1"/>
      <c r="B98" s="1"/>
      <c r="V98" s="1"/>
      <c r="W98" s="1"/>
      <c r="X98" s="1"/>
      <c r="Y98" s="1"/>
      <c r="Z98" s="1"/>
      <c r="AA98" s="1"/>
      <c r="AB98" s="1"/>
    </row>
    <row r="99">
      <c r="A99" s="1"/>
      <c r="B99" s="21" t="s">
        <v>137</v>
      </c>
      <c r="C99" s="6"/>
      <c r="D99" s="6"/>
      <c r="E99" s="6"/>
      <c r="F99" s="6"/>
      <c r="G99" s="6"/>
      <c r="H99" s="6"/>
      <c r="I99" s="6"/>
      <c r="J99" s="6"/>
      <c r="K99" s="6"/>
      <c r="L99" s="6"/>
      <c r="M99" s="6"/>
      <c r="N99" s="6"/>
      <c r="O99" s="6"/>
      <c r="P99" s="6"/>
      <c r="Q99" s="6"/>
      <c r="R99" s="6"/>
      <c r="S99" s="6"/>
      <c r="T99" s="6"/>
      <c r="U99" s="7"/>
      <c r="V99" s="1"/>
      <c r="W99" s="1"/>
      <c r="X99" s="1"/>
      <c r="Y99" s="1"/>
      <c r="Z99" s="1"/>
      <c r="AA99" s="1"/>
      <c r="AB99" s="1"/>
    </row>
    <row r="100">
      <c r="A100" s="1"/>
      <c r="B100" s="48" t="s">
        <v>138</v>
      </c>
      <c r="C100" s="6"/>
      <c r="D100" s="6"/>
      <c r="E100" s="6"/>
      <c r="F100" s="6"/>
      <c r="G100" s="7"/>
      <c r="H100" s="48" t="s">
        <v>135</v>
      </c>
      <c r="I100" s="6"/>
      <c r="J100" s="6"/>
      <c r="K100" s="6"/>
      <c r="L100" s="6"/>
      <c r="M100" s="6"/>
      <c r="N100" s="7"/>
      <c r="O100" s="48" t="s">
        <v>139</v>
      </c>
      <c r="P100" s="6"/>
      <c r="Q100" s="7"/>
      <c r="R100" s="48" t="s">
        <v>140</v>
      </c>
      <c r="S100" s="6"/>
      <c r="T100" s="6"/>
      <c r="U100" s="7"/>
      <c r="V100" s="1"/>
      <c r="W100" s="1"/>
      <c r="X100" s="1"/>
      <c r="Y100" s="1"/>
      <c r="Z100" s="1"/>
      <c r="AA100" s="1"/>
      <c r="AB100" s="1"/>
    </row>
    <row r="101">
      <c r="A101" s="1"/>
      <c r="B101" s="22"/>
      <c r="C101" s="6"/>
      <c r="D101" s="6"/>
      <c r="E101" s="6"/>
      <c r="F101" s="6"/>
      <c r="G101" s="7"/>
      <c r="H101" s="22"/>
      <c r="I101" s="6"/>
      <c r="J101" s="6"/>
      <c r="K101" s="6"/>
      <c r="L101" s="6"/>
      <c r="M101" s="6"/>
      <c r="N101" s="7"/>
      <c r="O101" s="83"/>
      <c r="P101" s="6"/>
      <c r="Q101" s="7"/>
      <c r="R101" s="22"/>
      <c r="S101" s="6"/>
      <c r="T101" s="6"/>
      <c r="U101" s="7"/>
      <c r="V101" s="1"/>
      <c r="W101" s="1"/>
      <c r="X101" s="1"/>
      <c r="Y101" s="1"/>
      <c r="Z101" s="1"/>
      <c r="AA101" s="1"/>
      <c r="AB101" s="1"/>
    </row>
    <row r="102" ht="5.2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row>
  </sheetData>
  <mergeCells count="323">
    <mergeCell ref="B35:C35"/>
    <mergeCell ref="B38:C38"/>
    <mergeCell ref="B39:C39"/>
    <mergeCell ref="D39:K39"/>
    <mergeCell ref="M39:T39"/>
    <mergeCell ref="D40:K40"/>
    <mergeCell ref="M40:T40"/>
    <mergeCell ref="B40:C40"/>
    <mergeCell ref="B41:C41"/>
    <mergeCell ref="D41:K41"/>
    <mergeCell ref="M41:T41"/>
    <mergeCell ref="B42:C42"/>
    <mergeCell ref="D42:K42"/>
    <mergeCell ref="M42:T42"/>
    <mergeCell ref="B25:C25"/>
    <mergeCell ref="D25:I25"/>
    <mergeCell ref="B21:C21"/>
    <mergeCell ref="D21:I21"/>
    <mergeCell ref="P21:U25"/>
    <mergeCell ref="B22:C22"/>
    <mergeCell ref="D22:I22"/>
    <mergeCell ref="B23:C23"/>
    <mergeCell ref="D23:I23"/>
    <mergeCell ref="B26:U26"/>
    <mergeCell ref="B27:U27"/>
    <mergeCell ref="B28:U28"/>
    <mergeCell ref="B29:U29"/>
    <mergeCell ref="B30:C30"/>
    <mergeCell ref="D30:E30"/>
    <mergeCell ref="F30:Q30"/>
    <mergeCell ref="D33:E33"/>
    <mergeCell ref="F33:Q33"/>
    <mergeCell ref="B31:C31"/>
    <mergeCell ref="D31:E31"/>
    <mergeCell ref="F31:Q31"/>
    <mergeCell ref="B32:C32"/>
    <mergeCell ref="D32:E32"/>
    <mergeCell ref="F32:Q32"/>
    <mergeCell ref="B33:C33"/>
    <mergeCell ref="C48:H48"/>
    <mergeCell ref="I48:J48"/>
    <mergeCell ref="L48:Q48"/>
    <mergeCell ref="R48:S48"/>
    <mergeCell ref="C49:H49"/>
    <mergeCell ref="I49:J49"/>
    <mergeCell ref="L49:Q49"/>
    <mergeCell ref="L60:M60"/>
    <mergeCell ref="L61:M61"/>
    <mergeCell ref="N61:U61"/>
    <mergeCell ref="C55:H55"/>
    <mergeCell ref="I55:J55"/>
    <mergeCell ref="L55:Q55"/>
    <mergeCell ref="C56:H56"/>
    <mergeCell ref="I56:J56"/>
    <mergeCell ref="L56:Q56"/>
    <mergeCell ref="C57:H57"/>
    <mergeCell ref="I57:J57"/>
    <mergeCell ref="K57:Q57"/>
    <mergeCell ref="B58:U58"/>
    <mergeCell ref="B59:K61"/>
    <mergeCell ref="L59:M59"/>
    <mergeCell ref="N59:U59"/>
    <mergeCell ref="N60:U60"/>
    <mergeCell ref="H66:I66"/>
    <mergeCell ref="J66:K66"/>
    <mergeCell ref="O66:P66"/>
    <mergeCell ref="Q66:R66"/>
    <mergeCell ref="D66:E66"/>
    <mergeCell ref="D67:E67"/>
    <mergeCell ref="F67:G67"/>
    <mergeCell ref="H67:I67"/>
    <mergeCell ref="F66:G66"/>
    <mergeCell ref="D68:E68"/>
    <mergeCell ref="P76:Q76"/>
    <mergeCell ref="R76:S76"/>
    <mergeCell ref="L75:M75"/>
    <mergeCell ref="N75:O75"/>
    <mergeCell ref="P75:Q75"/>
    <mergeCell ref="R75:S75"/>
    <mergeCell ref="T75:U75"/>
    <mergeCell ref="N76:O76"/>
    <mergeCell ref="T76:U76"/>
    <mergeCell ref="G77:K77"/>
    <mergeCell ref="G78:K78"/>
    <mergeCell ref="L78:M78"/>
    <mergeCell ref="N78:O78"/>
    <mergeCell ref="P78:Q78"/>
    <mergeCell ref="R78:S78"/>
    <mergeCell ref="T78:U78"/>
    <mergeCell ref="H82:I82"/>
    <mergeCell ref="J82:K82"/>
    <mergeCell ref="L82:M82"/>
    <mergeCell ref="O82:P82"/>
    <mergeCell ref="Q82:R82"/>
    <mergeCell ref="S82:U82"/>
    <mergeCell ref="L76:M76"/>
    <mergeCell ref="L77:M77"/>
    <mergeCell ref="N77:O77"/>
    <mergeCell ref="P77:Q77"/>
    <mergeCell ref="R77:S77"/>
    <mergeCell ref="T77:U77"/>
    <mergeCell ref="X81:X82"/>
    <mergeCell ref="F68:G68"/>
    <mergeCell ref="H68:I68"/>
    <mergeCell ref="J68:K68"/>
    <mergeCell ref="D69:E69"/>
    <mergeCell ref="F69:G69"/>
    <mergeCell ref="H69:I69"/>
    <mergeCell ref="J69:K69"/>
    <mergeCell ref="B72:U72"/>
    <mergeCell ref="B73:U73"/>
    <mergeCell ref="B62:U62"/>
    <mergeCell ref="B63:U63"/>
    <mergeCell ref="B64:U64"/>
    <mergeCell ref="B65:U65"/>
    <mergeCell ref="B66:B70"/>
    <mergeCell ref="S66:U66"/>
    <mergeCell ref="J67:K67"/>
    <mergeCell ref="H70:I70"/>
    <mergeCell ref="J70:K70"/>
    <mergeCell ref="H71:I71"/>
    <mergeCell ref="J71:K71"/>
    <mergeCell ref="G74:K74"/>
    <mergeCell ref="G75:K75"/>
    <mergeCell ref="G76:K76"/>
    <mergeCell ref="G79:K79"/>
    <mergeCell ref="L79:M79"/>
    <mergeCell ref="N79:O79"/>
    <mergeCell ref="P79:Q79"/>
    <mergeCell ref="R79:S79"/>
    <mergeCell ref="T79:U79"/>
    <mergeCell ref="B80:U80"/>
    <mergeCell ref="B81:U81"/>
    <mergeCell ref="D70:E70"/>
    <mergeCell ref="F70:G70"/>
    <mergeCell ref="B71:C71"/>
    <mergeCell ref="D71:E71"/>
    <mergeCell ref="F71:G71"/>
    <mergeCell ref="B74:F74"/>
    <mergeCell ref="B75:F79"/>
    <mergeCell ref="D83:E83"/>
    <mergeCell ref="D85:E85"/>
    <mergeCell ref="H86:I86"/>
    <mergeCell ref="J86:K86"/>
    <mergeCell ref="B82:B86"/>
    <mergeCell ref="B87:C87"/>
    <mergeCell ref="D87:E87"/>
    <mergeCell ref="F87:G87"/>
    <mergeCell ref="H87:I87"/>
    <mergeCell ref="J87:K87"/>
    <mergeCell ref="D82:E82"/>
    <mergeCell ref="F82:G82"/>
    <mergeCell ref="N82:N87"/>
    <mergeCell ref="F83:G83"/>
    <mergeCell ref="H83:I83"/>
    <mergeCell ref="L84:M84"/>
    <mergeCell ref="L86:M86"/>
    <mergeCell ref="L87:M87"/>
    <mergeCell ref="N90:Q90"/>
    <mergeCell ref="R90:U90"/>
    <mergeCell ref="D86:E86"/>
    <mergeCell ref="F86:G86"/>
    <mergeCell ref="B88:U88"/>
    <mergeCell ref="B89:U89"/>
    <mergeCell ref="B90:E90"/>
    <mergeCell ref="F90:I90"/>
    <mergeCell ref="J90:M90"/>
    <mergeCell ref="L95:M95"/>
    <mergeCell ref="N95:Q95"/>
    <mergeCell ref="N96:Q96"/>
    <mergeCell ref="R96:U96"/>
    <mergeCell ref="N97:Q97"/>
    <mergeCell ref="R97:U97"/>
    <mergeCell ref="B94:D94"/>
    <mergeCell ref="E94:K94"/>
    <mergeCell ref="L94:M94"/>
    <mergeCell ref="N94:Q94"/>
    <mergeCell ref="R94:U94"/>
    <mergeCell ref="E95:K95"/>
    <mergeCell ref="R95:U95"/>
    <mergeCell ref="B95:D95"/>
    <mergeCell ref="B96:D96"/>
    <mergeCell ref="E96:K96"/>
    <mergeCell ref="L96:M96"/>
    <mergeCell ref="B97:D97"/>
    <mergeCell ref="E97:K97"/>
    <mergeCell ref="L97:M97"/>
    <mergeCell ref="H101:N101"/>
    <mergeCell ref="O101:Q101"/>
    <mergeCell ref="B98:U98"/>
    <mergeCell ref="B99:U99"/>
    <mergeCell ref="B100:G100"/>
    <mergeCell ref="H100:N100"/>
    <mergeCell ref="O100:Q100"/>
    <mergeCell ref="R100:U100"/>
    <mergeCell ref="B101:G101"/>
    <mergeCell ref="R101:U101"/>
    <mergeCell ref="J83:K83"/>
    <mergeCell ref="L83:M83"/>
    <mergeCell ref="O83:P87"/>
    <mergeCell ref="Q83:R87"/>
    <mergeCell ref="S83:U87"/>
    <mergeCell ref="D84:E84"/>
    <mergeCell ref="F84:G84"/>
    <mergeCell ref="H84:I84"/>
    <mergeCell ref="J84:K84"/>
    <mergeCell ref="F85:G85"/>
    <mergeCell ref="H85:I85"/>
    <mergeCell ref="J85:K85"/>
    <mergeCell ref="L85:M85"/>
    <mergeCell ref="B91:E91"/>
    <mergeCell ref="F91:I91"/>
    <mergeCell ref="J91:M91"/>
    <mergeCell ref="N91:Q91"/>
    <mergeCell ref="R91:U91"/>
    <mergeCell ref="B92:U92"/>
    <mergeCell ref="B93:U93"/>
    <mergeCell ref="B2:D4"/>
    <mergeCell ref="B6:D6"/>
    <mergeCell ref="E2:U2"/>
    <mergeCell ref="E3:U3"/>
    <mergeCell ref="E4:H4"/>
    <mergeCell ref="I4:K4"/>
    <mergeCell ref="L4:R4"/>
    <mergeCell ref="S4:U4"/>
    <mergeCell ref="B5:U5"/>
    <mergeCell ref="E6:U6"/>
    <mergeCell ref="B7:U7"/>
    <mergeCell ref="B8:U8"/>
    <mergeCell ref="B9:U9"/>
    <mergeCell ref="B10:U10"/>
    <mergeCell ref="N11:Q11"/>
    <mergeCell ref="R11:U11"/>
    <mergeCell ref="B11:M11"/>
    <mergeCell ref="B12:U12"/>
    <mergeCell ref="B13:U13"/>
    <mergeCell ref="E14:J14"/>
    <mergeCell ref="K14:N14"/>
    <mergeCell ref="O14:P14"/>
    <mergeCell ref="R14:U14"/>
    <mergeCell ref="B14:D14"/>
    <mergeCell ref="B15:D15"/>
    <mergeCell ref="E15:J15"/>
    <mergeCell ref="K15:N15"/>
    <mergeCell ref="O15:P15"/>
    <mergeCell ref="R15:U15"/>
    <mergeCell ref="B16:U16"/>
    <mergeCell ref="B17:U17"/>
    <mergeCell ref="B18:U18"/>
    <mergeCell ref="B19:C20"/>
    <mergeCell ref="D19:I20"/>
    <mergeCell ref="J19:N19"/>
    <mergeCell ref="O19:O20"/>
    <mergeCell ref="P19:U20"/>
    <mergeCell ref="B24:C24"/>
    <mergeCell ref="D24:I24"/>
    <mergeCell ref="D38:L38"/>
    <mergeCell ref="M38:U38"/>
    <mergeCell ref="B34:C34"/>
    <mergeCell ref="D34:E34"/>
    <mergeCell ref="F34:Q34"/>
    <mergeCell ref="D35:E35"/>
    <mergeCell ref="F35:Q35"/>
    <mergeCell ref="B36:U36"/>
    <mergeCell ref="B37:U37"/>
    <mergeCell ref="B43:C43"/>
    <mergeCell ref="D43:K43"/>
    <mergeCell ref="M43:T43"/>
    <mergeCell ref="B44:C44"/>
    <mergeCell ref="D44:L44"/>
    <mergeCell ref="M44:N44"/>
    <mergeCell ref="O44:U44"/>
    <mergeCell ref="B45:U45"/>
    <mergeCell ref="B46:U46"/>
    <mergeCell ref="B47:H47"/>
    <mergeCell ref="I47:J47"/>
    <mergeCell ref="K47:Q47"/>
    <mergeCell ref="R47:S47"/>
    <mergeCell ref="T47:U47"/>
    <mergeCell ref="L51:Q51"/>
    <mergeCell ref="L52:Q52"/>
    <mergeCell ref="C50:H50"/>
    <mergeCell ref="I50:J50"/>
    <mergeCell ref="L50:Q50"/>
    <mergeCell ref="C51:H51"/>
    <mergeCell ref="I51:J51"/>
    <mergeCell ref="C52:H52"/>
    <mergeCell ref="I52:J52"/>
    <mergeCell ref="L53:Q53"/>
    <mergeCell ref="L54:Q54"/>
    <mergeCell ref="R51:S51"/>
    <mergeCell ref="R52:S52"/>
    <mergeCell ref="C53:H53"/>
    <mergeCell ref="I53:J53"/>
    <mergeCell ref="R53:S53"/>
    <mergeCell ref="C54:H54"/>
    <mergeCell ref="I54:J54"/>
    <mergeCell ref="R54:S54"/>
    <mergeCell ref="R55:S55"/>
    <mergeCell ref="R56:S56"/>
    <mergeCell ref="R30:S30"/>
    <mergeCell ref="T30:U30"/>
    <mergeCell ref="R31:S35"/>
    <mergeCell ref="T31:U35"/>
    <mergeCell ref="T48:U57"/>
    <mergeCell ref="R49:S49"/>
    <mergeCell ref="R50:S50"/>
    <mergeCell ref="R57:S57"/>
    <mergeCell ref="L66:M66"/>
    <mergeCell ref="N66:N71"/>
    <mergeCell ref="L67:M67"/>
    <mergeCell ref="O67:P71"/>
    <mergeCell ref="Q67:R71"/>
    <mergeCell ref="S67:U71"/>
    <mergeCell ref="L68:M68"/>
    <mergeCell ref="L71:M71"/>
    <mergeCell ref="L69:M69"/>
    <mergeCell ref="L70:M70"/>
    <mergeCell ref="L74:M74"/>
    <mergeCell ref="N74:O74"/>
    <mergeCell ref="P74:Q74"/>
    <mergeCell ref="R74:S74"/>
    <mergeCell ref="T74:U74"/>
  </mergeCells>
  <conditionalFormatting sqref="I48:I57 R48:R56 R91">
    <cfRule type="containsBlanks" dxfId="0" priority="1" stopIfTrue="1">
      <formula>LEN(TRIM(I48))=0</formula>
    </cfRule>
  </conditionalFormatting>
  <conditionalFormatting sqref="L39:L43 U39:U43">
    <cfRule type="expression" dxfId="1" priority="2" stopIfTrue="1">
      <formula>L39="X"</formula>
    </cfRule>
  </conditionalFormatting>
  <conditionalFormatting sqref="L39:L43 U39:U43">
    <cfRule type="expression" dxfId="0" priority="3">
      <formula>AND($L$39="",$L$40="",$L$41="",$L$42="",$L$43="",$U$39="",$U$40="",$U$41="",$U$42="",$U$43="")</formula>
    </cfRule>
  </conditionalFormatting>
  <conditionalFormatting sqref="R31">
    <cfRule type="expression" dxfId="0" priority="4">
      <formula>AND(R31="",S31="",T31="",U31="",V31="")</formula>
    </cfRule>
  </conditionalFormatting>
  <conditionalFormatting sqref="J21:N25">
    <cfRule type="expression" dxfId="0" priority="5" stopIfTrue="1">
      <formula>#REF!=""</formula>
    </cfRule>
  </conditionalFormatting>
  <conditionalFormatting sqref="D21:I25">
    <cfRule type="expression" dxfId="0" priority="6">
      <formula>$D$21=""</formula>
    </cfRule>
  </conditionalFormatting>
  <conditionalFormatting sqref="B21:C25">
    <cfRule type="expression" dxfId="0" priority="7">
      <formula>$B$21=""</formula>
    </cfRule>
  </conditionalFormatting>
  <conditionalFormatting sqref="E6:U6 B15:D15">
    <cfRule type="containsBlanks" dxfId="0" priority="8">
      <formula>LEN(TRIM(E6))=0</formula>
    </cfRule>
  </conditionalFormatting>
  <conditionalFormatting sqref="E15:H15">
    <cfRule type="containsBlanks" dxfId="0" priority="9">
      <formula>LEN(TRIM(E15))=0</formula>
    </cfRule>
  </conditionalFormatting>
  <conditionalFormatting sqref="O15">
    <cfRule type="containsBlanks" dxfId="0" priority="10">
      <formula>LEN(TRIM(O15))=0</formula>
    </cfRule>
  </conditionalFormatting>
  <conditionalFormatting sqref="R15:U15">
    <cfRule type="containsBlanks" dxfId="0" priority="11">
      <formula>LEN(TRIM(R15))=0</formula>
    </cfRule>
  </conditionalFormatting>
  <conditionalFormatting sqref="K15">
    <cfRule type="containsBlanks" dxfId="0" priority="12">
      <formula>LEN(TRIM(K15))=0</formula>
    </cfRule>
  </conditionalFormatting>
  <conditionalFormatting sqref="D66:M70 S67:U71 D82:M86 S83:U87">
    <cfRule type="cellIs" dxfId="2" priority="13" operator="equal">
      <formula>"Baja"</formula>
    </cfRule>
  </conditionalFormatting>
  <conditionalFormatting sqref="D66:M70 S67:U71 D82:M86 S83:U87">
    <cfRule type="cellIs" dxfId="3" priority="14" operator="equal">
      <formula>"Media"</formula>
    </cfRule>
  </conditionalFormatting>
  <conditionalFormatting sqref="D66:M70 S67:U71 D82:M86 S83:U87">
    <cfRule type="cellIs" dxfId="4" priority="15" operator="equal">
      <formula>"Alta"</formula>
    </cfRule>
  </conditionalFormatting>
  <conditionalFormatting sqref="D66:M70 S67:U71 D82:M86 S83:U87">
    <cfRule type="cellIs" dxfId="5" priority="16" operator="equal">
      <formula>"Extrema"</formula>
    </cfRule>
  </conditionalFormatting>
  <conditionalFormatting sqref="S67:U71 S83:U87">
    <cfRule type="cellIs" dxfId="2" priority="17" operator="equal">
      <formula>"Baja"</formula>
    </cfRule>
  </conditionalFormatting>
  <conditionalFormatting sqref="S67:U71 S83:U87">
    <cfRule type="cellIs" dxfId="3" priority="18" operator="equal">
      <formula>"Media"</formula>
    </cfRule>
  </conditionalFormatting>
  <conditionalFormatting sqref="S67:U71 S83:U87">
    <cfRule type="cellIs" dxfId="4" priority="19" operator="equal">
      <formula>"Alta"</formula>
    </cfRule>
  </conditionalFormatting>
  <conditionalFormatting sqref="S67:U71 S83:U87">
    <cfRule type="cellIs" dxfId="5" priority="20" operator="equal">
      <formula>"Extrema"</formula>
    </cfRule>
  </conditionalFormatting>
  <conditionalFormatting sqref="G75:K79">
    <cfRule type="expression" dxfId="0" priority="21">
      <formula>$G$75=""</formula>
    </cfRule>
  </conditionalFormatting>
  <conditionalFormatting sqref="L75:M79">
    <cfRule type="expression" dxfId="0" priority="22">
      <formula>$L$75=""</formula>
    </cfRule>
  </conditionalFormatting>
  <conditionalFormatting sqref="N75:O79">
    <cfRule type="expression" dxfId="0" priority="23">
      <formula>$N$75=""</formula>
    </cfRule>
  </conditionalFormatting>
  <conditionalFormatting sqref="P75:Q79">
    <cfRule type="expression" dxfId="0" priority="24">
      <formula>$P$75=""</formula>
    </cfRule>
  </conditionalFormatting>
  <conditionalFormatting sqref="R75:S79">
    <cfRule type="expression" dxfId="0" priority="25">
      <formula>$R$75=""</formula>
    </cfRule>
  </conditionalFormatting>
  <conditionalFormatting sqref="T75:U79">
    <cfRule type="expression" dxfId="0" priority="26">
      <formula>$T$75=""</formula>
    </cfRule>
  </conditionalFormatting>
  <conditionalFormatting sqref="B95:D97">
    <cfRule type="expression" dxfId="0" priority="27">
      <formula>$B$95=""</formula>
    </cfRule>
  </conditionalFormatting>
  <conditionalFormatting sqref="E95:M97">
    <cfRule type="expression" dxfId="0" priority="28">
      <formula>$E$95=""</formula>
    </cfRule>
  </conditionalFormatting>
  <conditionalFormatting sqref="N95:Q97">
    <cfRule type="expression" dxfId="0" priority="29">
      <formula>$N$95=""</formula>
    </cfRule>
  </conditionalFormatting>
  <conditionalFormatting sqref="R95:U97">
    <cfRule type="expression" dxfId="0" priority="30">
      <formula>$R$95=""</formula>
    </cfRule>
  </conditionalFormatting>
  <conditionalFormatting sqref="B101:U101">
    <cfRule type="containsBlanks" dxfId="0" priority="31">
      <formula>LEN(TRIM(B101))=0</formula>
    </cfRule>
  </conditionalFormatting>
  <conditionalFormatting sqref="E6:U6">
    <cfRule type="containsBlanks" dxfId="0" priority="32">
      <formula>LEN(TRIM(E6))=0</formula>
    </cfRule>
  </conditionalFormatting>
  <dataValidations>
    <dataValidation type="list" allowBlank="1" showErrorMessage="1" sqref="L39:L43 U39:U43">
      <formula1>"X"</formula1>
    </dataValidation>
    <dataValidation type="list" allowBlank="1" showErrorMessage="1" sqref="O15">
      <formula1>Listas!$CM$4:$CM$20</formula1>
    </dataValidation>
    <dataValidation type="list" allowBlank="1" sqref="P75:P79">
      <formula1>Listas!$CU$4:$CU$8</formula1>
    </dataValidation>
    <dataValidation type="list" allowBlank="1" sqref="T75:T79">
      <formula1>Listas!$CW$4:$CW$8</formula1>
    </dataValidation>
    <dataValidation type="list" allowBlank="1" showErrorMessage="1" sqref="R48:R56 I48:I57">
      <formula1>"Si,No"</formula1>
    </dataValidation>
    <dataValidation type="list" allowBlank="1" sqref="R75:R79">
      <formula1>Listas!$CV$4:$CV$8</formula1>
    </dataValidation>
    <dataValidation type="list" allowBlank="1" sqref="L75:L79">
      <formula1>Listas!$CS$4:$CS$8</formula1>
    </dataValidation>
    <dataValidation type="list" allowBlank="1" showErrorMessage="1" sqref="J21:N25">
      <formula1>Listas!$CN$4:$CN$13</formula1>
    </dataValidation>
    <dataValidation type="list" allowBlank="1" showErrorMessage="1" sqref="R31">
      <formula1>Listas!$CO$4:$CO$8</formula1>
    </dataValidation>
    <dataValidation type="list" allowBlank="1" sqref="E6">
      <formula1>Listas!$B$4:$B$27</formula1>
    </dataValidation>
    <dataValidation type="list" allowBlank="1" sqref="B21:B25">
      <formula1>Listas!$CY$4:$CY$18</formula1>
    </dataValidation>
    <dataValidation type="list" allowBlank="1" sqref="N75:N79">
      <formula1>Listas!$CT$4:$CT$8</formula1>
    </dataValidation>
    <dataValidation type="list" allowBlank="1" showErrorMessage="1" sqref="R91">
      <formula1>Listas!$CX$4:$CX$7</formula1>
    </dataValidation>
    <dataValidation type="list" allowBlank="1" showErrorMessage="1" sqref="B15">
      <formula1>Listas!$BD$4:$BD$20</formula1>
    </dataValidation>
  </dataValidations>
  <hyperlinks>
    <hyperlink display="Contexto interno y externo del Proceso" location="null!A1" ref="N11"/>
    <hyperlink r:id="rId2" ref="R11"/>
  </hyperlinks>
  <drawing r:id="rId3"/>
  <legacyDrawing r:id="rId4"/>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0"/>
  <cols>
    <col customWidth="1" min="1" max="1" width="0.86"/>
    <col customWidth="1" min="2" max="21" width="8.86"/>
    <col customWidth="1" min="22" max="22" width="1.43"/>
    <col customWidth="1" hidden="1" min="23" max="23" width="5.57"/>
    <col hidden="1" min="24" max="28" width="14.43"/>
  </cols>
  <sheetData>
    <row r="1" ht="6.0" customHeight="1">
      <c r="A1" s="1"/>
      <c r="B1" s="1"/>
      <c r="C1" s="1"/>
      <c r="D1" s="1"/>
      <c r="E1" s="1"/>
      <c r="F1" s="1"/>
      <c r="G1" s="1"/>
      <c r="H1" s="1"/>
      <c r="I1" s="1"/>
      <c r="J1" s="1"/>
      <c r="K1" s="1"/>
      <c r="L1" s="1"/>
      <c r="M1" s="1"/>
      <c r="N1" s="1"/>
      <c r="O1" s="1"/>
      <c r="P1" s="1"/>
      <c r="Q1" s="1"/>
      <c r="R1" s="1"/>
      <c r="S1" s="1"/>
      <c r="T1" s="1"/>
      <c r="U1" s="1"/>
      <c r="V1" s="1"/>
      <c r="W1" s="1"/>
      <c r="X1" s="1"/>
      <c r="Y1" s="1"/>
      <c r="Z1" s="1"/>
      <c r="AA1" s="1"/>
      <c r="AB1" s="1"/>
    </row>
    <row r="2" ht="15.0" customHeight="1">
      <c r="A2" s="1"/>
      <c r="B2" s="2"/>
      <c r="C2" s="3"/>
      <c r="D2" s="4"/>
      <c r="E2" s="5" t="s">
        <v>0</v>
      </c>
      <c r="F2" s="6"/>
      <c r="G2" s="6"/>
      <c r="H2" s="6"/>
      <c r="I2" s="6"/>
      <c r="J2" s="6"/>
      <c r="K2" s="6"/>
      <c r="L2" s="6"/>
      <c r="M2" s="6"/>
      <c r="N2" s="6"/>
      <c r="O2" s="6"/>
      <c r="P2" s="6"/>
      <c r="Q2" s="6"/>
      <c r="R2" s="6"/>
      <c r="S2" s="6"/>
      <c r="T2" s="6"/>
      <c r="U2" s="7"/>
      <c r="V2" s="1"/>
      <c r="W2" s="1"/>
      <c r="X2" s="1"/>
      <c r="Y2" s="1"/>
      <c r="Z2" s="1"/>
      <c r="AA2" s="1"/>
      <c r="AB2" s="1"/>
    </row>
    <row r="3" ht="15.0" customHeight="1">
      <c r="A3" s="1"/>
      <c r="B3" s="8"/>
      <c r="D3" s="9"/>
      <c r="E3" s="10" t="s">
        <v>1</v>
      </c>
      <c r="F3" s="6"/>
      <c r="G3" s="6"/>
      <c r="H3" s="6"/>
      <c r="I3" s="6"/>
      <c r="J3" s="6"/>
      <c r="K3" s="6"/>
      <c r="L3" s="6"/>
      <c r="M3" s="6"/>
      <c r="N3" s="6"/>
      <c r="O3" s="6"/>
      <c r="P3" s="6"/>
      <c r="Q3" s="6"/>
      <c r="R3" s="6"/>
      <c r="S3" s="6"/>
      <c r="T3" s="6"/>
      <c r="U3" s="7"/>
      <c r="V3" s="1"/>
      <c r="W3" s="1"/>
      <c r="X3" s="1"/>
      <c r="Y3" s="1"/>
      <c r="Z3" s="1"/>
      <c r="AA3" s="1"/>
      <c r="AB3" s="1"/>
    </row>
    <row r="4" ht="15.0" customHeight="1">
      <c r="A4" s="1"/>
      <c r="B4" s="11"/>
      <c r="C4" s="12"/>
      <c r="D4" s="13"/>
      <c r="E4" s="14" t="s">
        <v>157</v>
      </c>
      <c r="F4" s="6"/>
      <c r="G4" s="6"/>
      <c r="H4" s="7"/>
      <c r="I4" s="14" t="s">
        <v>158</v>
      </c>
      <c r="J4" s="6"/>
      <c r="K4" s="7"/>
      <c r="L4" s="14" t="s">
        <v>159</v>
      </c>
      <c r="M4" s="6"/>
      <c r="N4" s="6"/>
      <c r="O4" s="6"/>
      <c r="P4" s="6"/>
      <c r="Q4" s="6"/>
      <c r="R4" s="7"/>
      <c r="S4" s="14" t="s">
        <v>160</v>
      </c>
      <c r="T4" s="6"/>
      <c r="U4" s="7"/>
      <c r="V4" s="1"/>
      <c r="W4" s="1"/>
      <c r="X4" s="1"/>
      <c r="Y4" s="1"/>
      <c r="Z4" s="1"/>
      <c r="AA4" s="1"/>
      <c r="AB4" s="1"/>
    </row>
    <row r="5" ht="3.0" customHeight="1">
      <c r="A5" s="1"/>
      <c r="B5" s="1"/>
      <c r="V5" s="1"/>
      <c r="W5" s="1"/>
      <c r="X5" s="1"/>
      <c r="Y5" s="1"/>
      <c r="Z5" s="1"/>
      <c r="AA5" s="1"/>
      <c r="AB5" s="1"/>
    </row>
    <row r="6" ht="15.0" customHeight="1">
      <c r="A6" s="15"/>
      <c r="B6" s="16" t="s">
        <v>6</v>
      </c>
      <c r="C6" s="17"/>
      <c r="D6" s="18"/>
      <c r="E6" s="19"/>
      <c r="F6" s="17"/>
      <c r="G6" s="17"/>
      <c r="H6" s="17"/>
      <c r="I6" s="17"/>
      <c r="J6" s="17"/>
      <c r="K6" s="17"/>
      <c r="L6" s="17"/>
      <c r="M6" s="17"/>
      <c r="N6" s="17"/>
      <c r="O6" s="17"/>
      <c r="P6" s="17"/>
      <c r="Q6" s="17"/>
      <c r="R6" s="17"/>
      <c r="S6" s="17"/>
      <c r="T6" s="17"/>
      <c r="U6" s="18"/>
      <c r="V6" s="15"/>
      <c r="W6" s="15"/>
      <c r="X6" s="15"/>
      <c r="Y6" s="15"/>
      <c r="Z6" s="15"/>
      <c r="AA6" s="15"/>
      <c r="AB6" s="1"/>
    </row>
    <row r="7" ht="3.75" customHeight="1">
      <c r="A7" s="1"/>
      <c r="B7" s="1"/>
      <c r="V7" s="1"/>
      <c r="W7" s="1"/>
      <c r="X7" s="1"/>
      <c r="Y7" s="1"/>
      <c r="Z7" s="1"/>
      <c r="AA7" s="1"/>
      <c r="AB7" s="1"/>
    </row>
    <row r="8">
      <c r="A8" s="1"/>
      <c r="B8" s="20" t="s">
        <v>7</v>
      </c>
      <c r="C8" s="6"/>
      <c r="D8" s="6"/>
      <c r="E8" s="6"/>
      <c r="F8" s="6"/>
      <c r="G8" s="6"/>
      <c r="H8" s="6"/>
      <c r="I8" s="6"/>
      <c r="J8" s="6"/>
      <c r="K8" s="6"/>
      <c r="L8" s="6"/>
      <c r="M8" s="6"/>
      <c r="N8" s="6"/>
      <c r="O8" s="6"/>
      <c r="P8" s="6"/>
      <c r="Q8" s="6"/>
      <c r="R8" s="6"/>
      <c r="S8" s="6"/>
      <c r="T8" s="6"/>
      <c r="U8" s="7"/>
      <c r="V8" s="1"/>
      <c r="W8" s="1"/>
      <c r="X8" s="1"/>
      <c r="Y8" s="1"/>
      <c r="Z8" s="1"/>
      <c r="AA8" s="1"/>
      <c r="AB8" s="1"/>
    </row>
    <row r="9" ht="3.75" customHeight="1">
      <c r="A9" s="1"/>
      <c r="B9" s="1"/>
      <c r="V9" s="1"/>
      <c r="W9" s="1"/>
      <c r="X9" s="1"/>
      <c r="Y9" s="1"/>
      <c r="Z9" s="1"/>
      <c r="AA9" s="1"/>
      <c r="AB9" s="1"/>
    </row>
    <row r="10">
      <c r="A10" s="1"/>
      <c r="B10" s="21" t="s">
        <v>8</v>
      </c>
      <c r="C10" s="6"/>
      <c r="D10" s="6"/>
      <c r="E10" s="6"/>
      <c r="F10" s="6"/>
      <c r="G10" s="6"/>
      <c r="H10" s="6"/>
      <c r="I10" s="6"/>
      <c r="J10" s="6"/>
      <c r="K10" s="6"/>
      <c r="L10" s="6"/>
      <c r="M10" s="6"/>
      <c r="N10" s="6"/>
      <c r="O10" s="6"/>
      <c r="P10" s="6"/>
      <c r="Q10" s="6"/>
      <c r="R10" s="6"/>
      <c r="S10" s="6"/>
      <c r="T10" s="6"/>
      <c r="U10" s="7"/>
      <c r="V10" s="1"/>
      <c r="W10" s="1"/>
      <c r="X10" s="1"/>
      <c r="Y10" s="1"/>
      <c r="Z10" s="1"/>
      <c r="AA10" s="1"/>
      <c r="AB10" s="1"/>
    </row>
    <row r="11" ht="20.25" customHeight="1">
      <c r="A11" s="1"/>
      <c r="B11" s="22" t="s">
        <v>9</v>
      </c>
      <c r="C11" s="6"/>
      <c r="D11" s="6"/>
      <c r="E11" s="6"/>
      <c r="F11" s="6"/>
      <c r="G11" s="6"/>
      <c r="H11" s="6"/>
      <c r="I11" s="6"/>
      <c r="J11" s="6"/>
      <c r="K11" s="6"/>
      <c r="L11" s="6"/>
      <c r="M11" s="6"/>
      <c r="N11" s="23" t="s">
        <v>10</v>
      </c>
      <c r="O11" s="6"/>
      <c r="P11" s="6"/>
      <c r="Q11" s="7"/>
      <c r="R11" s="24" t="s">
        <v>11</v>
      </c>
      <c r="S11" s="6"/>
      <c r="T11" s="6"/>
      <c r="U11" s="7"/>
      <c r="V11" s="1"/>
      <c r="W11" s="1"/>
      <c r="X11" s="1"/>
      <c r="Y11" s="1"/>
      <c r="Z11" s="1"/>
      <c r="AA11" s="1"/>
      <c r="AB11" s="1"/>
    </row>
    <row r="12" ht="3.75" customHeight="1">
      <c r="A12" s="1"/>
      <c r="B12" s="25"/>
      <c r="V12" s="1"/>
      <c r="W12" s="1"/>
      <c r="X12" s="1"/>
      <c r="Y12" s="1"/>
      <c r="Z12" s="1"/>
      <c r="AA12" s="1"/>
      <c r="AB12" s="1"/>
    </row>
    <row r="13" ht="16.5" customHeight="1">
      <c r="A13" s="15"/>
      <c r="B13" s="26" t="s">
        <v>12</v>
      </c>
      <c r="C13" s="17"/>
      <c r="D13" s="17"/>
      <c r="E13" s="17"/>
      <c r="F13" s="17"/>
      <c r="G13" s="17"/>
      <c r="H13" s="17"/>
      <c r="I13" s="17"/>
      <c r="J13" s="17"/>
      <c r="K13" s="17"/>
      <c r="L13" s="17"/>
      <c r="M13" s="17"/>
      <c r="N13" s="17"/>
      <c r="O13" s="17"/>
      <c r="P13" s="17"/>
      <c r="Q13" s="17"/>
      <c r="R13" s="17"/>
      <c r="S13" s="17"/>
      <c r="T13" s="17"/>
      <c r="U13" s="18"/>
      <c r="V13" s="15"/>
      <c r="W13" s="15"/>
      <c r="X13" s="15"/>
      <c r="Y13" s="15"/>
      <c r="Z13" s="15"/>
      <c r="AA13" s="15"/>
      <c r="AB13" s="1"/>
    </row>
    <row r="14">
      <c r="A14" s="15"/>
      <c r="B14" s="26" t="s">
        <v>13</v>
      </c>
      <c r="C14" s="17"/>
      <c r="D14" s="18"/>
      <c r="E14" s="26" t="s">
        <v>14</v>
      </c>
      <c r="F14" s="17"/>
      <c r="G14" s="17"/>
      <c r="H14" s="17"/>
      <c r="I14" s="17"/>
      <c r="J14" s="18"/>
      <c r="K14" s="26" t="s">
        <v>15</v>
      </c>
      <c r="L14" s="17"/>
      <c r="M14" s="17"/>
      <c r="N14" s="18"/>
      <c r="O14" s="26" t="s">
        <v>16</v>
      </c>
      <c r="P14" s="18"/>
      <c r="Q14" s="27" t="s">
        <v>17</v>
      </c>
      <c r="R14" s="26" t="s">
        <v>18</v>
      </c>
      <c r="S14" s="17"/>
      <c r="T14" s="17"/>
      <c r="U14" s="18"/>
      <c r="V14" s="15"/>
      <c r="W14" s="15"/>
      <c r="X14" s="15"/>
      <c r="Y14" s="15"/>
      <c r="Z14" s="15"/>
      <c r="AA14" s="15"/>
      <c r="AB14" s="1"/>
    </row>
    <row r="15">
      <c r="A15" s="28"/>
      <c r="B15" s="29"/>
      <c r="C15" s="17"/>
      <c r="D15" s="18"/>
      <c r="E15" s="29"/>
      <c r="F15" s="17"/>
      <c r="G15" s="17"/>
      <c r="H15" s="17"/>
      <c r="I15" s="17"/>
      <c r="J15" s="18"/>
      <c r="K15" s="30" t="str">
        <f>IF(P21="","",P21)</f>
        <v/>
      </c>
      <c r="L15" s="17"/>
      <c r="M15" s="17"/>
      <c r="N15" s="18"/>
      <c r="O15" s="31"/>
      <c r="P15" s="18"/>
      <c r="Q15" s="32" t="str">
        <f>IF(OR(E15="",Contexto!U8=""),"",CONCATENATE(Contexto!U8,"_09"))</f>
        <v>#REF!</v>
      </c>
      <c r="R15" s="29"/>
      <c r="S15" s="17"/>
      <c r="T15" s="17"/>
      <c r="U15" s="18"/>
      <c r="V15" s="28"/>
      <c r="W15" s="28"/>
      <c r="X15" s="28"/>
      <c r="Y15" s="28"/>
      <c r="Z15" s="28"/>
      <c r="AA15" s="28"/>
      <c r="AB15" s="1"/>
    </row>
    <row r="16" ht="3.75" customHeight="1">
      <c r="A16" s="1"/>
      <c r="B16" s="1"/>
      <c r="V16" s="1"/>
      <c r="W16" s="1"/>
      <c r="X16" s="1"/>
      <c r="Y16" s="1"/>
      <c r="Z16" s="1"/>
      <c r="AA16" s="1"/>
      <c r="AB16" s="1"/>
    </row>
    <row r="17" ht="16.5" customHeight="1">
      <c r="A17" s="33"/>
      <c r="B17" s="26" t="s">
        <v>19</v>
      </c>
      <c r="C17" s="17"/>
      <c r="D17" s="17"/>
      <c r="E17" s="17"/>
      <c r="F17" s="17"/>
      <c r="G17" s="17"/>
      <c r="H17" s="17"/>
      <c r="I17" s="17"/>
      <c r="J17" s="17"/>
      <c r="K17" s="17"/>
      <c r="L17" s="17"/>
      <c r="M17" s="17"/>
      <c r="N17" s="17"/>
      <c r="O17" s="17"/>
      <c r="P17" s="17"/>
      <c r="Q17" s="17"/>
      <c r="R17" s="17"/>
      <c r="S17" s="17"/>
      <c r="T17" s="17"/>
      <c r="U17" s="18"/>
      <c r="V17" s="33"/>
      <c r="W17" s="33"/>
      <c r="X17" s="33"/>
      <c r="Y17" s="33"/>
      <c r="Z17" s="33"/>
      <c r="AA17" s="33"/>
      <c r="AB17" s="1"/>
    </row>
    <row r="18" ht="3.0" customHeight="1">
      <c r="A18" s="15"/>
      <c r="B18" s="34"/>
      <c r="V18" s="15"/>
      <c r="W18" s="15"/>
      <c r="X18" s="15"/>
      <c r="Y18" s="15"/>
      <c r="Z18" s="15"/>
      <c r="AA18" s="15"/>
      <c r="AB18" s="1"/>
    </row>
    <row r="19" ht="12.75" customHeight="1">
      <c r="A19" s="15"/>
      <c r="B19" s="35" t="s">
        <v>20</v>
      </c>
      <c r="C19" s="4"/>
      <c r="D19" s="35" t="s">
        <v>21</v>
      </c>
      <c r="E19" s="3"/>
      <c r="F19" s="3"/>
      <c r="G19" s="3"/>
      <c r="H19" s="3"/>
      <c r="I19" s="4"/>
      <c r="J19" s="21" t="s">
        <v>22</v>
      </c>
      <c r="K19" s="6"/>
      <c r="L19" s="6"/>
      <c r="M19" s="6"/>
      <c r="N19" s="7"/>
      <c r="O19" s="36" t="s">
        <v>23</v>
      </c>
      <c r="P19" s="35" t="s">
        <v>24</v>
      </c>
      <c r="Q19" s="3"/>
      <c r="R19" s="3"/>
      <c r="S19" s="3"/>
      <c r="T19" s="3"/>
      <c r="U19" s="4"/>
      <c r="V19" s="15"/>
      <c r="W19" s="15"/>
      <c r="X19" s="15"/>
      <c r="Y19" s="15"/>
      <c r="Z19" s="15"/>
      <c r="AA19" s="15"/>
      <c r="AB19" s="1"/>
    </row>
    <row r="20" ht="12.75" customHeight="1">
      <c r="A20" s="15"/>
      <c r="B20" s="11"/>
      <c r="C20" s="13"/>
      <c r="D20" s="11"/>
      <c r="E20" s="12"/>
      <c r="F20" s="12"/>
      <c r="G20" s="12"/>
      <c r="H20" s="12"/>
      <c r="I20" s="13"/>
      <c r="J20" s="37" t="s">
        <v>25</v>
      </c>
      <c r="K20" s="37" t="s">
        <v>26</v>
      </c>
      <c r="L20" s="37" t="s">
        <v>27</v>
      </c>
      <c r="M20" s="37" t="s">
        <v>28</v>
      </c>
      <c r="N20" s="37" t="s">
        <v>29</v>
      </c>
      <c r="O20" s="38"/>
      <c r="P20" s="11"/>
      <c r="Q20" s="12"/>
      <c r="R20" s="12"/>
      <c r="S20" s="12"/>
      <c r="T20" s="12"/>
      <c r="U20" s="13"/>
      <c r="V20" s="15"/>
      <c r="W20" s="15"/>
      <c r="X20" s="15"/>
      <c r="Y20" s="15"/>
      <c r="Z20" s="15"/>
      <c r="AA20" s="15"/>
      <c r="AB20" s="1"/>
    </row>
    <row r="21">
      <c r="A21" s="15"/>
      <c r="B21" s="22"/>
      <c r="C21" s="7"/>
      <c r="D21" s="39"/>
      <c r="E21" s="6"/>
      <c r="F21" s="6"/>
      <c r="G21" s="6"/>
      <c r="H21" s="6"/>
      <c r="I21" s="7"/>
      <c r="J21" s="40"/>
      <c r="K21" s="41"/>
      <c r="L21" s="41"/>
      <c r="M21" s="41"/>
      <c r="N21" s="41"/>
      <c r="O21" s="42" t="str">
        <f t="shared" ref="O21:O25" si="1">IF(J21="","",AVERAGE(J21:N21))</f>
        <v/>
      </c>
      <c r="P21" s="43" t="str">
        <f>IF(D21="","", CONCATENATE(X21,"
",X22,"
",X23,"
",X24,"
",X25))</f>
        <v/>
      </c>
      <c r="Q21" s="3"/>
      <c r="R21" s="3"/>
      <c r="S21" s="3"/>
      <c r="T21" s="3"/>
      <c r="U21" s="4"/>
      <c r="V21" s="15"/>
      <c r="W21" s="15"/>
      <c r="X21" s="44" t="str">
        <f t="shared" ref="X21:X25" si="2">IF(J21="","",IF(O21&gt;=3,D21,""))</f>
        <v/>
      </c>
      <c r="Y21" s="15"/>
      <c r="Z21" s="15"/>
      <c r="AA21" s="15"/>
      <c r="AB21" s="1"/>
    </row>
    <row r="22">
      <c r="A22" s="15"/>
      <c r="B22" s="22"/>
      <c r="C22" s="7"/>
      <c r="D22" s="39"/>
      <c r="E22" s="6"/>
      <c r="F22" s="6"/>
      <c r="G22" s="6"/>
      <c r="H22" s="6"/>
      <c r="I22" s="7"/>
      <c r="J22" s="40"/>
      <c r="K22" s="41"/>
      <c r="L22" s="41"/>
      <c r="M22" s="41"/>
      <c r="N22" s="41"/>
      <c r="O22" s="42" t="str">
        <f t="shared" si="1"/>
        <v/>
      </c>
      <c r="P22" s="8"/>
      <c r="U22" s="9"/>
      <c r="V22" s="15"/>
      <c r="W22" s="15"/>
      <c r="X22" s="44" t="str">
        <f t="shared" si="2"/>
        <v/>
      </c>
      <c r="Y22" s="15"/>
      <c r="Z22" s="15"/>
      <c r="AA22" s="15"/>
      <c r="AB22" s="1"/>
    </row>
    <row r="23">
      <c r="A23" s="15"/>
      <c r="B23" s="22"/>
      <c r="C23" s="7"/>
      <c r="D23" s="39"/>
      <c r="E23" s="6"/>
      <c r="F23" s="6"/>
      <c r="G23" s="6"/>
      <c r="H23" s="6"/>
      <c r="I23" s="7"/>
      <c r="J23" s="40"/>
      <c r="K23" s="41"/>
      <c r="L23" s="41"/>
      <c r="M23" s="41"/>
      <c r="N23" s="41"/>
      <c r="O23" s="42" t="str">
        <f t="shared" si="1"/>
        <v/>
      </c>
      <c r="P23" s="8"/>
      <c r="U23" s="9"/>
      <c r="V23" s="15"/>
      <c r="W23" s="15"/>
      <c r="X23" s="44" t="str">
        <f t="shared" si="2"/>
        <v/>
      </c>
      <c r="Y23" s="15"/>
      <c r="Z23" s="15"/>
      <c r="AA23" s="15"/>
      <c r="AB23" s="1"/>
    </row>
    <row r="24">
      <c r="A24" s="15"/>
      <c r="B24" s="22"/>
      <c r="C24" s="7"/>
      <c r="D24" s="39"/>
      <c r="E24" s="6"/>
      <c r="F24" s="6"/>
      <c r="G24" s="6"/>
      <c r="H24" s="6"/>
      <c r="I24" s="7"/>
      <c r="J24" s="40"/>
      <c r="K24" s="41"/>
      <c r="L24" s="41"/>
      <c r="M24" s="41"/>
      <c r="N24" s="41"/>
      <c r="O24" s="42" t="str">
        <f t="shared" si="1"/>
        <v/>
      </c>
      <c r="P24" s="8"/>
      <c r="U24" s="9"/>
      <c r="V24" s="15"/>
      <c r="W24" s="15"/>
      <c r="X24" s="44" t="str">
        <f t="shared" si="2"/>
        <v/>
      </c>
      <c r="Y24" s="15"/>
      <c r="Z24" s="15"/>
      <c r="AA24" s="15"/>
      <c r="AB24" s="1"/>
    </row>
    <row r="25">
      <c r="A25" s="15"/>
      <c r="B25" s="22"/>
      <c r="C25" s="7"/>
      <c r="D25" s="39"/>
      <c r="E25" s="6"/>
      <c r="F25" s="6"/>
      <c r="G25" s="6"/>
      <c r="H25" s="6"/>
      <c r="I25" s="7"/>
      <c r="J25" s="40"/>
      <c r="K25" s="41"/>
      <c r="L25" s="41"/>
      <c r="M25" s="41"/>
      <c r="N25" s="41"/>
      <c r="O25" s="42" t="str">
        <f t="shared" si="1"/>
        <v/>
      </c>
      <c r="P25" s="11"/>
      <c r="Q25" s="12"/>
      <c r="R25" s="12"/>
      <c r="S25" s="12"/>
      <c r="T25" s="12"/>
      <c r="U25" s="13"/>
      <c r="V25" s="15"/>
      <c r="W25" s="15"/>
      <c r="X25" s="44" t="str">
        <f t="shared" si="2"/>
        <v/>
      </c>
      <c r="Y25" s="15"/>
      <c r="Z25" s="15"/>
      <c r="AA25" s="15"/>
      <c r="AB25" s="1"/>
    </row>
    <row r="26" ht="3.0" customHeight="1">
      <c r="A26" s="15"/>
      <c r="B26" s="34"/>
      <c r="V26" s="15"/>
      <c r="W26" s="15"/>
      <c r="X26" s="15"/>
      <c r="Y26" s="15"/>
      <c r="Z26" s="15"/>
      <c r="AA26" s="15"/>
      <c r="AB26" s="1"/>
    </row>
    <row r="27">
      <c r="A27" s="1"/>
      <c r="B27" s="45" t="s">
        <v>30</v>
      </c>
      <c r="C27" s="6"/>
      <c r="D27" s="6"/>
      <c r="E27" s="6"/>
      <c r="F27" s="6"/>
      <c r="G27" s="6"/>
      <c r="H27" s="6"/>
      <c r="I27" s="6"/>
      <c r="J27" s="6"/>
      <c r="K27" s="6"/>
      <c r="L27" s="6"/>
      <c r="M27" s="6"/>
      <c r="N27" s="6"/>
      <c r="O27" s="6"/>
      <c r="P27" s="6"/>
      <c r="Q27" s="6"/>
      <c r="R27" s="6"/>
      <c r="S27" s="6"/>
      <c r="T27" s="6"/>
      <c r="U27" s="7"/>
      <c r="V27" s="46"/>
      <c r="W27" s="46"/>
      <c r="X27" s="1"/>
      <c r="Y27" s="1"/>
      <c r="Z27" s="1"/>
      <c r="AA27" s="1"/>
      <c r="AB27" s="1"/>
    </row>
    <row r="28" ht="3.75" customHeight="1">
      <c r="A28" s="1"/>
      <c r="B28" s="1"/>
      <c r="V28" s="1"/>
      <c r="W28" s="1"/>
      <c r="X28" s="1"/>
      <c r="Y28" s="1"/>
      <c r="Z28" s="1"/>
      <c r="AA28" s="1"/>
      <c r="AB28" s="1"/>
    </row>
    <row r="29">
      <c r="A29" s="1"/>
      <c r="B29" s="21" t="s">
        <v>31</v>
      </c>
      <c r="C29" s="6"/>
      <c r="D29" s="6"/>
      <c r="E29" s="6"/>
      <c r="F29" s="6"/>
      <c r="G29" s="6"/>
      <c r="H29" s="6"/>
      <c r="I29" s="6"/>
      <c r="J29" s="6"/>
      <c r="K29" s="6"/>
      <c r="L29" s="6"/>
      <c r="M29" s="6"/>
      <c r="N29" s="6"/>
      <c r="O29" s="6"/>
      <c r="P29" s="6"/>
      <c r="Q29" s="6"/>
      <c r="R29" s="6"/>
      <c r="S29" s="6"/>
      <c r="T29" s="6"/>
      <c r="U29" s="7"/>
      <c r="V29" s="1"/>
      <c r="W29" s="1"/>
      <c r="X29" s="1"/>
      <c r="Y29" s="1"/>
      <c r="Z29" s="1"/>
      <c r="AA29" s="1"/>
      <c r="AB29" s="1"/>
    </row>
    <row r="30" ht="12.75" customHeight="1">
      <c r="A30" s="1"/>
      <c r="B30" s="47" t="s">
        <v>32</v>
      </c>
      <c r="C30" s="7"/>
      <c r="D30" s="48" t="s">
        <v>33</v>
      </c>
      <c r="E30" s="7"/>
      <c r="F30" s="47" t="s">
        <v>34</v>
      </c>
      <c r="G30" s="6"/>
      <c r="H30" s="6"/>
      <c r="I30" s="6"/>
      <c r="J30" s="6"/>
      <c r="K30" s="6"/>
      <c r="L30" s="6"/>
      <c r="M30" s="6"/>
      <c r="N30" s="6"/>
      <c r="O30" s="6"/>
      <c r="P30" s="6"/>
      <c r="Q30" s="7"/>
      <c r="R30" s="47" t="s">
        <v>35</v>
      </c>
      <c r="S30" s="7"/>
      <c r="T30" s="47" t="s">
        <v>32</v>
      </c>
      <c r="U30" s="7"/>
      <c r="V30" s="1"/>
      <c r="W30" s="1"/>
      <c r="X30" s="1"/>
      <c r="Y30" s="1"/>
      <c r="Z30" s="1"/>
      <c r="AA30" s="1"/>
      <c r="AB30" s="1"/>
    </row>
    <row r="31">
      <c r="A31" s="1"/>
      <c r="B31" s="49">
        <v>0.2</v>
      </c>
      <c r="C31" s="7"/>
      <c r="D31" s="50" t="s">
        <v>36</v>
      </c>
      <c r="E31" s="7"/>
      <c r="F31" s="22" t="s">
        <v>37</v>
      </c>
      <c r="G31" s="6"/>
      <c r="H31" s="6"/>
      <c r="I31" s="6"/>
      <c r="J31" s="6"/>
      <c r="K31" s="6"/>
      <c r="L31" s="6"/>
      <c r="M31" s="6"/>
      <c r="N31" s="6"/>
      <c r="O31" s="6"/>
      <c r="P31" s="6"/>
      <c r="Q31" s="7"/>
      <c r="R31" s="51"/>
      <c r="S31" s="4"/>
      <c r="T31" s="52" t="str">
        <f>IF(R31="","",IF(R31=Listas!CO4,20%,IF(R31=Listas!CO5,40%,IF(R31=Listas!CO6,60%,IF(R31=Listas!CO7,80%,IF(R31=Listas!CO8,100%,))))))</f>
        <v/>
      </c>
      <c r="U31" s="4"/>
      <c r="V31" s="1"/>
      <c r="W31" s="1"/>
      <c r="X31" s="53"/>
      <c r="Y31" s="1"/>
      <c r="Z31" s="1"/>
      <c r="AA31" s="1"/>
      <c r="AB31" s="1"/>
    </row>
    <row r="32">
      <c r="A32" s="1"/>
      <c r="B32" s="49">
        <v>0.4</v>
      </c>
      <c r="C32" s="7"/>
      <c r="D32" s="50" t="s">
        <v>38</v>
      </c>
      <c r="E32" s="7"/>
      <c r="F32" s="22" t="s">
        <v>39</v>
      </c>
      <c r="G32" s="6"/>
      <c r="H32" s="6"/>
      <c r="I32" s="6"/>
      <c r="J32" s="6"/>
      <c r="K32" s="6"/>
      <c r="L32" s="6"/>
      <c r="M32" s="6"/>
      <c r="N32" s="6"/>
      <c r="O32" s="6"/>
      <c r="P32" s="6"/>
      <c r="Q32" s="7"/>
      <c r="R32" s="8"/>
      <c r="S32" s="9"/>
      <c r="T32" s="8"/>
      <c r="U32" s="9"/>
      <c r="V32" s="1"/>
      <c r="W32" s="1"/>
      <c r="X32" s="53" t="str">
        <f>IF(N31="","",IF(N31=Listas!CO4,20%,IF(N31=Listas!CO5,40%,IF(N31=Listas!CO6,60%,IF(N31=Listas!CO7,80%,IF(N31=Listas!CO8,100%,))))))</f>
        <v/>
      </c>
      <c r="Y32" s="1"/>
      <c r="Z32" s="1"/>
      <c r="AA32" s="1"/>
      <c r="AB32" s="1"/>
    </row>
    <row r="33">
      <c r="A33" s="1"/>
      <c r="B33" s="49">
        <v>0.6</v>
      </c>
      <c r="C33" s="7"/>
      <c r="D33" s="50" t="s">
        <v>40</v>
      </c>
      <c r="E33" s="7"/>
      <c r="F33" s="22" t="s">
        <v>41</v>
      </c>
      <c r="G33" s="6"/>
      <c r="H33" s="6"/>
      <c r="I33" s="6"/>
      <c r="J33" s="6"/>
      <c r="K33" s="6"/>
      <c r="L33" s="6"/>
      <c r="M33" s="6"/>
      <c r="N33" s="6"/>
      <c r="O33" s="6"/>
      <c r="P33" s="6"/>
      <c r="Q33" s="7"/>
      <c r="R33" s="8"/>
      <c r="S33" s="9"/>
      <c r="T33" s="8"/>
      <c r="U33" s="9"/>
      <c r="V33" s="1"/>
      <c r="W33" s="1"/>
      <c r="X33" s="53" t="str">
        <f>IF(O31="","",IF(O31=Listas!CO4,20%,IF(O31=Listas!CO5,40%,IF(O31=Listas!CO6,60%,IF(O31=Listas!CO7,80%,IF(O31=Listas!CO8,100%,))))))</f>
        <v/>
      </c>
      <c r="Y33" s="1"/>
      <c r="Z33" s="1"/>
      <c r="AA33" s="1"/>
      <c r="AB33" s="1"/>
    </row>
    <row r="34">
      <c r="A34" s="1"/>
      <c r="B34" s="49">
        <v>0.8</v>
      </c>
      <c r="C34" s="7"/>
      <c r="D34" s="50" t="s">
        <v>42</v>
      </c>
      <c r="E34" s="7"/>
      <c r="F34" s="22" t="s">
        <v>43</v>
      </c>
      <c r="G34" s="6"/>
      <c r="H34" s="6"/>
      <c r="I34" s="6"/>
      <c r="J34" s="6"/>
      <c r="K34" s="6"/>
      <c r="L34" s="6"/>
      <c r="M34" s="6"/>
      <c r="N34" s="6"/>
      <c r="O34" s="6"/>
      <c r="P34" s="6"/>
      <c r="Q34" s="7"/>
      <c r="R34" s="8"/>
      <c r="S34" s="9"/>
      <c r="T34" s="8"/>
      <c r="U34" s="9"/>
      <c r="V34" s="1"/>
      <c r="W34" s="1"/>
      <c r="X34" s="53" t="str">
        <f>IF(P31="","",IF(P31=Listas!CO4,20%,IF(P31=Listas!CO5,40%,IF(P31=Listas!CO6,60%,IF(P31=Listas!CO7,80%,IF(P31=Listas!CO8,100%,))))))</f>
        <v/>
      </c>
      <c r="Y34" s="1"/>
      <c r="Z34" s="1"/>
      <c r="AA34" s="1"/>
      <c r="AB34" s="1"/>
    </row>
    <row r="35">
      <c r="A35" s="1"/>
      <c r="B35" s="49">
        <v>1.0</v>
      </c>
      <c r="C35" s="7"/>
      <c r="D35" s="50" t="s">
        <v>44</v>
      </c>
      <c r="E35" s="7"/>
      <c r="F35" s="22" t="s">
        <v>45</v>
      </c>
      <c r="G35" s="6"/>
      <c r="H35" s="6"/>
      <c r="I35" s="6"/>
      <c r="J35" s="6"/>
      <c r="K35" s="6"/>
      <c r="L35" s="6"/>
      <c r="M35" s="6"/>
      <c r="N35" s="6"/>
      <c r="O35" s="6"/>
      <c r="P35" s="6"/>
      <c r="Q35" s="7"/>
      <c r="R35" s="11"/>
      <c r="S35" s="13"/>
      <c r="T35" s="11"/>
      <c r="U35" s="13"/>
      <c r="V35" s="1"/>
      <c r="W35" s="1"/>
      <c r="X35" s="53" t="str">
        <f>IF(Q31="","",IF(Q31=Listas!CO4,20%,IF(Q31=Listas!CO5,40%,IF(Q31=Listas!CO6,60%,IF(Q31=Listas!CO7,80%,IF(Q31=Listas!CO8,100%,))))))</f>
        <v/>
      </c>
      <c r="Y35" s="1"/>
      <c r="Z35" s="1"/>
      <c r="AA35" s="1"/>
      <c r="AB35" s="1"/>
    </row>
    <row r="36" ht="3.75" customHeight="1">
      <c r="A36" s="1"/>
      <c r="B36" s="1"/>
      <c r="V36" s="1"/>
      <c r="W36" s="1"/>
      <c r="X36" s="1"/>
      <c r="Y36" s="1"/>
      <c r="Z36" s="1"/>
      <c r="AA36" s="1"/>
      <c r="AB36" s="1"/>
    </row>
    <row r="37">
      <c r="A37" s="1"/>
      <c r="B37" s="21" t="s">
        <v>46</v>
      </c>
      <c r="C37" s="6"/>
      <c r="D37" s="6"/>
      <c r="E37" s="6"/>
      <c r="F37" s="6"/>
      <c r="G37" s="6"/>
      <c r="H37" s="6"/>
      <c r="I37" s="6"/>
      <c r="J37" s="6"/>
      <c r="K37" s="6"/>
      <c r="L37" s="6"/>
      <c r="M37" s="6"/>
      <c r="N37" s="6"/>
      <c r="O37" s="6"/>
      <c r="P37" s="6"/>
      <c r="Q37" s="6"/>
      <c r="R37" s="6"/>
      <c r="S37" s="6"/>
      <c r="T37" s="6"/>
      <c r="U37" s="7"/>
      <c r="V37" s="1"/>
      <c r="W37" s="1"/>
      <c r="X37" s="1"/>
      <c r="Y37" s="1"/>
      <c r="Z37" s="1"/>
      <c r="AA37" s="1"/>
      <c r="AB37" s="1"/>
    </row>
    <row r="38">
      <c r="A38" s="1"/>
      <c r="B38" s="54" t="s">
        <v>32</v>
      </c>
      <c r="C38" s="7"/>
      <c r="D38" s="54" t="s">
        <v>47</v>
      </c>
      <c r="E38" s="6"/>
      <c r="F38" s="6"/>
      <c r="G38" s="6"/>
      <c r="H38" s="6"/>
      <c r="I38" s="6"/>
      <c r="J38" s="6"/>
      <c r="K38" s="6"/>
      <c r="L38" s="7"/>
      <c r="M38" s="54" t="s">
        <v>48</v>
      </c>
      <c r="N38" s="6"/>
      <c r="O38" s="6"/>
      <c r="P38" s="6"/>
      <c r="Q38" s="6"/>
      <c r="R38" s="6"/>
      <c r="S38" s="6"/>
      <c r="T38" s="6"/>
      <c r="U38" s="7"/>
      <c r="V38" s="1"/>
      <c r="W38" s="1"/>
      <c r="X38" s="1"/>
      <c r="Y38" s="1"/>
      <c r="Z38" s="1"/>
      <c r="AA38" s="1"/>
      <c r="AB38" s="1"/>
    </row>
    <row r="39" ht="17.25" customHeight="1">
      <c r="A39" s="1"/>
      <c r="B39" s="22" t="s">
        <v>49</v>
      </c>
      <c r="C39" s="7"/>
      <c r="D39" s="22" t="s">
        <v>50</v>
      </c>
      <c r="E39" s="6"/>
      <c r="F39" s="6"/>
      <c r="G39" s="6"/>
      <c r="H39" s="6"/>
      <c r="I39" s="6"/>
      <c r="J39" s="6"/>
      <c r="K39" s="7"/>
      <c r="L39" s="55"/>
      <c r="M39" s="22" t="s">
        <v>51</v>
      </c>
      <c r="N39" s="6"/>
      <c r="O39" s="6"/>
      <c r="P39" s="6"/>
      <c r="Q39" s="6"/>
      <c r="R39" s="6"/>
      <c r="S39" s="6"/>
      <c r="T39" s="7"/>
      <c r="U39" s="55"/>
      <c r="V39" s="1"/>
      <c r="W39" s="1"/>
      <c r="X39" s="1"/>
      <c r="Y39" s="1"/>
      <c r="Z39" s="1"/>
      <c r="AA39" s="1"/>
      <c r="AB39" s="1"/>
    </row>
    <row r="40" ht="23.25" customHeight="1">
      <c r="A40" s="1"/>
      <c r="B40" s="22" t="s">
        <v>52</v>
      </c>
      <c r="C40" s="7"/>
      <c r="D40" s="22" t="s">
        <v>53</v>
      </c>
      <c r="E40" s="6"/>
      <c r="F40" s="6"/>
      <c r="G40" s="6"/>
      <c r="H40" s="6"/>
      <c r="I40" s="6"/>
      <c r="J40" s="6"/>
      <c r="K40" s="7"/>
      <c r="L40" s="55"/>
      <c r="M40" s="22" t="s">
        <v>54</v>
      </c>
      <c r="N40" s="6"/>
      <c r="O40" s="6"/>
      <c r="P40" s="6"/>
      <c r="Q40" s="6"/>
      <c r="R40" s="6"/>
      <c r="S40" s="6"/>
      <c r="T40" s="7"/>
      <c r="U40" s="55"/>
      <c r="V40" s="1"/>
      <c r="W40" s="1"/>
      <c r="X40" s="1"/>
      <c r="Y40" s="1"/>
      <c r="Z40" s="1"/>
      <c r="AA40" s="1"/>
      <c r="AB40" s="1"/>
    </row>
    <row r="41" ht="23.25" customHeight="1">
      <c r="A41" s="1"/>
      <c r="B41" s="22" t="s">
        <v>55</v>
      </c>
      <c r="C41" s="7"/>
      <c r="D41" s="22" t="s">
        <v>56</v>
      </c>
      <c r="E41" s="6"/>
      <c r="F41" s="6"/>
      <c r="G41" s="6"/>
      <c r="H41" s="6"/>
      <c r="I41" s="6"/>
      <c r="J41" s="6"/>
      <c r="K41" s="7"/>
      <c r="L41" s="55"/>
      <c r="M41" s="22" t="s">
        <v>57</v>
      </c>
      <c r="N41" s="6"/>
      <c r="O41" s="6"/>
      <c r="P41" s="6"/>
      <c r="Q41" s="6"/>
      <c r="R41" s="6"/>
      <c r="S41" s="6"/>
      <c r="T41" s="7"/>
      <c r="U41" s="55"/>
      <c r="V41" s="1"/>
      <c r="W41" s="1"/>
      <c r="X41" s="1"/>
      <c r="Y41" s="1"/>
      <c r="Z41" s="1"/>
      <c r="AA41" s="1"/>
      <c r="AB41" s="1"/>
    </row>
    <row r="42" ht="23.25" customHeight="1">
      <c r="A42" s="1"/>
      <c r="B42" s="22" t="s">
        <v>58</v>
      </c>
      <c r="C42" s="7"/>
      <c r="D42" s="22" t="s">
        <v>59</v>
      </c>
      <c r="E42" s="6"/>
      <c r="F42" s="6"/>
      <c r="G42" s="6"/>
      <c r="H42" s="6"/>
      <c r="I42" s="6"/>
      <c r="J42" s="6"/>
      <c r="K42" s="7"/>
      <c r="L42" s="55"/>
      <c r="M42" s="22" t="s">
        <v>60</v>
      </c>
      <c r="N42" s="6"/>
      <c r="O42" s="6"/>
      <c r="P42" s="6"/>
      <c r="Q42" s="6"/>
      <c r="R42" s="6"/>
      <c r="S42" s="6"/>
      <c r="T42" s="7"/>
      <c r="U42" s="55"/>
      <c r="V42" s="1"/>
      <c r="W42" s="1"/>
      <c r="X42" s="1"/>
      <c r="Y42" s="1"/>
      <c r="Z42" s="1"/>
      <c r="AA42" s="1"/>
      <c r="AB42" s="1"/>
    </row>
    <row r="43" ht="23.25" customHeight="1">
      <c r="A43" s="1"/>
      <c r="B43" s="22" t="s">
        <v>61</v>
      </c>
      <c r="C43" s="7"/>
      <c r="D43" s="22" t="s">
        <v>62</v>
      </c>
      <c r="E43" s="6"/>
      <c r="F43" s="6"/>
      <c r="G43" s="6"/>
      <c r="H43" s="6"/>
      <c r="I43" s="6"/>
      <c r="J43" s="6"/>
      <c r="K43" s="7"/>
      <c r="L43" s="55"/>
      <c r="M43" s="22" t="s">
        <v>63</v>
      </c>
      <c r="N43" s="6"/>
      <c r="O43" s="6"/>
      <c r="P43" s="6"/>
      <c r="Q43" s="6"/>
      <c r="R43" s="6"/>
      <c r="S43" s="6"/>
      <c r="T43" s="7"/>
      <c r="U43" s="55"/>
      <c r="V43" s="1"/>
      <c r="W43" s="1"/>
      <c r="X43" s="1"/>
      <c r="Y43" s="1"/>
      <c r="Z43" s="1"/>
      <c r="AA43" s="1"/>
      <c r="AB43" s="1"/>
    </row>
    <row r="44" hidden="1">
      <c r="A44" s="1"/>
      <c r="B44" s="25" t="s">
        <v>64</v>
      </c>
      <c r="D44" s="56" t="str">
        <f>IF(AND(L39="",L40="",L41="",L42="",L43="",U39="",U40="",U41="",U42="",U43=""),"Sin clasificar",IF(OR(L43="X",U43="X"),Listas!CP8,IF(OR(L42="X",U42="X"),Listas!CP7,IF(OR(L41="X",U41="X"),Listas!CP6,IF(OR(L40="X",U40="X"),Listas!CP5,IF(OR(L39="X",U39="X"),Listas!CP4,))))))</f>
        <v>Sin clasificar</v>
      </c>
      <c r="M44" s="25" t="s">
        <v>65</v>
      </c>
      <c r="O44" s="57" t="str">
        <f>IF(D44="Sin clasificar","",IF(D44=Listas!CP4,20%,IF(D44=Listas!CP5,40%,IF(D44=Listas!CP6,60%,IF(D44=Listas!CP7,80%,IF(D44=Listas!CP8,100%,))))))</f>
        <v/>
      </c>
      <c r="V44" s="1"/>
      <c r="W44" s="1"/>
      <c r="X44" s="1"/>
      <c r="Y44" s="1"/>
      <c r="Z44" s="1"/>
      <c r="AA44" s="1"/>
      <c r="AB44" s="1"/>
    </row>
    <row r="45" ht="3.75" customHeight="1">
      <c r="A45" s="1"/>
      <c r="B45" s="1"/>
      <c r="V45" s="1"/>
      <c r="W45" s="1"/>
      <c r="X45" s="1"/>
      <c r="Y45" s="1"/>
      <c r="Z45" s="1"/>
      <c r="AA45" s="1"/>
      <c r="AB45" s="1"/>
    </row>
    <row r="46">
      <c r="A46" s="1"/>
      <c r="B46" s="21" t="s">
        <v>66</v>
      </c>
      <c r="C46" s="6"/>
      <c r="D46" s="6"/>
      <c r="E46" s="6"/>
      <c r="F46" s="6"/>
      <c r="G46" s="6"/>
      <c r="H46" s="6"/>
      <c r="I46" s="6"/>
      <c r="J46" s="6"/>
      <c r="K46" s="6"/>
      <c r="L46" s="6"/>
      <c r="M46" s="6"/>
      <c r="N46" s="6"/>
      <c r="O46" s="6"/>
      <c r="P46" s="6"/>
      <c r="Q46" s="6"/>
      <c r="R46" s="6"/>
      <c r="S46" s="6"/>
      <c r="T46" s="6"/>
      <c r="U46" s="7"/>
      <c r="V46" s="1"/>
      <c r="W46" s="1"/>
      <c r="X46" s="1"/>
      <c r="Y46" s="1"/>
      <c r="Z46" s="1"/>
      <c r="AA46" s="1"/>
      <c r="AB46" s="1"/>
    </row>
    <row r="47">
      <c r="A47" s="1"/>
      <c r="B47" s="54" t="s">
        <v>67</v>
      </c>
      <c r="C47" s="6"/>
      <c r="D47" s="6"/>
      <c r="E47" s="6"/>
      <c r="F47" s="6"/>
      <c r="G47" s="6"/>
      <c r="H47" s="7"/>
      <c r="I47" s="54" t="s">
        <v>68</v>
      </c>
      <c r="J47" s="7"/>
      <c r="K47" s="54" t="s">
        <v>67</v>
      </c>
      <c r="L47" s="6"/>
      <c r="M47" s="6"/>
      <c r="N47" s="6"/>
      <c r="O47" s="6"/>
      <c r="P47" s="6"/>
      <c r="Q47" s="7"/>
      <c r="R47" s="54" t="s">
        <v>68</v>
      </c>
      <c r="S47" s="7"/>
      <c r="T47" s="58"/>
      <c r="U47" s="7"/>
      <c r="V47" s="1"/>
      <c r="W47" s="1"/>
      <c r="X47" s="1"/>
      <c r="Y47" s="1"/>
      <c r="Z47" s="1"/>
      <c r="AA47" s="1"/>
      <c r="AB47" s="1"/>
    </row>
    <row r="48">
      <c r="A48" s="1"/>
      <c r="B48" s="40">
        <v>1.0</v>
      </c>
      <c r="C48" s="59" t="s">
        <v>69</v>
      </c>
      <c r="D48" s="60"/>
      <c r="E48" s="60"/>
      <c r="F48" s="60"/>
      <c r="G48" s="60"/>
      <c r="H48" s="61"/>
      <c r="I48" s="62"/>
      <c r="J48" s="7"/>
      <c r="K48" s="40">
        <v>11.0</v>
      </c>
      <c r="L48" s="59" t="s">
        <v>70</v>
      </c>
      <c r="M48" s="60"/>
      <c r="N48" s="60"/>
      <c r="O48" s="60"/>
      <c r="P48" s="60"/>
      <c r="Q48" s="61"/>
      <c r="R48" s="62"/>
      <c r="S48" s="7"/>
      <c r="T48" s="2" t="str">
        <f>IF(R57=0,"Sin clasificar",IF(AND(R57&gt;=1,R57&lt;=5),Listas!CP6,IF(AND(R57&gt;=6,R57&lt;=12),Listas!CP7,IF(R57&gt;=12,Listas!CP8,""))))</f>
        <v>Sin clasificar</v>
      </c>
      <c r="U48" s="4"/>
      <c r="V48" s="1"/>
      <c r="W48" s="1"/>
      <c r="X48" s="1"/>
      <c r="Y48" s="1"/>
      <c r="Z48" s="1"/>
      <c r="AA48" s="1"/>
      <c r="AB48" s="1"/>
    </row>
    <row r="49">
      <c r="A49" s="1"/>
      <c r="B49" s="40">
        <v>2.0</v>
      </c>
      <c r="C49" s="59" t="s">
        <v>71</v>
      </c>
      <c r="D49" s="60"/>
      <c r="E49" s="60"/>
      <c r="F49" s="60"/>
      <c r="G49" s="60"/>
      <c r="H49" s="61"/>
      <c r="I49" s="62"/>
      <c r="J49" s="7"/>
      <c r="K49" s="40">
        <v>12.0</v>
      </c>
      <c r="L49" s="59" t="s">
        <v>72</v>
      </c>
      <c r="M49" s="60"/>
      <c r="N49" s="60"/>
      <c r="O49" s="60"/>
      <c r="P49" s="60"/>
      <c r="Q49" s="61"/>
      <c r="R49" s="62"/>
      <c r="S49" s="7"/>
      <c r="T49" s="8"/>
      <c r="U49" s="9"/>
      <c r="V49" s="1"/>
      <c r="W49" s="1"/>
      <c r="X49" s="1"/>
      <c r="Y49" s="1"/>
      <c r="Z49" s="1"/>
      <c r="AA49" s="1"/>
      <c r="AB49" s="1"/>
    </row>
    <row r="50">
      <c r="A50" s="1"/>
      <c r="B50" s="40">
        <v>3.0</v>
      </c>
      <c r="C50" s="59" t="s">
        <v>73</v>
      </c>
      <c r="D50" s="60"/>
      <c r="E50" s="60"/>
      <c r="F50" s="60"/>
      <c r="G50" s="60"/>
      <c r="H50" s="61"/>
      <c r="I50" s="62"/>
      <c r="J50" s="7"/>
      <c r="K50" s="40">
        <v>13.0</v>
      </c>
      <c r="L50" s="59" t="s">
        <v>74</v>
      </c>
      <c r="M50" s="60"/>
      <c r="N50" s="60"/>
      <c r="O50" s="60"/>
      <c r="P50" s="60"/>
      <c r="Q50" s="61"/>
      <c r="R50" s="62"/>
      <c r="S50" s="7"/>
      <c r="T50" s="8"/>
      <c r="U50" s="9"/>
      <c r="V50" s="1"/>
      <c r="W50" s="1"/>
      <c r="X50" s="1"/>
      <c r="Y50" s="1"/>
      <c r="Z50" s="1"/>
      <c r="AA50" s="1"/>
      <c r="AB50" s="1"/>
    </row>
    <row r="51">
      <c r="A51" s="1"/>
      <c r="B51" s="40">
        <v>4.0</v>
      </c>
      <c r="C51" s="59" t="s">
        <v>75</v>
      </c>
      <c r="D51" s="60"/>
      <c r="E51" s="60"/>
      <c r="F51" s="60"/>
      <c r="G51" s="60"/>
      <c r="H51" s="61"/>
      <c r="I51" s="62"/>
      <c r="J51" s="7"/>
      <c r="K51" s="40">
        <v>14.0</v>
      </c>
      <c r="L51" s="59" t="s">
        <v>76</v>
      </c>
      <c r="M51" s="60"/>
      <c r="N51" s="60"/>
      <c r="O51" s="60"/>
      <c r="P51" s="60"/>
      <c r="Q51" s="61"/>
      <c r="R51" s="62"/>
      <c r="S51" s="7"/>
      <c r="T51" s="8"/>
      <c r="U51" s="9"/>
      <c r="V51" s="1"/>
      <c r="W51" s="1"/>
      <c r="X51" s="1"/>
      <c r="Y51" s="1"/>
      <c r="Z51" s="1"/>
      <c r="AA51" s="1"/>
      <c r="AB51" s="1"/>
    </row>
    <row r="52">
      <c r="A52" s="1"/>
      <c r="B52" s="40">
        <v>5.0</v>
      </c>
      <c r="C52" s="59" t="s">
        <v>77</v>
      </c>
      <c r="D52" s="60"/>
      <c r="E52" s="60"/>
      <c r="F52" s="60"/>
      <c r="G52" s="60"/>
      <c r="H52" s="61"/>
      <c r="I52" s="62"/>
      <c r="J52" s="7"/>
      <c r="K52" s="40">
        <v>15.0</v>
      </c>
      <c r="L52" s="59" t="s">
        <v>78</v>
      </c>
      <c r="M52" s="60"/>
      <c r="N52" s="60"/>
      <c r="O52" s="60"/>
      <c r="P52" s="60"/>
      <c r="Q52" s="61"/>
      <c r="R52" s="62"/>
      <c r="S52" s="7"/>
      <c r="T52" s="8"/>
      <c r="U52" s="9"/>
      <c r="V52" s="1"/>
      <c r="W52" s="1"/>
      <c r="X52" s="1"/>
      <c r="Y52" s="1"/>
      <c r="Z52" s="1"/>
      <c r="AA52" s="1"/>
      <c r="AB52" s="1"/>
    </row>
    <row r="53">
      <c r="A53" s="1"/>
      <c r="B53" s="40">
        <v>6.0</v>
      </c>
      <c r="C53" s="59" t="s">
        <v>79</v>
      </c>
      <c r="D53" s="60"/>
      <c r="E53" s="60"/>
      <c r="F53" s="60"/>
      <c r="G53" s="60"/>
      <c r="H53" s="61"/>
      <c r="I53" s="62"/>
      <c r="J53" s="7"/>
      <c r="K53" s="63">
        <v>16.0</v>
      </c>
      <c r="L53" s="59" t="s">
        <v>80</v>
      </c>
      <c r="M53" s="60"/>
      <c r="N53" s="60"/>
      <c r="O53" s="60"/>
      <c r="P53" s="60"/>
      <c r="Q53" s="61"/>
      <c r="R53" s="62"/>
      <c r="S53" s="7"/>
      <c r="T53" s="8"/>
      <c r="U53" s="9"/>
      <c r="V53" s="1"/>
      <c r="W53" s="1"/>
      <c r="X53" s="1"/>
      <c r="Y53" s="1"/>
      <c r="Z53" s="1"/>
      <c r="AA53" s="1"/>
      <c r="AB53" s="1"/>
    </row>
    <row r="54">
      <c r="A54" s="1"/>
      <c r="B54" s="40">
        <v>7.0</v>
      </c>
      <c r="C54" s="59" t="s">
        <v>81</v>
      </c>
      <c r="D54" s="60"/>
      <c r="E54" s="60"/>
      <c r="F54" s="60"/>
      <c r="G54" s="60"/>
      <c r="H54" s="61"/>
      <c r="I54" s="62"/>
      <c r="J54" s="7"/>
      <c r="K54" s="40">
        <v>17.0</v>
      </c>
      <c r="L54" s="59" t="s">
        <v>82</v>
      </c>
      <c r="M54" s="60"/>
      <c r="N54" s="60"/>
      <c r="O54" s="60"/>
      <c r="P54" s="60"/>
      <c r="Q54" s="61"/>
      <c r="R54" s="62"/>
      <c r="S54" s="7"/>
      <c r="T54" s="8"/>
      <c r="U54" s="9"/>
      <c r="V54" s="1"/>
      <c r="W54" s="1"/>
      <c r="X54" s="1"/>
      <c r="Y54" s="1"/>
      <c r="Z54" s="1"/>
      <c r="AA54" s="1"/>
      <c r="AB54" s="1"/>
    </row>
    <row r="55">
      <c r="A55" s="1"/>
      <c r="B55" s="40">
        <v>8.0</v>
      </c>
      <c r="C55" s="59" t="s">
        <v>83</v>
      </c>
      <c r="D55" s="60"/>
      <c r="E55" s="60"/>
      <c r="F55" s="60"/>
      <c r="G55" s="60"/>
      <c r="H55" s="61"/>
      <c r="I55" s="62"/>
      <c r="J55" s="7"/>
      <c r="K55" s="40">
        <v>18.0</v>
      </c>
      <c r="L55" s="59" t="s">
        <v>84</v>
      </c>
      <c r="M55" s="60"/>
      <c r="N55" s="60"/>
      <c r="O55" s="60"/>
      <c r="P55" s="60"/>
      <c r="Q55" s="61"/>
      <c r="R55" s="62"/>
      <c r="S55" s="7"/>
      <c r="T55" s="8"/>
      <c r="U55" s="9"/>
      <c r="V55" s="1"/>
      <c r="W55" s="1"/>
      <c r="X55" s="1"/>
      <c r="Y55" s="1"/>
      <c r="Z55" s="1"/>
      <c r="AA55" s="1"/>
      <c r="AB55" s="1"/>
    </row>
    <row r="56">
      <c r="A56" s="1"/>
      <c r="B56" s="40">
        <v>9.0</v>
      </c>
      <c r="C56" s="59" t="s">
        <v>85</v>
      </c>
      <c r="D56" s="60"/>
      <c r="E56" s="60"/>
      <c r="F56" s="60"/>
      <c r="G56" s="60"/>
      <c r="H56" s="61"/>
      <c r="I56" s="62"/>
      <c r="J56" s="7"/>
      <c r="K56" s="40">
        <v>19.0</v>
      </c>
      <c r="L56" s="59" t="s">
        <v>86</v>
      </c>
      <c r="M56" s="60"/>
      <c r="N56" s="60"/>
      <c r="O56" s="60"/>
      <c r="P56" s="60"/>
      <c r="Q56" s="61"/>
      <c r="R56" s="62"/>
      <c r="S56" s="7"/>
      <c r="T56" s="8"/>
      <c r="U56" s="9"/>
      <c r="V56" s="1"/>
      <c r="W56" s="1"/>
      <c r="X56" s="1"/>
      <c r="Y56" s="1"/>
      <c r="Z56" s="1"/>
      <c r="AA56" s="1"/>
      <c r="AB56" s="1"/>
    </row>
    <row r="57">
      <c r="A57" s="1"/>
      <c r="B57" s="40">
        <v>10.0</v>
      </c>
      <c r="C57" s="59" t="s">
        <v>87</v>
      </c>
      <c r="D57" s="60"/>
      <c r="E57" s="60"/>
      <c r="F57" s="60"/>
      <c r="G57" s="60"/>
      <c r="H57" s="61"/>
      <c r="I57" s="62"/>
      <c r="J57" s="7"/>
      <c r="K57" s="64" t="str">
        <f>IF(T48=X67,"",IF(T48=Listas!CP6,60%,IF(T48=Listas!CP7,80%,IF(T48=Listas!CP6,100%,))))</f>
        <v/>
      </c>
      <c r="L57" s="6"/>
      <c r="M57" s="6"/>
      <c r="N57" s="6"/>
      <c r="O57" s="6"/>
      <c r="P57" s="6"/>
      <c r="Q57" s="6"/>
      <c r="R57" s="65">
        <f>IF(R53="Si",((COUNTIF(I48:J57,"Si")+COUNTIF(R48:S56,"Si"))+18),(COUNTIF(I48:J57,"Si")+COUNTIF(R48:S56,"Si")))</f>
        <v>0</v>
      </c>
      <c r="S57" s="7"/>
      <c r="T57" s="11"/>
      <c r="U57" s="13"/>
      <c r="V57" s="1"/>
      <c r="W57" s="1"/>
      <c r="X57" s="1"/>
      <c r="Y57" s="1"/>
      <c r="Z57" s="1"/>
      <c r="AA57" s="1"/>
      <c r="AB57" s="1"/>
    </row>
    <row r="58" ht="3.75" customHeight="1">
      <c r="A58" s="1"/>
      <c r="B58" s="1"/>
      <c r="V58" s="1"/>
      <c r="W58" s="1"/>
      <c r="X58" s="1"/>
      <c r="Y58" s="1"/>
      <c r="Z58" s="1"/>
      <c r="AA58" s="1"/>
      <c r="AB58" s="1"/>
    </row>
    <row r="59">
      <c r="A59" s="1"/>
      <c r="B59" s="66" t="s">
        <v>161</v>
      </c>
      <c r="C59" s="3"/>
      <c r="D59" s="3"/>
      <c r="E59" s="3"/>
      <c r="F59" s="3"/>
      <c r="G59" s="3"/>
      <c r="H59" s="3"/>
      <c r="I59" s="3"/>
      <c r="J59" s="3"/>
      <c r="K59" s="4"/>
      <c r="L59" s="67" t="s">
        <v>89</v>
      </c>
      <c r="M59" s="7"/>
      <c r="N59" s="68" t="s">
        <v>90</v>
      </c>
      <c r="O59" s="6"/>
      <c r="P59" s="6"/>
      <c r="Q59" s="6"/>
      <c r="R59" s="6"/>
      <c r="S59" s="6"/>
      <c r="T59" s="6"/>
      <c r="U59" s="7"/>
      <c r="V59" s="1"/>
      <c r="W59" s="1"/>
      <c r="X59" s="1"/>
      <c r="Y59" s="1"/>
      <c r="Z59" s="1"/>
      <c r="AA59" s="1"/>
      <c r="AB59" s="1"/>
    </row>
    <row r="60">
      <c r="A60" s="1"/>
      <c r="B60" s="8"/>
      <c r="K60" s="9"/>
      <c r="L60" s="69" t="s">
        <v>91</v>
      </c>
      <c r="M60" s="7"/>
      <c r="N60" s="68" t="s">
        <v>92</v>
      </c>
      <c r="O60" s="6"/>
      <c r="P60" s="6"/>
      <c r="Q60" s="6"/>
      <c r="R60" s="6"/>
      <c r="S60" s="6"/>
      <c r="T60" s="6"/>
      <c r="U60" s="7"/>
      <c r="V60" s="1"/>
      <c r="W60" s="1"/>
      <c r="X60" s="1"/>
      <c r="Y60" s="1"/>
      <c r="Z60" s="1"/>
      <c r="AA60" s="1"/>
      <c r="AB60" s="1"/>
    </row>
    <row r="61">
      <c r="A61" s="1"/>
      <c r="B61" s="11"/>
      <c r="C61" s="12"/>
      <c r="D61" s="12"/>
      <c r="E61" s="12"/>
      <c r="F61" s="12"/>
      <c r="G61" s="12"/>
      <c r="H61" s="12"/>
      <c r="I61" s="12"/>
      <c r="J61" s="12"/>
      <c r="K61" s="13"/>
      <c r="L61" s="70" t="s">
        <v>93</v>
      </c>
      <c r="M61" s="7"/>
      <c r="N61" s="68" t="s">
        <v>94</v>
      </c>
      <c r="O61" s="6"/>
      <c r="P61" s="6"/>
      <c r="Q61" s="6"/>
      <c r="R61" s="6"/>
      <c r="S61" s="6"/>
      <c r="T61" s="6"/>
      <c r="U61" s="7"/>
      <c r="V61" s="1"/>
      <c r="W61" s="1"/>
      <c r="X61" s="1"/>
      <c r="Y61" s="1"/>
      <c r="Z61" s="1"/>
      <c r="AA61" s="1"/>
      <c r="AB61" s="1"/>
    </row>
    <row r="62" ht="3.75" customHeight="1">
      <c r="A62" s="1"/>
      <c r="B62" s="1"/>
      <c r="V62" s="1"/>
      <c r="W62" s="1"/>
      <c r="X62" s="1"/>
      <c r="Y62" s="1"/>
      <c r="Z62" s="1"/>
      <c r="AA62" s="1"/>
      <c r="AB62" s="1"/>
    </row>
    <row r="63" ht="17.25" customHeight="1">
      <c r="A63" s="1"/>
      <c r="B63" s="21" t="s">
        <v>95</v>
      </c>
      <c r="C63" s="6"/>
      <c r="D63" s="6"/>
      <c r="E63" s="6"/>
      <c r="F63" s="6"/>
      <c r="G63" s="6"/>
      <c r="H63" s="6"/>
      <c r="I63" s="6"/>
      <c r="J63" s="6"/>
      <c r="K63" s="6"/>
      <c r="L63" s="6"/>
      <c r="M63" s="6"/>
      <c r="N63" s="6"/>
      <c r="O63" s="6"/>
      <c r="P63" s="6"/>
      <c r="Q63" s="6"/>
      <c r="R63" s="6"/>
      <c r="S63" s="6"/>
      <c r="T63" s="6"/>
      <c r="U63" s="7"/>
      <c r="V63" s="1"/>
      <c r="W63" s="1"/>
      <c r="X63" s="1"/>
      <c r="Y63" s="1"/>
      <c r="Z63" s="1"/>
      <c r="AA63" s="1"/>
      <c r="AB63" s="1"/>
    </row>
    <row r="64" ht="3.75" customHeight="1">
      <c r="A64" s="1"/>
      <c r="B64" s="1"/>
      <c r="V64" s="1"/>
      <c r="W64" s="1"/>
      <c r="X64" s="1"/>
      <c r="Y64" s="1"/>
      <c r="Z64" s="1"/>
      <c r="AA64" s="1"/>
      <c r="AB64" s="1"/>
    </row>
    <row r="65">
      <c r="A65" s="1"/>
      <c r="B65" s="21" t="s">
        <v>96</v>
      </c>
      <c r="C65" s="6"/>
      <c r="D65" s="6"/>
      <c r="E65" s="6"/>
      <c r="F65" s="6"/>
      <c r="G65" s="6"/>
      <c r="H65" s="6"/>
      <c r="I65" s="6"/>
      <c r="J65" s="6"/>
      <c r="K65" s="6"/>
      <c r="L65" s="6"/>
      <c r="M65" s="6"/>
      <c r="N65" s="6"/>
      <c r="O65" s="6"/>
      <c r="P65" s="6"/>
      <c r="Q65" s="6"/>
      <c r="R65" s="6"/>
      <c r="S65" s="6"/>
      <c r="T65" s="6"/>
      <c r="U65" s="7"/>
      <c r="V65" s="1"/>
      <c r="W65" s="1"/>
      <c r="X65" s="1"/>
      <c r="Y65" s="1"/>
      <c r="Z65" s="1"/>
      <c r="AA65" s="1"/>
      <c r="AB65" s="1"/>
    </row>
    <row r="66">
      <c r="A66" s="1"/>
      <c r="B66" s="71" t="s">
        <v>35</v>
      </c>
      <c r="C66" s="72" t="s">
        <v>44</v>
      </c>
      <c r="D66" s="54" t="s">
        <v>42</v>
      </c>
      <c r="E66" s="7"/>
      <c r="F66" s="54" t="s">
        <v>42</v>
      </c>
      <c r="G66" s="7"/>
      <c r="H66" s="54" t="s">
        <v>97</v>
      </c>
      <c r="I66" s="7"/>
      <c r="J66" s="54" t="s">
        <v>97</v>
      </c>
      <c r="K66" s="7"/>
      <c r="L66" s="54" t="s">
        <v>97</v>
      </c>
      <c r="M66" s="7"/>
      <c r="N66" s="1"/>
      <c r="O66" s="47" t="s">
        <v>35</v>
      </c>
      <c r="P66" s="7"/>
      <c r="Q66" s="47" t="s">
        <v>98</v>
      </c>
      <c r="R66" s="7"/>
      <c r="S66" s="47" t="s">
        <v>99</v>
      </c>
      <c r="T66" s="6"/>
      <c r="U66" s="7"/>
      <c r="V66" s="1"/>
      <c r="W66" s="1"/>
      <c r="X66" s="1"/>
      <c r="Y66" s="1"/>
      <c r="Z66" s="1"/>
      <c r="AA66" s="1"/>
      <c r="AB66" s="1"/>
    </row>
    <row r="67">
      <c r="A67" s="1"/>
      <c r="B67" s="73"/>
      <c r="C67" s="72" t="s">
        <v>42</v>
      </c>
      <c r="D67" s="54" t="s">
        <v>40</v>
      </c>
      <c r="E67" s="7"/>
      <c r="F67" s="54" t="s">
        <v>42</v>
      </c>
      <c r="G67" s="7"/>
      <c r="H67" s="54" t="s">
        <v>42</v>
      </c>
      <c r="I67" s="7"/>
      <c r="J67" s="54" t="s">
        <v>97</v>
      </c>
      <c r="K67" s="7"/>
      <c r="L67" s="54" t="s">
        <v>97</v>
      </c>
      <c r="M67" s="7"/>
      <c r="O67" s="2" t="str">
        <f>IF(T31="",X67,R31)</f>
        <v>Sin clasificar</v>
      </c>
      <c r="P67" s="4"/>
      <c r="Q67" s="2" t="str">
        <f>IF(O15=Listas!CM5,T48,D44)</f>
        <v>Sin clasificar</v>
      </c>
      <c r="R67" s="4"/>
      <c r="S67" s="2" t="str">
        <f>IF(O67="Sin clasificar","",VLOOKUP(CONCATENATE(O67,Q67),Listas!$CQ$4:$CR$29,2,FALSE))</f>
        <v/>
      </c>
      <c r="T67" s="3"/>
      <c r="U67" s="4"/>
      <c r="V67" s="1"/>
      <c r="W67" s="1"/>
      <c r="X67" s="74" t="s">
        <v>100</v>
      </c>
      <c r="Y67" s="74" t="s">
        <v>101</v>
      </c>
      <c r="Z67" s="74" t="s">
        <v>102</v>
      </c>
      <c r="AA67" s="1"/>
      <c r="AB67" s="1"/>
    </row>
    <row r="68">
      <c r="A68" s="1"/>
      <c r="B68" s="73"/>
      <c r="C68" s="72" t="s">
        <v>40</v>
      </c>
      <c r="D68" s="54" t="s">
        <v>38</v>
      </c>
      <c r="E68" s="7"/>
      <c r="F68" s="54" t="s">
        <v>40</v>
      </c>
      <c r="G68" s="7"/>
      <c r="H68" s="54" t="s">
        <v>42</v>
      </c>
      <c r="I68" s="7"/>
      <c r="J68" s="54" t="s">
        <v>97</v>
      </c>
      <c r="K68" s="7"/>
      <c r="L68" s="54" t="s">
        <v>97</v>
      </c>
      <c r="M68" s="7"/>
      <c r="O68" s="8"/>
      <c r="P68" s="9"/>
      <c r="Q68" s="8"/>
      <c r="R68" s="9"/>
      <c r="S68" s="8"/>
      <c r="U68" s="9"/>
      <c r="V68" s="1"/>
      <c r="W68" s="1"/>
      <c r="X68" s="75"/>
      <c r="Y68" s="76" t="str">
        <f>T31</f>
        <v/>
      </c>
      <c r="Z68" s="76" t="str">
        <f>IF(O15=Listas!CM4,K57,O44)</f>
        <v/>
      </c>
      <c r="AA68" s="1"/>
      <c r="AB68" s="1"/>
    </row>
    <row r="69">
      <c r="A69" s="1"/>
      <c r="B69" s="73"/>
      <c r="C69" s="72" t="s">
        <v>38</v>
      </c>
      <c r="D69" s="54" t="s">
        <v>38</v>
      </c>
      <c r="E69" s="7"/>
      <c r="F69" s="54" t="s">
        <v>38</v>
      </c>
      <c r="G69" s="7"/>
      <c r="H69" s="54" t="s">
        <v>40</v>
      </c>
      <c r="I69" s="7"/>
      <c r="J69" s="54" t="s">
        <v>42</v>
      </c>
      <c r="K69" s="7"/>
      <c r="L69" s="54" t="s">
        <v>97</v>
      </c>
      <c r="M69" s="7"/>
      <c r="O69" s="8"/>
      <c r="P69" s="9"/>
      <c r="Q69" s="8"/>
      <c r="R69" s="9"/>
      <c r="S69" s="8"/>
      <c r="U69" s="9"/>
      <c r="V69" s="1"/>
      <c r="W69" s="1"/>
      <c r="X69" s="1"/>
      <c r="Y69" s="1"/>
      <c r="Z69" s="1"/>
      <c r="AA69" s="1"/>
      <c r="AB69" s="1"/>
    </row>
    <row r="70">
      <c r="A70" s="1"/>
      <c r="B70" s="38"/>
      <c r="C70" s="72" t="s">
        <v>36</v>
      </c>
      <c r="D70" s="54" t="s">
        <v>38</v>
      </c>
      <c r="E70" s="7"/>
      <c r="F70" s="54" t="s">
        <v>38</v>
      </c>
      <c r="G70" s="7"/>
      <c r="H70" s="54" t="s">
        <v>40</v>
      </c>
      <c r="I70" s="7"/>
      <c r="J70" s="54" t="s">
        <v>42</v>
      </c>
      <c r="K70" s="7"/>
      <c r="L70" s="54" t="s">
        <v>97</v>
      </c>
      <c r="M70" s="7"/>
      <c r="O70" s="8"/>
      <c r="P70" s="9"/>
      <c r="Q70" s="8"/>
      <c r="R70" s="9"/>
      <c r="S70" s="8"/>
      <c r="U70" s="9"/>
      <c r="V70" s="1"/>
      <c r="W70" s="1"/>
      <c r="X70" s="1"/>
      <c r="Y70" s="1"/>
      <c r="Z70" s="1"/>
      <c r="AA70" s="1"/>
      <c r="AB70" s="1"/>
    </row>
    <row r="71">
      <c r="A71" s="1"/>
      <c r="B71" s="77" t="s">
        <v>98</v>
      </c>
      <c r="C71" s="7"/>
      <c r="D71" s="54" t="s">
        <v>103</v>
      </c>
      <c r="E71" s="7"/>
      <c r="F71" s="54" t="s">
        <v>104</v>
      </c>
      <c r="G71" s="7"/>
      <c r="H71" s="54" t="s">
        <v>89</v>
      </c>
      <c r="I71" s="7"/>
      <c r="J71" s="54" t="s">
        <v>91</v>
      </c>
      <c r="K71" s="7"/>
      <c r="L71" s="54" t="s">
        <v>93</v>
      </c>
      <c r="M71" s="7"/>
      <c r="O71" s="11"/>
      <c r="P71" s="13"/>
      <c r="Q71" s="11"/>
      <c r="R71" s="13"/>
      <c r="S71" s="11"/>
      <c r="T71" s="12"/>
      <c r="U71" s="13"/>
      <c r="V71" s="1"/>
      <c r="W71" s="1"/>
      <c r="X71" s="1"/>
      <c r="Y71" s="1"/>
      <c r="Z71" s="1"/>
      <c r="AA71" s="1"/>
      <c r="AB71" s="1"/>
    </row>
    <row r="72" ht="3.75" customHeight="1">
      <c r="A72" s="1"/>
      <c r="B72" s="1"/>
      <c r="V72" s="1"/>
      <c r="W72" s="1"/>
      <c r="X72" s="1"/>
      <c r="Y72" s="1"/>
      <c r="Z72" s="1"/>
      <c r="AA72" s="1"/>
      <c r="AB72" s="1"/>
    </row>
    <row r="73">
      <c r="A73" s="1"/>
      <c r="B73" s="21" t="s">
        <v>105</v>
      </c>
      <c r="C73" s="6"/>
      <c r="D73" s="6"/>
      <c r="E73" s="6"/>
      <c r="F73" s="6"/>
      <c r="G73" s="6"/>
      <c r="H73" s="6"/>
      <c r="I73" s="6"/>
      <c r="J73" s="6"/>
      <c r="K73" s="6"/>
      <c r="L73" s="6"/>
      <c r="M73" s="6"/>
      <c r="N73" s="6"/>
      <c r="O73" s="6"/>
      <c r="P73" s="6"/>
      <c r="Q73" s="6"/>
      <c r="R73" s="6"/>
      <c r="S73" s="6"/>
      <c r="T73" s="6"/>
      <c r="U73" s="7"/>
      <c r="V73" s="1"/>
      <c r="W73" s="1"/>
      <c r="X73" s="1"/>
      <c r="Y73" s="1"/>
      <c r="Z73" s="1"/>
      <c r="AA73" s="1"/>
      <c r="AB73" s="1"/>
    </row>
    <row r="74">
      <c r="A74" s="1"/>
      <c r="B74" s="48" t="s">
        <v>106</v>
      </c>
      <c r="C74" s="6"/>
      <c r="D74" s="6"/>
      <c r="E74" s="6"/>
      <c r="F74" s="7"/>
      <c r="G74" s="48" t="s">
        <v>107</v>
      </c>
      <c r="H74" s="6"/>
      <c r="I74" s="6"/>
      <c r="J74" s="6"/>
      <c r="K74" s="7"/>
      <c r="L74" s="48" t="s">
        <v>108</v>
      </c>
      <c r="M74" s="7"/>
      <c r="N74" s="48" t="s">
        <v>109</v>
      </c>
      <c r="O74" s="7"/>
      <c r="P74" s="48" t="s">
        <v>110</v>
      </c>
      <c r="Q74" s="7"/>
      <c r="R74" s="48" t="s">
        <v>111</v>
      </c>
      <c r="S74" s="7"/>
      <c r="T74" s="48" t="s">
        <v>112</v>
      </c>
      <c r="U74" s="7"/>
      <c r="V74" s="1"/>
      <c r="W74" s="1"/>
      <c r="X74" s="74" t="s">
        <v>113</v>
      </c>
      <c r="Y74" s="74" t="s">
        <v>114</v>
      </c>
      <c r="Z74" s="74" t="s">
        <v>115</v>
      </c>
      <c r="AA74" s="74" t="s">
        <v>116</v>
      </c>
      <c r="AB74" s="74" t="s">
        <v>117</v>
      </c>
    </row>
    <row r="75">
      <c r="A75" s="1"/>
      <c r="B75" s="78" t="str">
        <f>IF(P21="","",P21)</f>
        <v/>
      </c>
      <c r="C75" s="3"/>
      <c r="D75" s="3"/>
      <c r="E75" s="3"/>
      <c r="F75" s="4"/>
      <c r="G75" s="50"/>
      <c r="H75" s="6"/>
      <c r="I75" s="6"/>
      <c r="J75" s="6"/>
      <c r="K75" s="7"/>
      <c r="L75" s="22"/>
      <c r="M75" s="7"/>
      <c r="N75" s="22"/>
      <c r="O75" s="7"/>
      <c r="P75" s="22"/>
      <c r="Q75" s="7"/>
      <c r="R75" s="22"/>
      <c r="S75" s="7"/>
      <c r="T75" s="22"/>
      <c r="U75" s="7"/>
      <c r="V75" s="1"/>
      <c r="W75" s="1"/>
      <c r="X75" s="76" t="str">
        <f>IF(L75=Listas!$CS$4,25%,IF(L75=Listas!$CS$5,15%,IF(L75=Listas!$CS$6,10%,"")))</f>
        <v/>
      </c>
      <c r="Y75" s="76" t="str">
        <f>IF(N75=Listas!$CT$4,25%,IF(N75=Listas!$CT$5,15%,""))</f>
        <v/>
      </c>
      <c r="Z75" s="76" t="str">
        <f t="shared" ref="Z75:Z79" si="3">IF(SUM(X75:Y75)=0,"",SUM(X75:Y75))</f>
        <v/>
      </c>
      <c r="AA75" s="76" t="str">
        <f>IF(OR(L75=Listas!$CS$4,L75=Listas!$CS$5),(Y68-(Y68*Z75)),Y68)</f>
        <v/>
      </c>
      <c r="AB75" s="76" t="str">
        <f>IF(L75=Listas!$CS$6,(Z68-(Z68*Z75)),Z68)</f>
        <v/>
      </c>
    </row>
    <row r="76">
      <c r="A76" s="1"/>
      <c r="B76" s="8"/>
      <c r="F76" s="9"/>
      <c r="G76" s="50"/>
      <c r="H76" s="6"/>
      <c r="I76" s="6"/>
      <c r="J76" s="6"/>
      <c r="K76" s="7"/>
      <c r="L76" s="22"/>
      <c r="M76" s="7"/>
      <c r="N76" s="22"/>
      <c r="O76" s="7"/>
      <c r="P76" s="22"/>
      <c r="Q76" s="7"/>
      <c r="R76" s="22"/>
      <c r="S76" s="7"/>
      <c r="T76" s="22"/>
      <c r="U76" s="7"/>
      <c r="V76" s="1"/>
      <c r="W76" s="1"/>
      <c r="X76" s="76" t="str">
        <f>IF(L76=Listas!$CS$4,25%,IF(L76=Listas!$CS$5,15%,IF(L76=Listas!$CS$6,10%,"")))</f>
        <v/>
      </c>
      <c r="Y76" s="76" t="str">
        <f>IF(N76=Listas!$CT$4,25%,IF(N76=Listas!$CT$5,15%,""))</f>
        <v/>
      </c>
      <c r="Z76" s="76" t="str">
        <f t="shared" si="3"/>
        <v/>
      </c>
      <c r="AA76" s="76" t="str">
        <f>IF(OR(L76=Listas!$CS$4,L76=Listas!$CS$5),(AA75-(AA75*Z76)),AA75)</f>
        <v/>
      </c>
      <c r="AB76" s="76" t="str">
        <f>IF(L76=Listas!$CS$6,(AB75-(AB75*Z76)),AB75)</f>
        <v/>
      </c>
    </row>
    <row r="77">
      <c r="A77" s="1"/>
      <c r="B77" s="8"/>
      <c r="F77" s="9"/>
      <c r="G77" s="50"/>
      <c r="H77" s="6"/>
      <c r="I77" s="6"/>
      <c r="J77" s="6"/>
      <c r="K77" s="7"/>
      <c r="L77" s="22"/>
      <c r="M77" s="7"/>
      <c r="N77" s="22"/>
      <c r="O77" s="7"/>
      <c r="P77" s="22"/>
      <c r="Q77" s="7"/>
      <c r="R77" s="22"/>
      <c r="S77" s="7"/>
      <c r="T77" s="22"/>
      <c r="U77" s="7"/>
      <c r="V77" s="1"/>
      <c r="W77" s="1"/>
      <c r="X77" s="76" t="str">
        <f>IF(L77=Listas!$CS$4,25%,IF(L77=Listas!$CS$5,15%,IF(L77=Listas!$CS$6,10%,"")))</f>
        <v/>
      </c>
      <c r="Y77" s="76" t="str">
        <f>IF(N77=Listas!$CT$4,25%,IF(N77=Listas!$CT$5,15%,""))</f>
        <v/>
      </c>
      <c r="Z77" s="76" t="str">
        <f t="shared" si="3"/>
        <v/>
      </c>
      <c r="AA77" s="76" t="str">
        <f>IF(OR(L77=Listas!$CS$4,L77=Listas!$CS$5),(AA76-(AA76*Z77)),AA76)</f>
        <v/>
      </c>
      <c r="AB77" s="76" t="str">
        <f>IF(L77=Listas!$CS$6,(AB76-(AB76*Z77)),AB76)</f>
        <v/>
      </c>
    </row>
    <row r="78">
      <c r="A78" s="1"/>
      <c r="B78" s="8"/>
      <c r="F78" s="9"/>
      <c r="G78" s="79"/>
      <c r="H78" s="6"/>
      <c r="I78" s="6"/>
      <c r="J78" s="6"/>
      <c r="K78" s="7"/>
      <c r="L78" s="22"/>
      <c r="M78" s="7"/>
      <c r="N78" s="22"/>
      <c r="O78" s="7"/>
      <c r="P78" s="22"/>
      <c r="Q78" s="7"/>
      <c r="R78" s="22"/>
      <c r="S78" s="7"/>
      <c r="T78" s="22"/>
      <c r="U78" s="7"/>
      <c r="V78" s="1"/>
      <c r="W78" s="1"/>
      <c r="X78" s="76" t="str">
        <f>IF(L78=Listas!$CS$4,25%,IF(L78=Listas!$CS$5,15%,IF(L78=Listas!$CS$6,10%,"")))</f>
        <v/>
      </c>
      <c r="Y78" s="76" t="str">
        <f>IF(N78=Listas!$CT$4,25%,IF(N78=Listas!$CT$5,15%,""))</f>
        <v/>
      </c>
      <c r="Z78" s="76" t="str">
        <f t="shared" si="3"/>
        <v/>
      </c>
      <c r="AA78" s="76" t="str">
        <f>IF(OR(L78=Listas!$CS$4,L78=Listas!$CS$5),(AA77-(AA77*Z78)),AA77)</f>
        <v/>
      </c>
      <c r="AB78" s="76" t="str">
        <f>IF(L78=Listas!$CS$6,(AB77-(AB77*Z78)),AB77)</f>
        <v/>
      </c>
    </row>
    <row r="79">
      <c r="A79" s="1"/>
      <c r="B79" s="11"/>
      <c r="C79" s="12"/>
      <c r="D79" s="12"/>
      <c r="E79" s="12"/>
      <c r="F79" s="13"/>
      <c r="G79" s="79"/>
      <c r="H79" s="6"/>
      <c r="I79" s="6"/>
      <c r="J79" s="6"/>
      <c r="K79" s="7"/>
      <c r="L79" s="22"/>
      <c r="M79" s="7"/>
      <c r="N79" s="22"/>
      <c r="O79" s="7"/>
      <c r="P79" s="22"/>
      <c r="Q79" s="7"/>
      <c r="R79" s="22"/>
      <c r="S79" s="7"/>
      <c r="T79" s="22"/>
      <c r="U79" s="7"/>
      <c r="V79" s="1"/>
      <c r="W79" s="1"/>
      <c r="X79" s="76" t="str">
        <f>IF(L79=Listas!$CS$4,25%,IF(L79=Listas!$CS$5,15%,IF(L79=Listas!$CS$6,10%,"")))</f>
        <v/>
      </c>
      <c r="Y79" s="76" t="str">
        <f>IF(N79=Listas!$CT$4,25%,IF(N79=Listas!$CT$5,15%,""))</f>
        <v/>
      </c>
      <c r="Z79" s="76" t="str">
        <f t="shared" si="3"/>
        <v/>
      </c>
      <c r="AA79" s="76" t="str">
        <f>IF(OR(L79=Listas!$CS$4,L79=Listas!$CS$5),(AA78-(AA78*Z79)),AA78)</f>
        <v/>
      </c>
      <c r="AB79" s="76" t="str">
        <f>IF(L79=Listas!$CS$6,(AB78-(AB78*Z79)),AB78)</f>
        <v/>
      </c>
    </row>
    <row r="80" ht="3.75" customHeight="1">
      <c r="A80" s="1"/>
      <c r="B80" s="1"/>
      <c r="V80" s="1"/>
      <c r="W80" s="1"/>
      <c r="X80" s="1"/>
      <c r="Y80" s="1"/>
      <c r="Z80" s="1"/>
      <c r="AA80" s="1"/>
      <c r="AB80" s="1"/>
    </row>
    <row r="81">
      <c r="A81" s="1"/>
      <c r="B81" s="21" t="s">
        <v>118</v>
      </c>
      <c r="C81" s="6"/>
      <c r="D81" s="6"/>
      <c r="E81" s="6"/>
      <c r="F81" s="6"/>
      <c r="G81" s="6"/>
      <c r="H81" s="6"/>
      <c r="I81" s="6"/>
      <c r="J81" s="6"/>
      <c r="K81" s="6"/>
      <c r="L81" s="6"/>
      <c r="M81" s="6"/>
      <c r="N81" s="6"/>
      <c r="O81" s="6"/>
      <c r="P81" s="6"/>
      <c r="Q81" s="6"/>
      <c r="R81" s="6"/>
      <c r="S81" s="6"/>
      <c r="T81" s="6"/>
      <c r="U81" s="7"/>
      <c r="V81" s="1"/>
      <c r="W81" s="1"/>
      <c r="X81" s="74" t="s">
        <v>119</v>
      </c>
      <c r="Y81" s="1"/>
      <c r="Z81" s="1"/>
      <c r="AA81" s="1"/>
      <c r="AB81" s="1"/>
    </row>
    <row r="82">
      <c r="A82" s="1"/>
      <c r="B82" s="80" t="s">
        <v>35</v>
      </c>
      <c r="C82" s="72" t="s">
        <v>44</v>
      </c>
      <c r="D82" s="54" t="s">
        <v>42</v>
      </c>
      <c r="E82" s="7"/>
      <c r="F82" s="54" t="s">
        <v>42</v>
      </c>
      <c r="G82" s="7"/>
      <c r="H82" s="54" t="s">
        <v>97</v>
      </c>
      <c r="I82" s="7"/>
      <c r="J82" s="54" t="s">
        <v>97</v>
      </c>
      <c r="K82" s="7"/>
      <c r="L82" s="54" t="s">
        <v>97</v>
      </c>
      <c r="M82" s="7"/>
      <c r="N82" s="1"/>
      <c r="O82" s="47" t="s">
        <v>35</v>
      </c>
      <c r="P82" s="7"/>
      <c r="Q82" s="47" t="s">
        <v>98</v>
      </c>
      <c r="R82" s="7"/>
      <c r="S82" s="47" t="s">
        <v>99</v>
      </c>
      <c r="T82" s="6"/>
      <c r="U82" s="7"/>
      <c r="V82" s="1"/>
      <c r="W82" s="1"/>
      <c r="Y82" s="1"/>
      <c r="Z82" s="1"/>
      <c r="AA82" s="1"/>
      <c r="AB82" s="1"/>
    </row>
    <row r="83">
      <c r="A83" s="1"/>
      <c r="B83" s="73"/>
      <c r="C83" s="72" t="s">
        <v>42</v>
      </c>
      <c r="D83" s="54" t="s">
        <v>40</v>
      </c>
      <c r="E83" s="7"/>
      <c r="F83" s="54" t="s">
        <v>42</v>
      </c>
      <c r="G83" s="7"/>
      <c r="H83" s="54" t="s">
        <v>42</v>
      </c>
      <c r="I83" s="7"/>
      <c r="J83" s="54" t="s">
        <v>97</v>
      </c>
      <c r="K83" s="7"/>
      <c r="L83" s="54" t="s">
        <v>97</v>
      </c>
      <c r="M83" s="7"/>
      <c r="O83" s="2" t="str">
        <f>IF(L75="",X81,IF(AND(AA79&gt;0,AA79&lt;=20%),Listas!CO4,IF(AND(AA79&gt;20%,AA79&lt;=40%),Listas!CO5,IF(AND(AA79&gt;40%,AA79&lt;=60%),Listas!CO6,IF(AND(AA79&gt;60%,AA79&lt;=80%),Listas!CO7,IF(AND(AA79&gt;80%,AA79&lt;=100%),Listas!CO8,""))))))</f>
        <v>Califique los controles</v>
      </c>
      <c r="P83" s="4"/>
      <c r="Q83" s="81" t="str">
        <f>IF(L75="",X81,IF(O15="Corrupción",Q67,IF(AND(AB79&gt;0,AB79&lt;=20%),Listas!CP4,IF(AND(AB79&gt;20%,AB79&lt;=40%),Listas!CP5,IF(AND(AB79&gt;40%,AB79&lt;=60%),Listas!CP6,IF(AND(AB79&gt;60%,AB79&lt;=80%),Listas!CP7,IF(AND(AB79&gt;80%,AB79&lt;=100%),Listas!CP8,"")))))))</f>
        <v>Califique los controles</v>
      </c>
      <c r="R83" s="4"/>
      <c r="S83" s="2" t="str">
        <f>IF(O83="Califique los controles","",VLOOKUP(CONCATENATE(O83,Q83),Listas!$CQ$4:$CR$29,2,FALSE))</f>
        <v/>
      </c>
      <c r="T83" s="3"/>
      <c r="U83" s="4"/>
      <c r="V83" s="1"/>
      <c r="W83" s="1"/>
      <c r="X83" s="1"/>
      <c r="Y83" s="1"/>
      <c r="Z83" s="1"/>
      <c r="AA83" s="1"/>
      <c r="AB83" s="1"/>
    </row>
    <row r="84">
      <c r="A84" s="1"/>
      <c r="B84" s="73"/>
      <c r="C84" s="72" t="s">
        <v>40</v>
      </c>
      <c r="D84" s="54" t="s">
        <v>38</v>
      </c>
      <c r="E84" s="7"/>
      <c r="F84" s="54" t="s">
        <v>40</v>
      </c>
      <c r="G84" s="7"/>
      <c r="H84" s="54" t="s">
        <v>42</v>
      </c>
      <c r="I84" s="7"/>
      <c r="J84" s="54" t="s">
        <v>97</v>
      </c>
      <c r="K84" s="7"/>
      <c r="L84" s="54" t="s">
        <v>97</v>
      </c>
      <c r="M84" s="7"/>
      <c r="O84" s="8"/>
      <c r="P84" s="9"/>
      <c r="Q84" s="8"/>
      <c r="R84" s="9"/>
      <c r="S84" s="8"/>
      <c r="U84" s="9"/>
      <c r="V84" s="1"/>
      <c r="W84" s="1"/>
      <c r="X84" s="1"/>
      <c r="Y84" s="1"/>
      <c r="Z84" s="1"/>
      <c r="AA84" s="1"/>
      <c r="AB84" s="1"/>
    </row>
    <row r="85">
      <c r="A85" s="1"/>
      <c r="B85" s="73"/>
      <c r="C85" s="72" t="s">
        <v>38</v>
      </c>
      <c r="D85" s="54" t="s">
        <v>38</v>
      </c>
      <c r="E85" s="7"/>
      <c r="F85" s="54" t="s">
        <v>38</v>
      </c>
      <c r="G85" s="7"/>
      <c r="H85" s="54" t="s">
        <v>40</v>
      </c>
      <c r="I85" s="7"/>
      <c r="J85" s="54" t="s">
        <v>42</v>
      </c>
      <c r="K85" s="7"/>
      <c r="L85" s="54" t="s">
        <v>97</v>
      </c>
      <c r="M85" s="7"/>
      <c r="O85" s="8"/>
      <c r="P85" s="9"/>
      <c r="Q85" s="8"/>
      <c r="R85" s="9"/>
      <c r="S85" s="8"/>
      <c r="U85" s="9"/>
      <c r="V85" s="1"/>
      <c r="W85" s="1"/>
      <c r="X85" s="1"/>
      <c r="Y85" s="1"/>
      <c r="Z85" s="1"/>
      <c r="AA85" s="1"/>
      <c r="AB85" s="1"/>
    </row>
    <row r="86">
      <c r="A86" s="1"/>
      <c r="B86" s="38"/>
      <c r="C86" s="72" t="s">
        <v>36</v>
      </c>
      <c r="D86" s="54" t="s">
        <v>38</v>
      </c>
      <c r="E86" s="7"/>
      <c r="F86" s="54" t="s">
        <v>38</v>
      </c>
      <c r="G86" s="7"/>
      <c r="H86" s="54" t="s">
        <v>40</v>
      </c>
      <c r="I86" s="7"/>
      <c r="J86" s="54" t="s">
        <v>42</v>
      </c>
      <c r="K86" s="7"/>
      <c r="L86" s="54" t="s">
        <v>97</v>
      </c>
      <c r="M86" s="7"/>
      <c r="O86" s="8"/>
      <c r="P86" s="9"/>
      <c r="Q86" s="8"/>
      <c r="R86" s="9"/>
      <c r="S86" s="8"/>
      <c r="U86" s="9"/>
      <c r="V86" s="1"/>
      <c r="W86" s="1"/>
      <c r="X86" s="1"/>
      <c r="Y86" s="1"/>
      <c r="Z86" s="1"/>
      <c r="AA86" s="1"/>
      <c r="AB86" s="1"/>
    </row>
    <row r="87">
      <c r="A87" s="1"/>
      <c r="B87" s="82" t="s">
        <v>98</v>
      </c>
      <c r="C87" s="7"/>
      <c r="D87" s="54" t="s">
        <v>120</v>
      </c>
      <c r="E87" s="7"/>
      <c r="F87" s="54" t="s">
        <v>104</v>
      </c>
      <c r="G87" s="7"/>
      <c r="H87" s="54" t="s">
        <v>89</v>
      </c>
      <c r="I87" s="7"/>
      <c r="J87" s="54" t="s">
        <v>91</v>
      </c>
      <c r="K87" s="7"/>
      <c r="L87" s="54" t="s">
        <v>93</v>
      </c>
      <c r="M87" s="7"/>
      <c r="O87" s="11"/>
      <c r="P87" s="13"/>
      <c r="Q87" s="11"/>
      <c r="R87" s="13"/>
      <c r="S87" s="11"/>
      <c r="T87" s="12"/>
      <c r="U87" s="13"/>
      <c r="V87" s="1"/>
      <c r="W87" s="1"/>
      <c r="X87" s="1"/>
      <c r="Y87" s="1"/>
      <c r="Z87" s="1"/>
      <c r="AA87" s="1"/>
      <c r="AB87" s="1"/>
    </row>
    <row r="88" ht="3.75" customHeight="1">
      <c r="A88" s="1"/>
      <c r="B88" s="1"/>
      <c r="V88" s="1"/>
      <c r="W88" s="1"/>
      <c r="X88" s="1"/>
      <c r="Y88" s="1"/>
      <c r="Z88" s="1"/>
      <c r="AA88" s="1"/>
      <c r="AB88" s="1"/>
    </row>
    <row r="89">
      <c r="A89" s="1"/>
      <c r="B89" s="21" t="s">
        <v>121</v>
      </c>
      <c r="C89" s="6"/>
      <c r="D89" s="6"/>
      <c r="E89" s="6"/>
      <c r="F89" s="6"/>
      <c r="G89" s="6"/>
      <c r="H89" s="6"/>
      <c r="I89" s="6"/>
      <c r="J89" s="6"/>
      <c r="K89" s="6"/>
      <c r="L89" s="6"/>
      <c r="M89" s="6"/>
      <c r="N89" s="6"/>
      <c r="O89" s="6"/>
      <c r="P89" s="6"/>
      <c r="Q89" s="6"/>
      <c r="R89" s="6"/>
      <c r="S89" s="6"/>
      <c r="T89" s="6"/>
      <c r="U89" s="7"/>
      <c r="V89" s="1"/>
      <c r="W89" s="1"/>
      <c r="X89" s="1"/>
      <c r="Y89" s="1"/>
      <c r="Z89" s="1"/>
      <c r="AA89" s="1"/>
      <c r="AB89" s="1"/>
    </row>
    <row r="90">
      <c r="A90" s="1"/>
      <c r="B90" s="48" t="s">
        <v>122</v>
      </c>
      <c r="C90" s="6"/>
      <c r="D90" s="6"/>
      <c r="E90" s="7"/>
      <c r="F90" s="48" t="s">
        <v>123</v>
      </c>
      <c r="G90" s="6"/>
      <c r="H90" s="6"/>
      <c r="I90" s="7"/>
      <c r="J90" s="48" t="s">
        <v>124</v>
      </c>
      <c r="K90" s="6"/>
      <c r="L90" s="6"/>
      <c r="M90" s="7"/>
      <c r="N90" s="48" t="s">
        <v>125</v>
      </c>
      <c r="O90" s="6"/>
      <c r="P90" s="6"/>
      <c r="Q90" s="7"/>
      <c r="R90" s="48" t="s">
        <v>126</v>
      </c>
      <c r="S90" s="6"/>
      <c r="T90" s="6"/>
      <c r="U90" s="7"/>
      <c r="V90" s="1"/>
      <c r="W90" s="1"/>
      <c r="X90" s="1"/>
      <c r="Y90" s="1"/>
      <c r="Z90" s="1"/>
      <c r="AA90" s="1"/>
      <c r="AB90" s="1"/>
    </row>
    <row r="91">
      <c r="A91" s="1"/>
      <c r="B91" s="83" t="s">
        <v>162</v>
      </c>
      <c r="C91" s="6"/>
      <c r="D91" s="6"/>
      <c r="E91" s="7"/>
      <c r="F91" s="83" t="s">
        <v>128</v>
      </c>
      <c r="G91" s="6"/>
      <c r="H91" s="6"/>
      <c r="I91" s="7"/>
      <c r="J91" s="83" t="s">
        <v>163</v>
      </c>
      <c r="K91" s="6"/>
      <c r="L91" s="6"/>
      <c r="M91" s="7"/>
      <c r="N91" s="83" t="s">
        <v>130</v>
      </c>
      <c r="O91" s="6"/>
      <c r="P91" s="6"/>
      <c r="Q91" s="7"/>
      <c r="R91" s="62"/>
      <c r="S91" s="6"/>
      <c r="T91" s="6"/>
      <c r="U91" s="7"/>
      <c r="V91" s="1"/>
      <c r="W91" s="1"/>
      <c r="X91" s="1"/>
      <c r="Y91" s="1"/>
      <c r="Z91" s="1"/>
      <c r="AA91" s="1"/>
      <c r="AB91" s="1"/>
    </row>
    <row r="92" ht="3.75" customHeight="1">
      <c r="A92" s="1"/>
      <c r="B92" s="1"/>
      <c r="V92" s="1"/>
      <c r="W92" s="1"/>
      <c r="X92" s="1"/>
      <c r="Y92" s="1"/>
      <c r="Z92" s="1"/>
      <c r="AA92" s="1"/>
      <c r="AB92" s="1"/>
    </row>
    <row r="93">
      <c r="A93" s="1"/>
      <c r="B93" s="21" t="s">
        <v>131</v>
      </c>
      <c r="C93" s="6"/>
      <c r="D93" s="6"/>
      <c r="E93" s="6"/>
      <c r="F93" s="6"/>
      <c r="G93" s="6"/>
      <c r="H93" s="6"/>
      <c r="I93" s="6"/>
      <c r="J93" s="6"/>
      <c r="K93" s="6"/>
      <c r="L93" s="6"/>
      <c r="M93" s="6"/>
      <c r="N93" s="6"/>
      <c r="O93" s="6"/>
      <c r="P93" s="6"/>
      <c r="Q93" s="6"/>
      <c r="R93" s="6"/>
      <c r="S93" s="6"/>
      <c r="T93" s="6"/>
      <c r="U93" s="7"/>
      <c r="V93" s="1"/>
      <c r="W93" s="1"/>
      <c r="X93" s="1"/>
      <c r="Y93" s="1"/>
      <c r="Z93" s="1"/>
      <c r="AA93" s="1"/>
      <c r="AB93" s="1"/>
    </row>
    <row r="94">
      <c r="A94" s="84"/>
      <c r="B94" s="48" t="s">
        <v>132</v>
      </c>
      <c r="C94" s="6"/>
      <c r="D94" s="7"/>
      <c r="E94" s="48" t="s">
        <v>133</v>
      </c>
      <c r="F94" s="6"/>
      <c r="G94" s="6"/>
      <c r="H94" s="6"/>
      <c r="I94" s="6"/>
      <c r="J94" s="6"/>
      <c r="K94" s="7"/>
      <c r="L94" s="48" t="s">
        <v>134</v>
      </c>
      <c r="M94" s="7"/>
      <c r="N94" s="48" t="s">
        <v>135</v>
      </c>
      <c r="O94" s="6"/>
      <c r="P94" s="6"/>
      <c r="Q94" s="7"/>
      <c r="R94" s="48" t="s">
        <v>164</v>
      </c>
      <c r="S94" s="6"/>
      <c r="T94" s="6"/>
      <c r="U94" s="7"/>
      <c r="V94" s="84"/>
      <c r="W94" s="84"/>
      <c r="X94" s="84"/>
      <c r="Y94" s="84"/>
      <c r="Z94" s="84"/>
      <c r="AA94" s="84"/>
      <c r="AB94" s="84"/>
    </row>
    <row r="95">
      <c r="A95" s="1"/>
      <c r="B95" s="83"/>
      <c r="C95" s="6"/>
      <c r="D95" s="7"/>
      <c r="E95" s="22"/>
      <c r="F95" s="6"/>
      <c r="G95" s="6"/>
      <c r="H95" s="6"/>
      <c r="I95" s="6"/>
      <c r="J95" s="6"/>
      <c r="K95" s="7"/>
      <c r="L95" s="83"/>
      <c r="M95" s="7"/>
      <c r="N95" s="22"/>
      <c r="O95" s="6"/>
      <c r="P95" s="6"/>
      <c r="Q95" s="7"/>
      <c r="R95" s="22"/>
      <c r="S95" s="6"/>
      <c r="T95" s="6"/>
      <c r="U95" s="7"/>
      <c r="V95" s="1"/>
      <c r="W95" s="1"/>
      <c r="X95" s="1"/>
      <c r="Y95" s="1"/>
      <c r="Z95" s="1"/>
      <c r="AA95" s="1"/>
      <c r="AB95" s="1"/>
    </row>
    <row r="96">
      <c r="A96" s="1"/>
      <c r="B96" s="85"/>
      <c r="C96" s="6"/>
      <c r="D96" s="7"/>
      <c r="E96" s="58"/>
      <c r="F96" s="6"/>
      <c r="G96" s="6"/>
      <c r="H96" s="6"/>
      <c r="I96" s="6"/>
      <c r="J96" s="6"/>
      <c r="K96" s="7"/>
      <c r="L96" s="85"/>
      <c r="M96" s="7"/>
      <c r="N96" s="58"/>
      <c r="O96" s="6"/>
      <c r="P96" s="6"/>
      <c r="Q96" s="7"/>
      <c r="R96" s="58"/>
      <c r="S96" s="6"/>
      <c r="T96" s="6"/>
      <c r="U96" s="7"/>
      <c r="V96" s="1"/>
      <c r="W96" s="1"/>
      <c r="X96" s="1"/>
      <c r="Y96" s="1"/>
      <c r="Z96" s="1"/>
      <c r="AA96" s="1"/>
      <c r="AB96" s="1"/>
    </row>
    <row r="97">
      <c r="A97" s="1"/>
      <c r="B97" s="85"/>
      <c r="C97" s="6"/>
      <c r="D97" s="7"/>
      <c r="E97" s="58"/>
      <c r="F97" s="6"/>
      <c r="G97" s="6"/>
      <c r="H97" s="6"/>
      <c r="I97" s="6"/>
      <c r="J97" s="6"/>
      <c r="K97" s="7"/>
      <c r="L97" s="85"/>
      <c r="M97" s="7"/>
      <c r="N97" s="58"/>
      <c r="O97" s="6"/>
      <c r="P97" s="6"/>
      <c r="Q97" s="7"/>
      <c r="R97" s="58"/>
      <c r="S97" s="6"/>
      <c r="T97" s="6"/>
      <c r="U97" s="7"/>
      <c r="V97" s="1"/>
      <c r="W97" s="1"/>
      <c r="X97" s="1"/>
      <c r="Y97" s="1"/>
      <c r="Z97" s="1"/>
      <c r="AA97" s="1"/>
      <c r="AB97" s="1"/>
    </row>
    <row r="98" ht="3.75" customHeight="1">
      <c r="A98" s="1"/>
      <c r="B98" s="1"/>
      <c r="V98" s="1"/>
      <c r="W98" s="1"/>
      <c r="X98" s="1"/>
      <c r="Y98" s="1"/>
      <c r="Z98" s="1"/>
      <c r="AA98" s="1"/>
      <c r="AB98" s="1"/>
    </row>
    <row r="99">
      <c r="A99" s="1"/>
      <c r="B99" s="21" t="s">
        <v>137</v>
      </c>
      <c r="C99" s="6"/>
      <c r="D99" s="6"/>
      <c r="E99" s="6"/>
      <c r="F99" s="6"/>
      <c r="G99" s="6"/>
      <c r="H99" s="6"/>
      <c r="I99" s="6"/>
      <c r="J99" s="6"/>
      <c r="K99" s="6"/>
      <c r="L99" s="6"/>
      <c r="M99" s="6"/>
      <c r="N99" s="6"/>
      <c r="O99" s="6"/>
      <c r="P99" s="6"/>
      <c r="Q99" s="6"/>
      <c r="R99" s="6"/>
      <c r="S99" s="6"/>
      <c r="T99" s="6"/>
      <c r="U99" s="7"/>
      <c r="V99" s="1"/>
      <c r="W99" s="1"/>
      <c r="X99" s="1"/>
      <c r="Y99" s="1"/>
      <c r="Z99" s="1"/>
      <c r="AA99" s="1"/>
      <c r="AB99" s="1"/>
    </row>
    <row r="100">
      <c r="A100" s="1"/>
      <c r="B100" s="48" t="s">
        <v>138</v>
      </c>
      <c r="C100" s="6"/>
      <c r="D100" s="6"/>
      <c r="E100" s="6"/>
      <c r="F100" s="6"/>
      <c r="G100" s="7"/>
      <c r="H100" s="48" t="s">
        <v>135</v>
      </c>
      <c r="I100" s="6"/>
      <c r="J100" s="6"/>
      <c r="K100" s="6"/>
      <c r="L100" s="6"/>
      <c r="M100" s="6"/>
      <c r="N100" s="7"/>
      <c r="O100" s="48" t="s">
        <v>139</v>
      </c>
      <c r="P100" s="6"/>
      <c r="Q100" s="7"/>
      <c r="R100" s="48" t="s">
        <v>140</v>
      </c>
      <c r="S100" s="6"/>
      <c r="T100" s="6"/>
      <c r="U100" s="7"/>
      <c r="V100" s="1"/>
      <c r="W100" s="1"/>
      <c r="X100" s="1"/>
      <c r="Y100" s="1"/>
      <c r="Z100" s="1"/>
      <c r="AA100" s="1"/>
      <c r="AB100" s="1"/>
    </row>
    <row r="101">
      <c r="A101" s="1"/>
      <c r="B101" s="22"/>
      <c r="C101" s="6"/>
      <c r="D101" s="6"/>
      <c r="E101" s="6"/>
      <c r="F101" s="6"/>
      <c r="G101" s="7"/>
      <c r="H101" s="22"/>
      <c r="I101" s="6"/>
      <c r="J101" s="6"/>
      <c r="K101" s="6"/>
      <c r="L101" s="6"/>
      <c r="M101" s="6"/>
      <c r="N101" s="7"/>
      <c r="O101" s="83"/>
      <c r="P101" s="6"/>
      <c r="Q101" s="7"/>
      <c r="R101" s="22"/>
      <c r="S101" s="6"/>
      <c r="T101" s="6"/>
      <c r="U101" s="7"/>
      <c r="V101" s="1"/>
      <c r="W101" s="1"/>
      <c r="X101" s="1"/>
      <c r="Y101" s="1"/>
      <c r="Z101" s="1"/>
      <c r="AA101" s="1"/>
      <c r="AB101" s="1"/>
    </row>
    <row r="102" ht="5.2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row>
  </sheetData>
  <mergeCells count="323">
    <mergeCell ref="B35:C35"/>
    <mergeCell ref="B38:C38"/>
    <mergeCell ref="B39:C39"/>
    <mergeCell ref="D39:K39"/>
    <mergeCell ref="M39:T39"/>
    <mergeCell ref="D40:K40"/>
    <mergeCell ref="M40:T40"/>
    <mergeCell ref="B40:C40"/>
    <mergeCell ref="B41:C41"/>
    <mergeCell ref="D41:K41"/>
    <mergeCell ref="M41:T41"/>
    <mergeCell ref="B42:C42"/>
    <mergeCell ref="D42:K42"/>
    <mergeCell ref="M42:T42"/>
    <mergeCell ref="B25:C25"/>
    <mergeCell ref="D25:I25"/>
    <mergeCell ref="B21:C21"/>
    <mergeCell ref="D21:I21"/>
    <mergeCell ref="P21:U25"/>
    <mergeCell ref="B22:C22"/>
    <mergeCell ref="D22:I22"/>
    <mergeCell ref="B23:C23"/>
    <mergeCell ref="D23:I23"/>
    <mergeCell ref="B26:U26"/>
    <mergeCell ref="B27:U27"/>
    <mergeCell ref="B28:U28"/>
    <mergeCell ref="B29:U29"/>
    <mergeCell ref="B30:C30"/>
    <mergeCell ref="D30:E30"/>
    <mergeCell ref="F30:Q30"/>
    <mergeCell ref="D33:E33"/>
    <mergeCell ref="F33:Q33"/>
    <mergeCell ref="B31:C31"/>
    <mergeCell ref="D31:E31"/>
    <mergeCell ref="F31:Q31"/>
    <mergeCell ref="B32:C32"/>
    <mergeCell ref="D32:E32"/>
    <mergeCell ref="F32:Q32"/>
    <mergeCell ref="B33:C33"/>
    <mergeCell ref="C48:H48"/>
    <mergeCell ref="I48:J48"/>
    <mergeCell ref="L48:Q48"/>
    <mergeCell ref="R48:S48"/>
    <mergeCell ref="C49:H49"/>
    <mergeCell ref="I49:J49"/>
    <mergeCell ref="L49:Q49"/>
    <mergeCell ref="L60:M60"/>
    <mergeCell ref="L61:M61"/>
    <mergeCell ref="N61:U61"/>
    <mergeCell ref="C55:H55"/>
    <mergeCell ref="I55:J55"/>
    <mergeCell ref="L55:Q55"/>
    <mergeCell ref="C56:H56"/>
    <mergeCell ref="I56:J56"/>
    <mergeCell ref="L56:Q56"/>
    <mergeCell ref="C57:H57"/>
    <mergeCell ref="I57:J57"/>
    <mergeCell ref="K57:Q57"/>
    <mergeCell ref="B58:U58"/>
    <mergeCell ref="B59:K61"/>
    <mergeCell ref="L59:M59"/>
    <mergeCell ref="N59:U59"/>
    <mergeCell ref="N60:U60"/>
    <mergeCell ref="H66:I66"/>
    <mergeCell ref="J66:K66"/>
    <mergeCell ref="O66:P66"/>
    <mergeCell ref="Q66:R66"/>
    <mergeCell ref="D66:E66"/>
    <mergeCell ref="D67:E67"/>
    <mergeCell ref="F67:G67"/>
    <mergeCell ref="H67:I67"/>
    <mergeCell ref="F66:G66"/>
    <mergeCell ref="D68:E68"/>
    <mergeCell ref="P76:Q76"/>
    <mergeCell ref="R76:S76"/>
    <mergeCell ref="L75:M75"/>
    <mergeCell ref="N75:O75"/>
    <mergeCell ref="P75:Q75"/>
    <mergeCell ref="R75:S75"/>
    <mergeCell ref="T75:U75"/>
    <mergeCell ref="N76:O76"/>
    <mergeCell ref="T76:U76"/>
    <mergeCell ref="G77:K77"/>
    <mergeCell ref="G78:K78"/>
    <mergeCell ref="L78:M78"/>
    <mergeCell ref="N78:O78"/>
    <mergeCell ref="P78:Q78"/>
    <mergeCell ref="R78:S78"/>
    <mergeCell ref="T78:U78"/>
    <mergeCell ref="H82:I82"/>
    <mergeCell ref="J82:K82"/>
    <mergeCell ref="L82:M82"/>
    <mergeCell ref="O82:P82"/>
    <mergeCell ref="Q82:R82"/>
    <mergeCell ref="S82:U82"/>
    <mergeCell ref="L76:M76"/>
    <mergeCell ref="L77:M77"/>
    <mergeCell ref="N77:O77"/>
    <mergeCell ref="P77:Q77"/>
    <mergeCell ref="R77:S77"/>
    <mergeCell ref="T77:U77"/>
    <mergeCell ref="X81:X82"/>
    <mergeCell ref="F68:G68"/>
    <mergeCell ref="H68:I68"/>
    <mergeCell ref="J68:K68"/>
    <mergeCell ref="D69:E69"/>
    <mergeCell ref="F69:G69"/>
    <mergeCell ref="H69:I69"/>
    <mergeCell ref="J69:K69"/>
    <mergeCell ref="B72:U72"/>
    <mergeCell ref="B73:U73"/>
    <mergeCell ref="B62:U62"/>
    <mergeCell ref="B63:U63"/>
    <mergeCell ref="B64:U64"/>
    <mergeCell ref="B65:U65"/>
    <mergeCell ref="B66:B70"/>
    <mergeCell ref="S66:U66"/>
    <mergeCell ref="J67:K67"/>
    <mergeCell ref="H70:I70"/>
    <mergeCell ref="J70:K70"/>
    <mergeCell ref="H71:I71"/>
    <mergeCell ref="J71:K71"/>
    <mergeCell ref="G74:K74"/>
    <mergeCell ref="G75:K75"/>
    <mergeCell ref="G76:K76"/>
    <mergeCell ref="G79:K79"/>
    <mergeCell ref="L79:M79"/>
    <mergeCell ref="N79:O79"/>
    <mergeCell ref="P79:Q79"/>
    <mergeCell ref="R79:S79"/>
    <mergeCell ref="T79:U79"/>
    <mergeCell ref="B80:U80"/>
    <mergeCell ref="B81:U81"/>
    <mergeCell ref="D70:E70"/>
    <mergeCell ref="F70:G70"/>
    <mergeCell ref="B71:C71"/>
    <mergeCell ref="D71:E71"/>
    <mergeCell ref="F71:G71"/>
    <mergeCell ref="B74:F74"/>
    <mergeCell ref="B75:F79"/>
    <mergeCell ref="D83:E83"/>
    <mergeCell ref="D85:E85"/>
    <mergeCell ref="H86:I86"/>
    <mergeCell ref="J86:K86"/>
    <mergeCell ref="B82:B86"/>
    <mergeCell ref="B87:C87"/>
    <mergeCell ref="D87:E87"/>
    <mergeCell ref="F87:G87"/>
    <mergeCell ref="H87:I87"/>
    <mergeCell ref="J87:K87"/>
    <mergeCell ref="D82:E82"/>
    <mergeCell ref="F82:G82"/>
    <mergeCell ref="N82:N87"/>
    <mergeCell ref="F83:G83"/>
    <mergeCell ref="H83:I83"/>
    <mergeCell ref="L84:M84"/>
    <mergeCell ref="L86:M86"/>
    <mergeCell ref="L87:M87"/>
    <mergeCell ref="N90:Q90"/>
    <mergeCell ref="R90:U90"/>
    <mergeCell ref="D86:E86"/>
    <mergeCell ref="F86:G86"/>
    <mergeCell ref="B88:U88"/>
    <mergeCell ref="B89:U89"/>
    <mergeCell ref="B90:E90"/>
    <mergeCell ref="F90:I90"/>
    <mergeCell ref="J90:M90"/>
    <mergeCell ref="L95:M95"/>
    <mergeCell ref="N95:Q95"/>
    <mergeCell ref="N96:Q96"/>
    <mergeCell ref="R96:U96"/>
    <mergeCell ref="N97:Q97"/>
    <mergeCell ref="R97:U97"/>
    <mergeCell ref="B94:D94"/>
    <mergeCell ref="E94:K94"/>
    <mergeCell ref="L94:M94"/>
    <mergeCell ref="N94:Q94"/>
    <mergeCell ref="R94:U94"/>
    <mergeCell ref="E95:K95"/>
    <mergeCell ref="R95:U95"/>
    <mergeCell ref="B95:D95"/>
    <mergeCell ref="B96:D96"/>
    <mergeCell ref="E96:K96"/>
    <mergeCell ref="L96:M96"/>
    <mergeCell ref="B97:D97"/>
    <mergeCell ref="E97:K97"/>
    <mergeCell ref="L97:M97"/>
    <mergeCell ref="H101:N101"/>
    <mergeCell ref="O101:Q101"/>
    <mergeCell ref="B98:U98"/>
    <mergeCell ref="B99:U99"/>
    <mergeCell ref="B100:G100"/>
    <mergeCell ref="H100:N100"/>
    <mergeCell ref="O100:Q100"/>
    <mergeCell ref="R100:U100"/>
    <mergeCell ref="B101:G101"/>
    <mergeCell ref="R101:U101"/>
    <mergeCell ref="J83:K83"/>
    <mergeCell ref="L83:M83"/>
    <mergeCell ref="O83:P87"/>
    <mergeCell ref="Q83:R87"/>
    <mergeCell ref="S83:U87"/>
    <mergeCell ref="D84:E84"/>
    <mergeCell ref="F84:G84"/>
    <mergeCell ref="H84:I84"/>
    <mergeCell ref="J84:K84"/>
    <mergeCell ref="F85:G85"/>
    <mergeCell ref="H85:I85"/>
    <mergeCell ref="J85:K85"/>
    <mergeCell ref="L85:M85"/>
    <mergeCell ref="B91:E91"/>
    <mergeCell ref="F91:I91"/>
    <mergeCell ref="J91:M91"/>
    <mergeCell ref="N91:Q91"/>
    <mergeCell ref="R91:U91"/>
    <mergeCell ref="B92:U92"/>
    <mergeCell ref="B93:U93"/>
    <mergeCell ref="B2:D4"/>
    <mergeCell ref="B6:D6"/>
    <mergeCell ref="E2:U2"/>
    <mergeCell ref="E3:U3"/>
    <mergeCell ref="E4:H4"/>
    <mergeCell ref="I4:K4"/>
    <mergeCell ref="L4:R4"/>
    <mergeCell ref="S4:U4"/>
    <mergeCell ref="B5:U5"/>
    <mergeCell ref="E6:U6"/>
    <mergeCell ref="B7:U7"/>
    <mergeCell ref="B8:U8"/>
    <mergeCell ref="B9:U9"/>
    <mergeCell ref="B10:U10"/>
    <mergeCell ref="N11:Q11"/>
    <mergeCell ref="R11:U11"/>
    <mergeCell ref="B11:M11"/>
    <mergeCell ref="B12:U12"/>
    <mergeCell ref="B13:U13"/>
    <mergeCell ref="E14:J14"/>
    <mergeCell ref="K14:N14"/>
    <mergeCell ref="O14:P14"/>
    <mergeCell ref="R14:U14"/>
    <mergeCell ref="B14:D14"/>
    <mergeCell ref="B15:D15"/>
    <mergeCell ref="E15:J15"/>
    <mergeCell ref="K15:N15"/>
    <mergeCell ref="O15:P15"/>
    <mergeCell ref="R15:U15"/>
    <mergeCell ref="B16:U16"/>
    <mergeCell ref="B17:U17"/>
    <mergeCell ref="B18:U18"/>
    <mergeCell ref="B19:C20"/>
    <mergeCell ref="D19:I20"/>
    <mergeCell ref="J19:N19"/>
    <mergeCell ref="O19:O20"/>
    <mergeCell ref="P19:U20"/>
    <mergeCell ref="B24:C24"/>
    <mergeCell ref="D24:I24"/>
    <mergeCell ref="D38:L38"/>
    <mergeCell ref="M38:U38"/>
    <mergeCell ref="B34:C34"/>
    <mergeCell ref="D34:E34"/>
    <mergeCell ref="F34:Q34"/>
    <mergeCell ref="D35:E35"/>
    <mergeCell ref="F35:Q35"/>
    <mergeCell ref="B36:U36"/>
    <mergeCell ref="B37:U37"/>
    <mergeCell ref="B43:C43"/>
    <mergeCell ref="D43:K43"/>
    <mergeCell ref="M43:T43"/>
    <mergeCell ref="B44:C44"/>
    <mergeCell ref="D44:L44"/>
    <mergeCell ref="M44:N44"/>
    <mergeCell ref="O44:U44"/>
    <mergeCell ref="B45:U45"/>
    <mergeCell ref="B46:U46"/>
    <mergeCell ref="B47:H47"/>
    <mergeCell ref="I47:J47"/>
    <mergeCell ref="K47:Q47"/>
    <mergeCell ref="R47:S47"/>
    <mergeCell ref="T47:U47"/>
    <mergeCell ref="L51:Q51"/>
    <mergeCell ref="L52:Q52"/>
    <mergeCell ref="C50:H50"/>
    <mergeCell ref="I50:J50"/>
    <mergeCell ref="L50:Q50"/>
    <mergeCell ref="C51:H51"/>
    <mergeCell ref="I51:J51"/>
    <mergeCell ref="C52:H52"/>
    <mergeCell ref="I52:J52"/>
    <mergeCell ref="L53:Q53"/>
    <mergeCell ref="L54:Q54"/>
    <mergeCell ref="R51:S51"/>
    <mergeCell ref="R52:S52"/>
    <mergeCell ref="C53:H53"/>
    <mergeCell ref="I53:J53"/>
    <mergeCell ref="R53:S53"/>
    <mergeCell ref="C54:H54"/>
    <mergeCell ref="I54:J54"/>
    <mergeCell ref="R54:S54"/>
    <mergeCell ref="R55:S55"/>
    <mergeCell ref="R56:S56"/>
    <mergeCell ref="R30:S30"/>
    <mergeCell ref="T30:U30"/>
    <mergeCell ref="R31:S35"/>
    <mergeCell ref="T31:U35"/>
    <mergeCell ref="T48:U57"/>
    <mergeCell ref="R49:S49"/>
    <mergeCell ref="R50:S50"/>
    <mergeCell ref="R57:S57"/>
    <mergeCell ref="L66:M66"/>
    <mergeCell ref="N66:N71"/>
    <mergeCell ref="L67:M67"/>
    <mergeCell ref="O67:P71"/>
    <mergeCell ref="Q67:R71"/>
    <mergeCell ref="S67:U71"/>
    <mergeCell ref="L68:M68"/>
    <mergeCell ref="L71:M71"/>
    <mergeCell ref="L69:M69"/>
    <mergeCell ref="L70:M70"/>
    <mergeCell ref="L74:M74"/>
    <mergeCell ref="N74:O74"/>
    <mergeCell ref="P74:Q74"/>
    <mergeCell ref="R74:S74"/>
    <mergeCell ref="T74:U74"/>
  </mergeCells>
  <conditionalFormatting sqref="I48:I57 R48:R56 R91">
    <cfRule type="containsBlanks" dxfId="0" priority="1" stopIfTrue="1">
      <formula>LEN(TRIM(I48))=0</formula>
    </cfRule>
  </conditionalFormatting>
  <conditionalFormatting sqref="L39:L43 U39:U43">
    <cfRule type="expression" dxfId="1" priority="2" stopIfTrue="1">
      <formula>L39="X"</formula>
    </cfRule>
  </conditionalFormatting>
  <conditionalFormatting sqref="L39:L43 U39:U43">
    <cfRule type="expression" dxfId="0" priority="3">
      <formula>AND($L$39="",$L$40="",$L$41="",$L$42="",$L$43="",$U$39="",$U$40="",$U$41="",$U$42="",$U$43="")</formula>
    </cfRule>
  </conditionalFormatting>
  <conditionalFormatting sqref="R31">
    <cfRule type="expression" dxfId="0" priority="4">
      <formula>AND(R31="",S31="",T31="",U31="",V31="")</formula>
    </cfRule>
  </conditionalFormatting>
  <conditionalFormatting sqref="J21:N25">
    <cfRule type="expression" dxfId="0" priority="5" stopIfTrue="1">
      <formula>#REF!=""</formula>
    </cfRule>
  </conditionalFormatting>
  <conditionalFormatting sqref="D21:I25">
    <cfRule type="expression" dxfId="0" priority="6">
      <formula>$D$21=""</formula>
    </cfRule>
  </conditionalFormatting>
  <conditionalFormatting sqref="B21:C25">
    <cfRule type="expression" dxfId="0" priority="7">
      <formula>$B$21=""</formula>
    </cfRule>
  </conditionalFormatting>
  <conditionalFormatting sqref="E6:U6 B15:D15">
    <cfRule type="containsBlanks" dxfId="0" priority="8">
      <formula>LEN(TRIM(E6))=0</formula>
    </cfRule>
  </conditionalFormatting>
  <conditionalFormatting sqref="E15:H15">
    <cfRule type="containsBlanks" dxfId="0" priority="9">
      <formula>LEN(TRIM(E15))=0</formula>
    </cfRule>
  </conditionalFormatting>
  <conditionalFormatting sqref="O15">
    <cfRule type="containsBlanks" dxfId="0" priority="10">
      <formula>LEN(TRIM(O15))=0</formula>
    </cfRule>
  </conditionalFormatting>
  <conditionalFormatting sqref="R15:U15">
    <cfRule type="containsBlanks" dxfId="0" priority="11">
      <formula>LEN(TRIM(R15))=0</formula>
    </cfRule>
  </conditionalFormatting>
  <conditionalFormatting sqref="K15">
    <cfRule type="containsBlanks" dxfId="0" priority="12">
      <formula>LEN(TRIM(K15))=0</formula>
    </cfRule>
  </conditionalFormatting>
  <conditionalFormatting sqref="D66:M70 S67:U71 D82:M86 S83:U87">
    <cfRule type="cellIs" dxfId="2" priority="13" operator="equal">
      <formula>"Baja"</formula>
    </cfRule>
  </conditionalFormatting>
  <conditionalFormatting sqref="D66:M70 S67:U71 D82:M86 S83:U87">
    <cfRule type="cellIs" dxfId="3" priority="14" operator="equal">
      <formula>"Media"</formula>
    </cfRule>
  </conditionalFormatting>
  <conditionalFormatting sqref="D66:M70 S67:U71 D82:M86 S83:U87">
    <cfRule type="cellIs" dxfId="4" priority="15" operator="equal">
      <formula>"Alta"</formula>
    </cfRule>
  </conditionalFormatting>
  <conditionalFormatting sqref="D66:M70 S67:U71 D82:M86 S83:U87">
    <cfRule type="cellIs" dxfId="5" priority="16" operator="equal">
      <formula>"Extrema"</formula>
    </cfRule>
  </conditionalFormatting>
  <conditionalFormatting sqref="S67:U71 S83:U87">
    <cfRule type="cellIs" dxfId="2" priority="17" operator="equal">
      <formula>"Baja"</formula>
    </cfRule>
  </conditionalFormatting>
  <conditionalFormatting sqref="S67:U71 S83:U87">
    <cfRule type="cellIs" dxfId="3" priority="18" operator="equal">
      <formula>"Media"</formula>
    </cfRule>
  </conditionalFormatting>
  <conditionalFormatting sqref="S67:U71 S83:U87">
    <cfRule type="cellIs" dxfId="4" priority="19" operator="equal">
      <formula>"Alta"</formula>
    </cfRule>
  </conditionalFormatting>
  <conditionalFormatting sqref="S67:U71 S83:U87">
    <cfRule type="cellIs" dxfId="5" priority="20" operator="equal">
      <formula>"Extrema"</formula>
    </cfRule>
  </conditionalFormatting>
  <conditionalFormatting sqref="G75:K79">
    <cfRule type="expression" dxfId="0" priority="21">
      <formula>$G$75=""</formula>
    </cfRule>
  </conditionalFormatting>
  <conditionalFormatting sqref="L75:M79">
    <cfRule type="expression" dxfId="0" priority="22">
      <formula>$L$75=""</formula>
    </cfRule>
  </conditionalFormatting>
  <conditionalFormatting sqref="N75:O79">
    <cfRule type="expression" dxfId="0" priority="23">
      <formula>$N$75=""</formula>
    </cfRule>
  </conditionalFormatting>
  <conditionalFormatting sqref="P75:Q79">
    <cfRule type="expression" dxfId="0" priority="24">
      <formula>$P$75=""</formula>
    </cfRule>
  </conditionalFormatting>
  <conditionalFormatting sqref="R75:S79">
    <cfRule type="expression" dxfId="0" priority="25">
      <formula>$R$75=""</formula>
    </cfRule>
  </conditionalFormatting>
  <conditionalFormatting sqref="T75:U79">
    <cfRule type="expression" dxfId="0" priority="26">
      <formula>$T$75=""</formula>
    </cfRule>
  </conditionalFormatting>
  <conditionalFormatting sqref="B95:D97">
    <cfRule type="expression" dxfId="0" priority="27">
      <formula>$B$95=""</formula>
    </cfRule>
  </conditionalFormatting>
  <conditionalFormatting sqref="E95:M97">
    <cfRule type="expression" dxfId="0" priority="28">
      <formula>$E$95=""</formula>
    </cfRule>
  </conditionalFormatting>
  <conditionalFormatting sqref="N95:Q97">
    <cfRule type="expression" dxfId="0" priority="29">
      <formula>$N$95=""</formula>
    </cfRule>
  </conditionalFormatting>
  <conditionalFormatting sqref="R95:U97">
    <cfRule type="expression" dxfId="0" priority="30">
      <formula>$R$95=""</formula>
    </cfRule>
  </conditionalFormatting>
  <conditionalFormatting sqref="B101:U101">
    <cfRule type="containsBlanks" dxfId="0" priority="31">
      <formula>LEN(TRIM(B101))=0</formula>
    </cfRule>
  </conditionalFormatting>
  <conditionalFormatting sqref="E6:U6">
    <cfRule type="containsBlanks" dxfId="0" priority="32">
      <formula>LEN(TRIM(E6))=0</formula>
    </cfRule>
  </conditionalFormatting>
  <dataValidations>
    <dataValidation type="list" allowBlank="1" showErrorMessage="1" sqref="L39:L43 U39:U43">
      <formula1>"X"</formula1>
    </dataValidation>
    <dataValidation type="list" allowBlank="1" showErrorMessage="1" sqref="O15">
      <formula1>Listas!$CM$4:$CM$20</formula1>
    </dataValidation>
    <dataValidation type="list" allowBlank="1" sqref="P75:P79">
      <formula1>Listas!$CU$4:$CU$8</formula1>
    </dataValidation>
    <dataValidation type="list" allowBlank="1" sqref="T75:T79">
      <formula1>Listas!$CW$4:$CW$8</formula1>
    </dataValidation>
    <dataValidation type="list" allowBlank="1" showErrorMessage="1" sqref="R48:R56 I48:I57">
      <formula1>"Si,No"</formula1>
    </dataValidation>
    <dataValidation type="list" allowBlank="1" sqref="R75:R79">
      <formula1>Listas!$CV$4:$CV$8</formula1>
    </dataValidation>
    <dataValidation type="list" allowBlank="1" sqref="L75:L79">
      <formula1>Listas!$CS$4:$CS$8</formula1>
    </dataValidation>
    <dataValidation type="list" allowBlank="1" showErrorMessage="1" sqref="J21:N25">
      <formula1>Listas!$CN$4:$CN$13</formula1>
    </dataValidation>
    <dataValidation type="list" allowBlank="1" showErrorMessage="1" sqref="R31">
      <formula1>Listas!$CO$4:$CO$8</formula1>
    </dataValidation>
    <dataValidation type="list" allowBlank="1" sqref="E6">
      <formula1>Listas!$B$4:$B$27</formula1>
    </dataValidation>
    <dataValidation type="list" allowBlank="1" sqref="B21:B25">
      <formula1>Listas!$CY$4:$CY$18</formula1>
    </dataValidation>
    <dataValidation type="list" allowBlank="1" sqref="N75:N79">
      <formula1>Listas!$CT$4:$CT$8</formula1>
    </dataValidation>
    <dataValidation type="list" allowBlank="1" showErrorMessage="1" sqref="R91">
      <formula1>Listas!$CX$4:$CX$7</formula1>
    </dataValidation>
    <dataValidation type="list" allowBlank="1" showErrorMessage="1" sqref="B15">
      <formula1>Listas!$BD$4:$BD$20</formula1>
    </dataValidation>
  </dataValidations>
  <hyperlinks>
    <hyperlink display="Contexto interno y externo del Proceso" location="null!A1" ref="N11"/>
    <hyperlink r:id="rId2" ref="R11"/>
  </hyperlinks>
  <drawing r:id="rId3"/>
  <legacyDrawing r:id="rId4"/>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0"/>
  <cols>
    <col customWidth="1" min="1" max="1" width="0.86"/>
    <col customWidth="1" min="2" max="21" width="8.86"/>
    <col customWidth="1" min="22" max="22" width="1.43"/>
    <col customWidth="1" hidden="1" min="23" max="23" width="5.57"/>
    <col hidden="1" min="24" max="28" width="14.43"/>
  </cols>
  <sheetData>
    <row r="1" ht="6.0" customHeight="1">
      <c r="A1" s="1"/>
      <c r="B1" s="1"/>
      <c r="C1" s="1"/>
      <c r="D1" s="1"/>
      <c r="E1" s="1"/>
      <c r="F1" s="1"/>
      <c r="G1" s="1"/>
      <c r="H1" s="1"/>
      <c r="I1" s="1"/>
      <c r="J1" s="1"/>
      <c r="K1" s="1"/>
      <c r="L1" s="1"/>
      <c r="M1" s="1"/>
      <c r="N1" s="1"/>
      <c r="O1" s="1"/>
      <c r="P1" s="1"/>
      <c r="Q1" s="1"/>
      <c r="R1" s="1"/>
      <c r="S1" s="1"/>
      <c r="T1" s="1"/>
      <c r="U1" s="1"/>
      <c r="V1" s="1"/>
      <c r="W1" s="1"/>
      <c r="X1" s="1"/>
      <c r="Y1" s="1"/>
      <c r="Z1" s="1"/>
      <c r="AA1" s="1"/>
      <c r="AB1" s="1"/>
    </row>
    <row r="2" ht="15.0" customHeight="1">
      <c r="A2" s="1"/>
      <c r="B2" s="2"/>
      <c r="C2" s="3"/>
      <c r="D2" s="4"/>
      <c r="E2" s="5" t="s">
        <v>0</v>
      </c>
      <c r="F2" s="6"/>
      <c r="G2" s="6"/>
      <c r="H2" s="6"/>
      <c r="I2" s="6"/>
      <c r="J2" s="6"/>
      <c r="K2" s="6"/>
      <c r="L2" s="6"/>
      <c r="M2" s="6"/>
      <c r="N2" s="6"/>
      <c r="O2" s="6"/>
      <c r="P2" s="6"/>
      <c r="Q2" s="6"/>
      <c r="R2" s="6"/>
      <c r="S2" s="6"/>
      <c r="T2" s="6"/>
      <c r="U2" s="7"/>
      <c r="V2" s="1"/>
      <c r="W2" s="1"/>
      <c r="X2" s="1"/>
      <c r="Y2" s="1"/>
      <c r="Z2" s="1"/>
      <c r="AA2" s="1"/>
      <c r="AB2" s="1"/>
    </row>
    <row r="3" ht="15.0" customHeight="1">
      <c r="A3" s="1"/>
      <c r="B3" s="8"/>
      <c r="D3" s="9"/>
      <c r="E3" s="10" t="s">
        <v>1</v>
      </c>
      <c r="F3" s="6"/>
      <c r="G3" s="6"/>
      <c r="H3" s="6"/>
      <c r="I3" s="6"/>
      <c r="J3" s="6"/>
      <c r="K3" s="6"/>
      <c r="L3" s="6"/>
      <c r="M3" s="6"/>
      <c r="N3" s="6"/>
      <c r="O3" s="6"/>
      <c r="P3" s="6"/>
      <c r="Q3" s="6"/>
      <c r="R3" s="6"/>
      <c r="S3" s="6"/>
      <c r="T3" s="6"/>
      <c r="U3" s="7"/>
      <c r="V3" s="1"/>
      <c r="W3" s="1"/>
      <c r="X3" s="1"/>
      <c r="Y3" s="1"/>
      <c r="Z3" s="1"/>
      <c r="AA3" s="1"/>
      <c r="AB3" s="1"/>
    </row>
    <row r="4" ht="15.0" customHeight="1">
      <c r="A4" s="1"/>
      <c r="B4" s="11"/>
      <c r="C4" s="12"/>
      <c r="D4" s="13"/>
      <c r="E4" s="14" t="s">
        <v>165</v>
      </c>
      <c r="F4" s="6"/>
      <c r="G4" s="6"/>
      <c r="H4" s="7"/>
      <c r="I4" s="14" t="s">
        <v>166</v>
      </c>
      <c r="J4" s="6"/>
      <c r="K4" s="7"/>
      <c r="L4" s="14" t="s">
        <v>167</v>
      </c>
      <c r="M4" s="6"/>
      <c r="N4" s="6"/>
      <c r="O4" s="6"/>
      <c r="P4" s="6"/>
      <c r="Q4" s="6"/>
      <c r="R4" s="7"/>
      <c r="S4" s="14" t="s">
        <v>168</v>
      </c>
      <c r="T4" s="6"/>
      <c r="U4" s="7"/>
      <c r="V4" s="1"/>
      <c r="W4" s="1"/>
      <c r="X4" s="1"/>
      <c r="Y4" s="1"/>
      <c r="Z4" s="1"/>
      <c r="AA4" s="1"/>
      <c r="AB4" s="1"/>
    </row>
    <row r="5" ht="3.0" customHeight="1">
      <c r="A5" s="1"/>
      <c r="B5" s="1"/>
      <c r="V5" s="1"/>
      <c r="W5" s="1"/>
      <c r="X5" s="1"/>
      <c r="Y5" s="1"/>
      <c r="Z5" s="1"/>
      <c r="AA5" s="1"/>
      <c r="AB5" s="1"/>
    </row>
    <row r="6" ht="15.0" customHeight="1">
      <c r="A6" s="15"/>
      <c r="B6" s="16" t="s">
        <v>6</v>
      </c>
      <c r="C6" s="17"/>
      <c r="D6" s="18"/>
      <c r="E6" s="19"/>
      <c r="F6" s="17"/>
      <c r="G6" s="17"/>
      <c r="H6" s="17"/>
      <c r="I6" s="17"/>
      <c r="J6" s="17"/>
      <c r="K6" s="17"/>
      <c r="L6" s="17"/>
      <c r="M6" s="17"/>
      <c r="N6" s="17"/>
      <c r="O6" s="17"/>
      <c r="P6" s="17"/>
      <c r="Q6" s="17"/>
      <c r="R6" s="17"/>
      <c r="S6" s="17"/>
      <c r="T6" s="17"/>
      <c r="U6" s="18"/>
      <c r="V6" s="15"/>
      <c r="W6" s="15"/>
      <c r="X6" s="15"/>
      <c r="Y6" s="15"/>
      <c r="Z6" s="15"/>
      <c r="AA6" s="15"/>
      <c r="AB6" s="1"/>
    </row>
    <row r="7" ht="3.75" customHeight="1">
      <c r="A7" s="1"/>
      <c r="B7" s="1"/>
      <c r="V7" s="1"/>
      <c r="W7" s="1"/>
      <c r="X7" s="1"/>
      <c r="Y7" s="1"/>
      <c r="Z7" s="1"/>
      <c r="AA7" s="1"/>
      <c r="AB7" s="1"/>
    </row>
    <row r="8">
      <c r="A8" s="1"/>
      <c r="B8" s="20" t="s">
        <v>7</v>
      </c>
      <c r="C8" s="6"/>
      <c r="D8" s="6"/>
      <c r="E8" s="6"/>
      <c r="F8" s="6"/>
      <c r="G8" s="6"/>
      <c r="H8" s="6"/>
      <c r="I8" s="6"/>
      <c r="J8" s="6"/>
      <c r="K8" s="6"/>
      <c r="L8" s="6"/>
      <c r="M8" s="6"/>
      <c r="N8" s="6"/>
      <c r="O8" s="6"/>
      <c r="P8" s="6"/>
      <c r="Q8" s="6"/>
      <c r="R8" s="6"/>
      <c r="S8" s="6"/>
      <c r="T8" s="6"/>
      <c r="U8" s="7"/>
      <c r="V8" s="1"/>
      <c r="W8" s="1"/>
      <c r="X8" s="1"/>
      <c r="Y8" s="1"/>
      <c r="Z8" s="1"/>
      <c r="AA8" s="1"/>
      <c r="AB8" s="1"/>
    </row>
    <row r="9" ht="3.75" customHeight="1">
      <c r="A9" s="1"/>
      <c r="B9" s="1"/>
      <c r="V9" s="1"/>
      <c r="W9" s="1"/>
      <c r="X9" s="1"/>
      <c r="Y9" s="1"/>
      <c r="Z9" s="1"/>
      <c r="AA9" s="1"/>
      <c r="AB9" s="1"/>
    </row>
    <row r="10">
      <c r="A10" s="1"/>
      <c r="B10" s="21" t="s">
        <v>8</v>
      </c>
      <c r="C10" s="6"/>
      <c r="D10" s="6"/>
      <c r="E10" s="6"/>
      <c r="F10" s="6"/>
      <c r="G10" s="6"/>
      <c r="H10" s="6"/>
      <c r="I10" s="6"/>
      <c r="J10" s="6"/>
      <c r="K10" s="6"/>
      <c r="L10" s="6"/>
      <c r="M10" s="6"/>
      <c r="N10" s="6"/>
      <c r="O10" s="6"/>
      <c r="P10" s="6"/>
      <c r="Q10" s="6"/>
      <c r="R10" s="6"/>
      <c r="S10" s="6"/>
      <c r="T10" s="6"/>
      <c r="U10" s="7"/>
      <c r="V10" s="1"/>
      <c r="W10" s="1"/>
      <c r="X10" s="1"/>
      <c r="Y10" s="1"/>
      <c r="Z10" s="1"/>
      <c r="AA10" s="1"/>
      <c r="AB10" s="1"/>
    </row>
    <row r="11" ht="20.25" customHeight="1">
      <c r="A11" s="1"/>
      <c r="B11" s="22" t="s">
        <v>9</v>
      </c>
      <c r="C11" s="6"/>
      <c r="D11" s="6"/>
      <c r="E11" s="6"/>
      <c r="F11" s="6"/>
      <c r="G11" s="6"/>
      <c r="H11" s="6"/>
      <c r="I11" s="6"/>
      <c r="J11" s="6"/>
      <c r="K11" s="6"/>
      <c r="L11" s="6"/>
      <c r="M11" s="6"/>
      <c r="N11" s="23" t="s">
        <v>10</v>
      </c>
      <c r="O11" s="6"/>
      <c r="P11" s="6"/>
      <c r="Q11" s="7"/>
      <c r="R11" s="24" t="s">
        <v>11</v>
      </c>
      <c r="S11" s="6"/>
      <c r="T11" s="6"/>
      <c r="U11" s="7"/>
      <c r="V11" s="1"/>
      <c r="W11" s="1"/>
      <c r="X11" s="1"/>
      <c r="Y11" s="1"/>
      <c r="Z11" s="1"/>
      <c r="AA11" s="1"/>
      <c r="AB11" s="1"/>
    </row>
    <row r="12" ht="3.75" customHeight="1">
      <c r="A12" s="1"/>
      <c r="B12" s="25"/>
      <c r="V12" s="1"/>
      <c r="W12" s="1"/>
      <c r="X12" s="1"/>
      <c r="Y12" s="1"/>
      <c r="Z12" s="1"/>
      <c r="AA12" s="1"/>
      <c r="AB12" s="1"/>
    </row>
    <row r="13" ht="16.5" customHeight="1">
      <c r="A13" s="15"/>
      <c r="B13" s="26" t="s">
        <v>12</v>
      </c>
      <c r="C13" s="17"/>
      <c r="D13" s="17"/>
      <c r="E13" s="17"/>
      <c r="F13" s="17"/>
      <c r="G13" s="17"/>
      <c r="H13" s="17"/>
      <c r="I13" s="17"/>
      <c r="J13" s="17"/>
      <c r="K13" s="17"/>
      <c r="L13" s="17"/>
      <c r="M13" s="17"/>
      <c r="N13" s="17"/>
      <c r="O13" s="17"/>
      <c r="P13" s="17"/>
      <c r="Q13" s="17"/>
      <c r="R13" s="17"/>
      <c r="S13" s="17"/>
      <c r="T13" s="17"/>
      <c r="U13" s="18"/>
      <c r="V13" s="15"/>
      <c r="W13" s="15"/>
      <c r="X13" s="15"/>
      <c r="Y13" s="15"/>
      <c r="Z13" s="15"/>
      <c r="AA13" s="15"/>
      <c r="AB13" s="1"/>
    </row>
    <row r="14">
      <c r="A14" s="15"/>
      <c r="B14" s="26" t="s">
        <v>13</v>
      </c>
      <c r="C14" s="17"/>
      <c r="D14" s="18"/>
      <c r="E14" s="26" t="s">
        <v>14</v>
      </c>
      <c r="F14" s="17"/>
      <c r="G14" s="17"/>
      <c r="H14" s="17"/>
      <c r="I14" s="17"/>
      <c r="J14" s="18"/>
      <c r="K14" s="26" t="s">
        <v>15</v>
      </c>
      <c r="L14" s="17"/>
      <c r="M14" s="17"/>
      <c r="N14" s="18"/>
      <c r="O14" s="26" t="s">
        <v>16</v>
      </c>
      <c r="P14" s="18"/>
      <c r="Q14" s="27" t="s">
        <v>17</v>
      </c>
      <c r="R14" s="26" t="s">
        <v>18</v>
      </c>
      <c r="S14" s="17"/>
      <c r="T14" s="17"/>
      <c r="U14" s="18"/>
      <c r="V14" s="15"/>
      <c r="W14" s="15"/>
      <c r="X14" s="15"/>
      <c r="Y14" s="15"/>
      <c r="Z14" s="15"/>
      <c r="AA14" s="15"/>
      <c r="AB14" s="1"/>
    </row>
    <row r="15">
      <c r="A15" s="28"/>
      <c r="B15" s="29"/>
      <c r="C15" s="17"/>
      <c r="D15" s="18"/>
      <c r="E15" s="29"/>
      <c r="F15" s="17"/>
      <c r="G15" s="17"/>
      <c r="H15" s="17"/>
      <c r="I15" s="17"/>
      <c r="J15" s="18"/>
      <c r="K15" s="30" t="str">
        <f>IF(P21="","",P21)</f>
        <v/>
      </c>
      <c r="L15" s="17"/>
      <c r="M15" s="17"/>
      <c r="N15" s="18"/>
      <c r="O15" s="31"/>
      <c r="P15" s="18"/>
      <c r="Q15" s="32" t="str">
        <f>IF(OR(E15="",Contexto!U8=""),"",CONCATENATE(Contexto!U8,"_10"))</f>
        <v>#REF!</v>
      </c>
      <c r="R15" s="29"/>
      <c r="S15" s="17"/>
      <c r="T15" s="17"/>
      <c r="U15" s="18"/>
      <c r="V15" s="28"/>
      <c r="W15" s="28"/>
      <c r="X15" s="28"/>
      <c r="Y15" s="28"/>
      <c r="Z15" s="28"/>
      <c r="AA15" s="28"/>
      <c r="AB15" s="1"/>
    </row>
    <row r="16" ht="3.75" customHeight="1">
      <c r="A16" s="1"/>
      <c r="B16" s="1"/>
      <c r="V16" s="1"/>
      <c r="W16" s="1"/>
      <c r="X16" s="1"/>
      <c r="Y16" s="1"/>
      <c r="Z16" s="1"/>
      <c r="AA16" s="1"/>
      <c r="AB16" s="1"/>
    </row>
    <row r="17" ht="16.5" customHeight="1">
      <c r="A17" s="33"/>
      <c r="B17" s="26" t="s">
        <v>19</v>
      </c>
      <c r="C17" s="17"/>
      <c r="D17" s="17"/>
      <c r="E17" s="17"/>
      <c r="F17" s="17"/>
      <c r="G17" s="17"/>
      <c r="H17" s="17"/>
      <c r="I17" s="17"/>
      <c r="J17" s="17"/>
      <c r="K17" s="17"/>
      <c r="L17" s="17"/>
      <c r="M17" s="17"/>
      <c r="N17" s="17"/>
      <c r="O17" s="17"/>
      <c r="P17" s="17"/>
      <c r="Q17" s="17"/>
      <c r="R17" s="17"/>
      <c r="S17" s="17"/>
      <c r="T17" s="17"/>
      <c r="U17" s="18"/>
      <c r="V17" s="33"/>
      <c r="W17" s="33"/>
      <c r="X17" s="33"/>
      <c r="Y17" s="33"/>
      <c r="Z17" s="33"/>
      <c r="AA17" s="33"/>
      <c r="AB17" s="1"/>
    </row>
    <row r="18" ht="3.0" customHeight="1">
      <c r="A18" s="15"/>
      <c r="B18" s="34"/>
      <c r="V18" s="15"/>
      <c r="W18" s="15"/>
      <c r="X18" s="15"/>
      <c r="Y18" s="15"/>
      <c r="Z18" s="15"/>
      <c r="AA18" s="15"/>
      <c r="AB18" s="1"/>
    </row>
    <row r="19" ht="12.75" customHeight="1">
      <c r="A19" s="15"/>
      <c r="B19" s="35" t="s">
        <v>20</v>
      </c>
      <c r="C19" s="4"/>
      <c r="D19" s="35" t="s">
        <v>21</v>
      </c>
      <c r="E19" s="3"/>
      <c r="F19" s="3"/>
      <c r="G19" s="3"/>
      <c r="H19" s="3"/>
      <c r="I19" s="4"/>
      <c r="J19" s="21" t="s">
        <v>22</v>
      </c>
      <c r="K19" s="6"/>
      <c r="L19" s="6"/>
      <c r="M19" s="6"/>
      <c r="N19" s="7"/>
      <c r="O19" s="36" t="s">
        <v>23</v>
      </c>
      <c r="P19" s="35" t="s">
        <v>24</v>
      </c>
      <c r="Q19" s="3"/>
      <c r="R19" s="3"/>
      <c r="S19" s="3"/>
      <c r="T19" s="3"/>
      <c r="U19" s="4"/>
      <c r="V19" s="15"/>
      <c r="W19" s="15"/>
      <c r="X19" s="15"/>
      <c r="Y19" s="15"/>
      <c r="Z19" s="15"/>
      <c r="AA19" s="15"/>
      <c r="AB19" s="1"/>
    </row>
    <row r="20" ht="12.75" customHeight="1">
      <c r="A20" s="15"/>
      <c r="B20" s="11"/>
      <c r="C20" s="13"/>
      <c r="D20" s="11"/>
      <c r="E20" s="12"/>
      <c r="F20" s="12"/>
      <c r="G20" s="12"/>
      <c r="H20" s="12"/>
      <c r="I20" s="13"/>
      <c r="J20" s="37" t="s">
        <v>25</v>
      </c>
      <c r="K20" s="37" t="s">
        <v>26</v>
      </c>
      <c r="L20" s="37" t="s">
        <v>27</v>
      </c>
      <c r="M20" s="37" t="s">
        <v>28</v>
      </c>
      <c r="N20" s="37" t="s">
        <v>29</v>
      </c>
      <c r="O20" s="38"/>
      <c r="P20" s="11"/>
      <c r="Q20" s="12"/>
      <c r="R20" s="12"/>
      <c r="S20" s="12"/>
      <c r="T20" s="12"/>
      <c r="U20" s="13"/>
      <c r="V20" s="15"/>
      <c r="W20" s="15"/>
      <c r="X20" s="15"/>
      <c r="Y20" s="15"/>
      <c r="Z20" s="15"/>
      <c r="AA20" s="15"/>
      <c r="AB20" s="1"/>
    </row>
    <row r="21">
      <c r="A21" s="15"/>
      <c r="B21" s="22"/>
      <c r="C21" s="7"/>
      <c r="D21" s="39"/>
      <c r="E21" s="6"/>
      <c r="F21" s="6"/>
      <c r="G21" s="6"/>
      <c r="H21" s="6"/>
      <c r="I21" s="7"/>
      <c r="J21" s="40"/>
      <c r="K21" s="41"/>
      <c r="L21" s="41"/>
      <c r="M21" s="41"/>
      <c r="N21" s="41"/>
      <c r="O21" s="42" t="str">
        <f t="shared" ref="O21:O25" si="1">IF(J21="","",AVERAGE(J21:N21))</f>
        <v/>
      </c>
      <c r="P21" s="43" t="str">
        <f>IF(D21="","", CONCATENATE(X21,"
",X22,"
",X23,"
",X24,"
",X25))</f>
        <v/>
      </c>
      <c r="Q21" s="3"/>
      <c r="R21" s="3"/>
      <c r="S21" s="3"/>
      <c r="T21" s="3"/>
      <c r="U21" s="4"/>
      <c r="V21" s="15"/>
      <c r="W21" s="15"/>
      <c r="X21" s="44" t="str">
        <f t="shared" ref="X21:X25" si="2">IF(J21="","",IF(O21&gt;=3,D21,""))</f>
        <v/>
      </c>
      <c r="Y21" s="15"/>
      <c r="Z21" s="15"/>
      <c r="AA21" s="15"/>
      <c r="AB21" s="1"/>
    </row>
    <row r="22">
      <c r="A22" s="15"/>
      <c r="B22" s="22"/>
      <c r="C22" s="7"/>
      <c r="D22" s="39"/>
      <c r="E22" s="6"/>
      <c r="F22" s="6"/>
      <c r="G22" s="6"/>
      <c r="H22" s="6"/>
      <c r="I22" s="7"/>
      <c r="J22" s="40"/>
      <c r="K22" s="41"/>
      <c r="L22" s="41"/>
      <c r="M22" s="41"/>
      <c r="N22" s="41"/>
      <c r="O22" s="42" t="str">
        <f t="shared" si="1"/>
        <v/>
      </c>
      <c r="P22" s="8"/>
      <c r="U22" s="9"/>
      <c r="V22" s="15"/>
      <c r="W22" s="15"/>
      <c r="X22" s="44" t="str">
        <f t="shared" si="2"/>
        <v/>
      </c>
      <c r="Y22" s="15"/>
      <c r="Z22" s="15"/>
      <c r="AA22" s="15"/>
      <c r="AB22" s="1"/>
    </row>
    <row r="23">
      <c r="A23" s="15"/>
      <c r="B23" s="22"/>
      <c r="C23" s="7"/>
      <c r="D23" s="39"/>
      <c r="E23" s="6"/>
      <c r="F23" s="6"/>
      <c r="G23" s="6"/>
      <c r="H23" s="6"/>
      <c r="I23" s="7"/>
      <c r="J23" s="40"/>
      <c r="K23" s="41"/>
      <c r="L23" s="41"/>
      <c r="M23" s="41"/>
      <c r="N23" s="41"/>
      <c r="O23" s="42" t="str">
        <f t="shared" si="1"/>
        <v/>
      </c>
      <c r="P23" s="8"/>
      <c r="U23" s="9"/>
      <c r="V23" s="15"/>
      <c r="W23" s="15"/>
      <c r="X23" s="44" t="str">
        <f t="shared" si="2"/>
        <v/>
      </c>
      <c r="Y23" s="15"/>
      <c r="Z23" s="15"/>
      <c r="AA23" s="15"/>
      <c r="AB23" s="1"/>
    </row>
    <row r="24">
      <c r="A24" s="15"/>
      <c r="B24" s="22"/>
      <c r="C24" s="7"/>
      <c r="D24" s="39"/>
      <c r="E24" s="6"/>
      <c r="F24" s="6"/>
      <c r="G24" s="6"/>
      <c r="H24" s="6"/>
      <c r="I24" s="7"/>
      <c r="J24" s="40"/>
      <c r="K24" s="41"/>
      <c r="L24" s="41"/>
      <c r="M24" s="41"/>
      <c r="N24" s="41"/>
      <c r="O24" s="42" t="str">
        <f t="shared" si="1"/>
        <v/>
      </c>
      <c r="P24" s="8"/>
      <c r="U24" s="9"/>
      <c r="V24" s="15"/>
      <c r="W24" s="15"/>
      <c r="X24" s="44" t="str">
        <f t="shared" si="2"/>
        <v/>
      </c>
      <c r="Y24" s="15"/>
      <c r="Z24" s="15"/>
      <c r="AA24" s="15"/>
      <c r="AB24" s="1"/>
    </row>
    <row r="25">
      <c r="A25" s="15"/>
      <c r="B25" s="22"/>
      <c r="C25" s="7"/>
      <c r="D25" s="39"/>
      <c r="E25" s="6"/>
      <c r="F25" s="6"/>
      <c r="G25" s="6"/>
      <c r="H25" s="6"/>
      <c r="I25" s="7"/>
      <c r="J25" s="40"/>
      <c r="K25" s="41"/>
      <c r="L25" s="41"/>
      <c r="M25" s="41"/>
      <c r="N25" s="41"/>
      <c r="O25" s="42" t="str">
        <f t="shared" si="1"/>
        <v/>
      </c>
      <c r="P25" s="11"/>
      <c r="Q25" s="12"/>
      <c r="R25" s="12"/>
      <c r="S25" s="12"/>
      <c r="T25" s="12"/>
      <c r="U25" s="13"/>
      <c r="V25" s="15"/>
      <c r="W25" s="15"/>
      <c r="X25" s="44" t="str">
        <f t="shared" si="2"/>
        <v/>
      </c>
      <c r="Y25" s="15"/>
      <c r="Z25" s="15"/>
      <c r="AA25" s="15"/>
      <c r="AB25" s="1"/>
    </row>
    <row r="26" ht="3.0" customHeight="1">
      <c r="A26" s="15"/>
      <c r="B26" s="34"/>
      <c r="V26" s="15"/>
      <c r="W26" s="15"/>
      <c r="X26" s="15"/>
      <c r="Y26" s="15"/>
      <c r="Z26" s="15"/>
      <c r="AA26" s="15"/>
      <c r="AB26" s="1"/>
    </row>
    <row r="27">
      <c r="A27" s="1"/>
      <c r="B27" s="45" t="s">
        <v>30</v>
      </c>
      <c r="C27" s="6"/>
      <c r="D27" s="6"/>
      <c r="E27" s="6"/>
      <c r="F27" s="6"/>
      <c r="G27" s="6"/>
      <c r="H27" s="6"/>
      <c r="I27" s="6"/>
      <c r="J27" s="6"/>
      <c r="K27" s="6"/>
      <c r="L27" s="6"/>
      <c r="M27" s="6"/>
      <c r="N27" s="6"/>
      <c r="O27" s="6"/>
      <c r="P27" s="6"/>
      <c r="Q27" s="6"/>
      <c r="R27" s="6"/>
      <c r="S27" s="6"/>
      <c r="T27" s="6"/>
      <c r="U27" s="7"/>
      <c r="V27" s="46"/>
      <c r="W27" s="46"/>
      <c r="X27" s="1"/>
      <c r="Y27" s="1"/>
      <c r="Z27" s="1"/>
      <c r="AA27" s="1"/>
      <c r="AB27" s="1"/>
    </row>
    <row r="28" ht="3.75" customHeight="1">
      <c r="A28" s="1"/>
      <c r="B28" s="1"/>
      <c r="V28" s="1"/>
      <c r="W28" s="1"/>
      <c r="X28" s="1"/>
      <c r="Y28" s="1"/>
      <c r="Z28" s="1"/>
      <c r="AA28" s="1"/>
      <c r="AB28" s="1"/>
    </row>
    <row r="29">
      <c r="A29" s="1"/>
      <c r="B29" s="21" t="s">
        <v>31</v>
      </c>
      <c r="C29" s="6"/>
      <c r="D29" s="6"/>
      <c r="E29" s="6"/>
      <c r="F29" s="6"/>
      <c r="G29" s="6"/>
      <c r="H29" s="6"/>
      <c r="I29" s="6"/>
      <c r="J29" s="6"/>
      <c r="K29" s="6"/>
      <c r="L29" s="6"/>
      <c r="M29" s="6"/>
      <c r="N29" s="6"/>
      <c r="O29" s="6"/>
      <c r="P29" s="6"/>
      <c r="Q29" s="6"/>
      <c r="R29" s="6"/>
      <c r="S29" s="6"/>
      <c r="T29" s="6"/>
      <c r="U29" s="7"/>
      <c r="V29" s="1"/>
      <c r="W29" s="1"/>
      <c r="X29" s="1"/>
      <c r="Y29" s="1"/>
      <c r="Z29" s="1"/>
      <c r="AA29" s="1"/>
      <c r="AB29" s="1"/>
    </row>
    <row r="30" ht="12.75" customHeight="1">
      <c r="A30" s="1"/>
      <c r="B30" s="47" t="s">
        <v>32</v>
      </c>
      <c r="C30" s="7"/>
      <c r="D30" s="48" t="s">
        <v>33</v>
      </c>
      <c r="E30" s="7"/>
      <c r="F30" s="47" t="s">
        <v>34</v>
      </c>
      <c r="G30" s="6"/>
      <c r="H30" s="6"/>
      <c r="I30" s="6"/>
      <c r="J30" s="6"/>
      <c r="K30" s="6"/>
      <c r="L30" s="6"/>
      <c r="M30" s="6"/>
      <c r="N30" s="6"/>
      <c r="O30" s="6"/>
      <c r="P30" s="6"/>
      <c r="Q30" s="7"/>
      <c r="R30" s="47" t="s">
        <v>35</v>
      </c>
      <c r="S30" s="7"/>
      <c r="T30" s="47" t="s">
        <v>32</v>
      </c>
      <c r="U30" s="7"/>
      <c r="V30" s="1"/>
      <c r="W30" s="1"/>
      <c r="X30" s="1"/>
      <c r="Y30" s="1"/>
      <c r="Z30" s="1"/>
      <c r="AA30" s="1"/>
      <c r="AB30" s="1"/>
    </row>
    <row r="31">
      <c r="A31" s="1"/>
      <c r="B31" s="49">
        <v>0.2</v>
      </c>
      <c r="C31" s="7"/>
      <c r="D31" s="50" t="s">
        <v>36</v>
      </c>
      <c r="E31" s="7"/>
      <c r="F31" s="22" t="s">
        <v>37</v>
      </c>
      <c r="G31" s="6"/>
      <c r="H31" s="6"/>
      <c r="I31" s="6"/>
      <c r="J31" s="6"/>
      <c r="K31" s="6"/>
      <c r="L31" s="6"/>
      <c r="M31" s="6"/>
      <c r="N31" s="6"/>
      <c r="O31" s="6"/>
      <c r="P31" s="6"/>
      <c r="Q31" s="7"/>
      <c r="R31" s="51"/>
      <c r="S31" s="4"/>
      <c r="T31" s="52" t="str">
        <f>IF(R31="","",IF(R31=Listas!CO4,20%,IF(R31=Listas!CO5,40%,IF(R31=Listas!CO6,60%,IF(R31=Listas!CO7,80%,IF(R31=Listas!CO8,100%,))))))</f>
        <v/>
      </c>
      <c r="U31" s="4"/>
      <c r="V31" s="1"/>
      <c r="W31" s="1"/>
      <c r="X31" s="53"/>
      <c r="Y31" s="1"/>
      <c r="Z31" s="1"/>
      <c r="AA31" s="1"/>
      <c r="AB31" s="1"/>
    </row>
    <row r="32">
      <c r="A32" s="1"/>
      <c r="B32" s="49">
        <v>0.4</v>
      </c>
      <c r="C32" s="7"/>
      <c r="D32" s="50" t="s">
        <v>38</v>
      </c>
      <c r="E32" s="7"/>
      <c r="F32" s="22" t="s">
        <v>39</v>
      </c>
      <c r="G32" s="6"/>
      <c r="H32" s="6"/>
      <c r="I32" s="6"/>
      <c r="J32" s="6"/>
      <c r="K32" s="6"/>
      <c r="L32" s="6"/>
      <c r="M32" s="6"/>
      <c r="N32" s="6"/>
      <c r="O32" s="6"/>
      <c r="P32" s="6"/>
      <c r="Q32" s="7"/>
      <c r="R32" s="8"/>
      <c r="S32" s="9"/>
      <c r="T32" s="8"/>
      <c r="U32" s="9"/>
      <c r="V32" s="1"/>
      <c r="W32" s="1"/>
      <c r="X32" s="53" t="str">
        <f>IF(N31="","",IF(N31=Listas!CO4,20%,IF(N31=Listas!CO5,40%,IF(N31=Listas!CO6,60%,IF(N31=Listas!CO7,80%,IF(N31=Listas!CO8,100%,))))))</f>
        <v/>
      </c>
      <c r="Y32" s="1"/>
      <c r="Z32" s="1"/>
      <c r="AA32" s="1"/>
      <c r="AB32" s="1"/>
    </row>
    <row r="33">
      <c r="A33" s="1"/>
      <c r="B33" s="49">
        <v>0.6</v>
      </c>
      <c r="C33" s="7"/>
      <c r="D33" s="50" t="s">
        <v>40</v>
      </c>
      <c r="E33" s="7"/>
      <c r="F33" s="22" t="s">
        <v>41</v>
      </c>
      <c r="G33" s="6"/>
      <c r="H33" s="6"/>
      <c r="I33" s="6"/>
      <c r="J33" s="6"/>
      <c r="K33" s="6"/>
      <c r="L33" s="6"/>
      <c r="M33" s="6"/>
      <c r="N33" s="6"/>
      <c r="O33" s="6"/>
      <c r="P33" s="6"/>
      <c r="Q33" s="7"/>
      <c r="R33" s="8"/>
      <c r="S33" s="9"/>
      <c r="T33" s="8"/>
      <c r="U33" s="9"/>
      <c r="V33" s="1"/>
      <c r="W33" s="1"/>
      <c r="X33" s="53" t="str">
        <f>IF(O31="","",IF(O31=Listas!CO4,20%,IF(O31=Listas!CO5,40%,IF(O31=Listas!CO6,60%,IF(O31=Listas!CO7,80%,IF(O31=Listas!CO8,100%,))))))</f>
        <v/>
      </c>
      <c r="Y33" s="1"/>
      <c r="Z33" s="1"/>
      <c r="AA33" s="1"/>
      <c r="AB33" s="1"/>
    </row>
    <row r="34">
      <c r="A34" s="1"/>
      <c r="B34" s="49">
        <v>0.8</v>
      </c>
      <c r="C34" s="7"/>
      <c r="D34" s="50" t="s">
        <v>42</v>
      </c>
      <c r="E34" s="7"/>
      <c r="F34" s="22" t="s">
        <v>43</v>
      </c>
      <c r="G34" s="6"/>
      <c r="H34" s="6"/>
      <c r="I34" s="6"/>
      <c r="J34" s="6"/>
      <c r="K34" s="6"/>
      <c r="L34" s="6"/>
      <c r="M34" s="6"/>
      <c r="N34" s="6"/>
      <c r="O34" s="6"/>
      <c r="P34" s="6"/>
      <c r="Q34" s="7"/>
      <c r="R34" s="8"/>
      <c r="S34" s="9"/>
      <c r="T34" s="8"/>
      <c r="U34" s="9"/>
      <c r="V34" s="1"/>
      <c r="W34" s="1"/>
      <c r="X34" s="53" t="str">
        <f>IF(P31="","",IF(P31=Listas!CO4,20%,IF(P31=Listas!CO5,40%,IF(P31=Listas!CO6,60%,IF(P31=Listas!CO7,80%,IF(P31=Listas!CO8,100%,))))))</f>
        <v/>
      </c>
      <c r="Y34" s="1"/>
      <c r="Z34" s="1"/>
      <c r="AA34" s="1"/>
      <c r="AB34" s="1"/>
    </row>
    <row r="35">
      <c r="A35" s="1"/>
      <c r="B35" s="49">
        <v>1.0</v>
      </c>
      <c r="C35" s="7"/>
      <c r="D35" s="50" t="s">
        <v>44</v>
      </c>
      <c r="E35" s="7"/>
      <c r="F35" s="22" t="s">
        <v>45</v>
      </c>
      <c r="G35" s="6"/>
      <c r="H35" s="6"/>
      <c r="I35" s="6"/>
      <c r="J35" s="6"/>
      <c r="K35" s="6"/>
      <c r="L35" s="6"/>
      <c r="M35" s="6"/>
      <c r="N35" s="6"/>
      <c r="O35" s="6"/>
      <c r="P35" s="6"/>
      <c r="Q35" s="7"/>
      <c r="R35" s="11"/>
      <c r="S35" s="13"/>
      <c r="T35" s="11"/>
      <c r="U35" s="13"/>
      <c r="V35" s="1"/>
      <c r="W35" s="1"/>
      <c r="X35" s="53" t="str">
        <f>IF(Q31="","",IF(Q31=Listas!CO4,20%,IF(Q31=Listas!CO5,40%,IF(Q31=Listas!CO6,60%,IF(Q31=Listas!CO7,80%,IF(Q31=Listas!CO8,100%,))))))</f>
        <v/>
      </c>
      <c r="Y35" s="1"/>
      <c r="Z35" s="1"/>
      <c r="AA35" s="1"/>
      <c r="AB35" s="1"/>
    </row>
    <row r="36" ht="3.75" customHeight="1">
      <c r="A36" s="1"/>
      <c r="B36" s="1"/>
      <c r="V36" s="1"/>
      <c r="W36" s="1"/>
      <c r="X36" s="1"/>
      <c r="Y36" s="1"/>
      <c r="Z36" s="1"/>
      <c r="AA36" s="1"/>
      <c r="AB36" s="1"/>
    </row>
    <row r="37">
      <c r="A37" s="1"/>
      <c r="B37" s="21" t="s">
        <v>46</v>
      </c>
      <c r="C37" s="6"/>
      <c r="D37" s="6"/>
      <c r="E37" s="6"/>
      <c r="F37" s="6"/>
      <c r="G37" s="6"/>
      <c r="H37" s="6"/>
      <c r="I37" s="6"/>
      <c r="J37" s="6"/>
      <c r="K37" s="6"/>
      <c r="L37" s="6"/>
      <c r="M37" s="6"/>
      <c r="N37" s="6"/>
      <c r="O37" s="6"/>
      <c r="P37" s="6"/>
      <c r="Q37" s="6"/>
      <c r="R37" s="6"/>
      <c r="S37" s="6"/>
      <c r="T37" s="6"/>
      <c r="U37" s="7"/>
      <c r="V37" s="1"/>
      <c r="W37" s="1"/>
      <c r="X37" s="1"/>
      <c r="Y37" s="1"/>
      <c r="Z37" s="1"/>
      <c r="AA37" s="1"/>
      <c r="AB37" s="1"/>
    </row>
    <row r="38">
      <c r="A38" s="1"/>
      <c r="B38" s="54" t="s">
        <v>32</v>
      </c>
      <c r="C38" s="7"/>
      <c r="D38" s="54" t="s">
        <v>47</v>
      </c>
      <c r="E38" s="6"/>
      <c r="F38" s="6"/>
      <c r="G38" s="6"/>
      <c r="H38" s="6"/>
      <c r="I38" s="6"/>
      <c r="J38" s="6"/>
      <c r="K38" s="6"/>
      <c r="L38" s="7"/>
      <c r="M38" s="54" t="s">
        <v>48</v>
      </c>
      <c r="N38" s="6"/>
      <c r="O38" s="6"/>
      <c r="P38" s="6"/>
      <c r="Q38" s="6"/>
      <c r="R38" s="6"/>
      <c r="S38" s="6"/>
      <c r="T38" s="6"/>
      <c r="U38" s="7"/>
      <c r="V38" s="1"/>
      <c r="W38" s="1"/>
      <c r="X38" s="1"/>
      <c r="Y38" s="1"/>
      <c r="Z38" s="1"/>
      <c r="AA38" s="1"/>
      <c r="AB38" s="1"/>
    </row>
    <row r="39" ht="17.25" customHeight="1">
      <c r="A39" s="1"/>
      <c r="B39" s="22" t="s">
        <v>49</v>
      </c>
      <c r="C39" s="7"/>
      <c r="D39" s="22" t="s">
        <v>50</v>
      </c>
      <c r="E39" s="6"/>
      <c r="F39" s="6"/>
      <c r="G39" s="6"/>
      <c r="H39" s="6"/>
      <c r="I39" s="6"/>
      <c r="J39" s="6"/>
      <c r="K39" s="7"/>
      <c r="L39" s="55"/>
      <c r="M39" s="22" t="s">
        <v>51</v>
      </c>
      <c r="N39" s="6"/>
      <c r="O39" s="6"/>
      <c r="P39" s="6"/>
      <c r="Q39" s="6"/>
      <c r="R39" s="6"/>
      <c r="S39" s="6"/>
      <c r="T39" s="7"/>
      <c r="U39" s="55"/>
      <c r="V39" s="1"/>
      <c r="W39" s="1"/>
      <c r="X39" s="1"/>
      <c r="Y39" s="1"/>
      <c r="Z39" s="1"/>
      <c r="AA39" s="1"/>
      <c r="AB39" s="1"/>
    </row>
    <row r="40" ht="23.25" customHeight="1">
      <c r="A40" s="1"/>
      <c r="B40" s="22" t="s">
        <v>52</v>
      </c>
      <c r="C40" s="7"/>
      <c r="D40" s="22" t="s">
        <v>53</v>
      </c>
      <c r="E40" s="6"/>
      <c r="F40" s="6"/>
      <c r="G40" s="6"/>
      <c r="H40" s="6"/>
      <c r="I40" s="6"/>
      <c r="J40" s="6"/>
      <c r="K40" s="7"/>
      <c r="L40" s="55"/>
      <c r="M40" s="22" t="s">
        <v>54</v>
      </c>
      <c r="N40" s="6"/>
      <c r="O40" s="6"/>
      <c r="P40" s="6"/>
      <c r="Q40" s="6"/>
      <c r="R40" s="6"/>
      <c r="S40" s="6"/>
      <c r="T40" s="7"/>
      <c r="U40" s="55"/>
      <c r="V40" s="1"/>
      <c r="W40" s="1"/>
      <c r="X40" s="1"/>
      <c r="Y40" s="1"/>
      <c r="Z40" s="1"/>
      <c r="AA40" s="1"/>
      <c r="AB40" s="1"/>
    </row>
    <row r="41" ht="23.25" customHeight="1">
      <c r="A41" s="1"/>
      <c r="B41" s="22" t="s">
        <v>55</v>
      </c>
      <c r="C41" s="7"/>
      <c r="D41" s="22" t="s">
        <v>56</v>
      </c>
      <c r="E41" s="6"/>
      <c r="F41" s="6"/>
      <c r="G41" s="6"/>
      <c r="H41" s="6"/>
      <c r="I41" s="6"/>
      <c r="J41" s="6"/>
      <c r="K41" s="7"/>
      <c r="L41" s="55"/>
      <c r="M41" s="22" t="s">
        <v>57</v>
      </c>
      <c r="N41" s="6"/>
      <c r="O41" s="6"/>
      <c r="P41" s="6"/>
      <c r="Q41" s="6"/>
      <c r="R41" s="6"/>
      <c r="S41" s="6"/>
      <c r="T41" s="7"/>
      <c r="U41" s="55"/>
      <c r="V41" s="1"/>
      <c r="W41" s="1"/>
      <c r="X41" s="1"/>
      <c r="Y41" s="1"/>
      <c r="Z41" s="1"/>
      <c r="AA41" s="1"/>
      <c r="AB41" s="1"/>
    </row>
    <row r="42" ht="23.25" customHeight="1">
      <c r="A42" s="1"/>
      <c r="B42" s="22" t="s">
        <v>58</v>
      </c>
      <c r="C42" s="7"/>
      <c r="D42" s="22" t="s">
        <v>59</v>
      </c>
      <c r="E42" s="6"/>
      <c r="F42" s="6"/>
      <c r="G42" s="6"/>
      <c r="H42" s="6"/>
      <c r="I42" s="6"/>
      <c r="J42" s="6"/>
      <c r="K42" s="7"/>
      <c r="L42" s="55"/>
      <c r="M42" s="22" t="s">
        <v>60</v>
      </c>
      <c r="N42" s="6"/>
      <c r="O42" s="6"/>
      <c r="P42" s="6"/>
      <c r="Q42" s="6"/>
      <c r="R42" s="6"/>
      <c r="S42" s="6"/>
      <c r="T42" s="7"/>
      <c r="U42" s="55"/>
      <c r="V42" s="1"/>
      <c r="W42" s="1"/>
      <c r="X42" s="1"/>
      <c r="Y42" s="1"/>
      <c r="Z42" s="1"/>
      <c r="AA42" s="1"/>
      <c r="AB42" s="1"/>
    </row>
    <row r="43" ht="23.25" customHeight="1">
      <c r="A43" s="1"/>
      <c r="B43" s="22" t="s">
        <v>61</v>
      </c>
      <c r="C43" s="7"/>
      <c r="D43" s="22" t="s">
        <v>62</v>
      </c>
      <c r="E43" s="6"/>
      <c r="F43" s="6"/>
      <c r="G43" s="6"/>
      <c r="H43" s="6"/>
      <c r="I43" s="6"/>
      <c r="J43" s="6"/>
      <c r="K43" s="7"/>
      <c r="L43" s="55"/>
      <c r="M43" s="22" t="s">
        <v>63</v>
      </c>
      <c r="N43" s="6"/>
      <c r="O43" s="6"/>
      <c r="P43" s="6"/>
      <c r="Q43" s="6"/>
      <c r="R43" s="6"/>
      <c r="S43" s="6"/>
      <c r="T43" s="7"/>
      <c r="U43" s="55"/>
      <c r="V43" s="1"/>
      <c r="W43" s="1"/>
      <c r="X43" s="1"/>
      <c r="Y43" s="1"/>
      <c r="Z43" s="1"/>
      <c r="AA43" s="1"/>
      <c r="AB43" s="1"/>
    </row>
    <row r="44" hidden="1">
      <c r="A44" s="1"/>
      <c r="B44" s="25" t="s">
        <v>64</v>
      </c>
      <c r="D44" s="56" t="str">
        <f>IF(AND(L39="",L40="",L41="",L42="",L43="",U39="",U40="",U41="",U42="",U43=""),"Sin clasificar",IF(OR(L43="X",U43="X"),Listas!CP8,IF(OR(L42="X",U42="X"),Listas!CP7,IF(OR(L41="X",U41="X"),Listas!CP6,IF(OR(L40="X",U40="X"),Listas!CP5,IF(OR(L39="X",U39="X"),Listas!CP4,))))))</f>
        <v>Sin clasificar</v>
      </c>
      <c r="M44" s="25" t="s">
        <v>65</v>
      </c>
      <c r="O44" s="57" t="str">
        <f>IF(D44="Sin clasificar","",IF(D44=Listas!CP4,20%,IF(D44=Listas!CP5,40%,IF(D44=Listas!CP6,60%,IF(D44=Listas!CP7,80%,IF(D44=Listas!CP8,100%,))))))</f>
        <v/>
      </c>
      <c r="V44" s="1"/>
      <c r="W44" s="1"/>
      <c r="X44" s="1"/>
      <c r="Y44" s="1"/>
      <c r="Z44" s="1"/>
      <c r="AA44" s="1"/>
      <c r="AB44" s="1"/>
    </row>
    <row r="45" ht="3.75" customHeight="1">
      <c r="A45" s="1"/>
      <c r="B45" s="1"/>
      <c r="V45" s="1"/>
      <c r="W45" s="1"/>
      <c r="X45" s="1"/>
      <c r="Y45" s="1"/>
      <c r="Z45" s="1"/>
      <c r="AA45" s="1"/>
      <c r="AB45" s="1"/>
    </row>
    <row r="46">
      <c r="A46" s="1"/>
      <c r="B46" s="21" t="s">
        <v>66</v>
      </c>
      <c r="C46" s="6"/>
      <c r="D46" s="6"/>
      <c r="E46" s="6"/>
      <c r="F46" s="6"/>
      <c r="G46" s="6"/>
      <c r="H46" s="6"/>
      <c r="I46" s="6"/>
      <c r="J46" s="6"/>
      <c r="K46" s="6"/>
      <c r="L46" s="6"/>
      <c r="M46" s="6"/>
      <c r="N46" s="6"/>
      <c r="O46" s="6"/>
      <c r="P46" s="6"/>
      <c r="Q46" s="6"/>
      <c r="R46" s="6"/>
      <c r="S46" s="6"/>
      <c r="T46" s="6"/>
      <c r="U46" s="7"/>
      <c r="V46" s="1"/>
      <c r="W46" s="1"/>
      <c r="X46" s="1"/>
      <c r="Y46" s="1"/>
      <c r="Z46" s="1"/>
      <c r="AA46" s="1"/>
      <c r="AB46" s="1"/>
    </row>
    <row r="47">
      <c r="A47" s="1"/>
      <c r="B47" s="54" t="s">
        <v>67</v>
      </c>
      <c r="C47" s="6"/>
      <c r="D47" s="6"/>
      <c r="E47" s="6"/>
      <c r="F47" s="6"/>
      <c r="G47" s="6"/>
      <c r="H47" s="7"/>
      <c r="I47" s="54" t="s">
        <v>68</v>
      </c>
      <c r="J47" s="7"/>
      <c r="K47" s="54" t="s">
        <v>67</v>
      </c>
      <c r="L47" s="6"/>
      <c r="M47" s="6"/>
      <c r="N47" s="6"/>
      <c r="O47" s="6"/>
      <c r="P47" s="6"/>
      <c r="Q47" s="7"/>
      <c r="R47" s="54" t="s">
        <v>68</v>
      </c>
      <c r="S47" s="7"/>
      <c r="T47" s="58"/>
      <c r="U47" s="7"/>
      <c r="V47" s="1"/>
      <c r="W47" s="1"/>
      <c r="X47" s="1"/>
      <c r="Y47" s="1"/>
      <c r="Z47" s="1"/>
      <c r="AA47" s="1"/>
      <c r="AB47" s="1"/>
    </row>
    <row r="48">
      <c r="A48" s="1"/>
      <c r="B48" s="40">
        <v>1.0</v>
      </c>
      <c r="C48" s="59" t="s">
        <v>69</v>
      </c>
      <c r="D48" s="60"/>
      <c r="E48" s="60"/>
      <c r="F48" s="60"/>
      <c r="G48" s="60"/>
      <c r="H48" s="61"/>
      <c r="I48" s="62"/>
      <c r="J48" s="7"/>
      <c r="K48" s="40">
        <v>11.0</v>
      </c>
      <c r="L48" s="59" t="s">
        <v>70</v>
      </c>
      <c r="M48" s="60"/>
      <c r="N48" s="60"/>
      <c r="O48" s="60"/>
      <c r="P48" s="60"/>
      <c r="Q48" s="61"/>
      <c r="R48" s="62"/>
      <c r="S48" s="7"/>
      <c r="T48" s="2" t="str">
        <f>IF(R57=0,"Sin clasificar",IF(AND(R57&gt;=1,R57&lt;=5),Listas!CP6,IF(AND(R57&gt;=6,R57&lt;=12),Listas!CP7,IF(R57&gt;=12,Listas!CP8,""))))</f>
        <v>Sin clasificar</v>
      </c>
      <c r="U48" s="4"/>
      <c r="V48" s="1"/>
      <c r="W48" s="1"/>
      <c r="X48" s="1"/>
      <c r="Y48" s="1"/>
      <c r="Z48" s="1"/>
      <c r="AA48" s="1"/>
      <c r="AB48" s="1"/>
    </row>
    <row r="49">
      <c r="A49" s="1"/>
      <c r="B49" s="40">
        <v>2.0</v>
      </c>
      <c r="C49" s="59" t="s">
        <v>71</v>
      </c>
      <c r="D49" s="60"/>
      <c r="E49" s="60"/>
      <c r="F49" s="60"/>
      <c r="G49" s="60"/>
      <c r="H49" s="61"/>
      <c r="I49" s="62"/>
      <c r="J49" s="7"/>
      <c r="K49" s="40">
        <v>12.0</v>
      </c>
      <c r="L49" s="59" t="s">
        <v>72</v>
      </c>
      <c r="M49" s="60"/>
      <c r="N49" s="60"/>
      <c r="O49" s="60"/>
      <c r="P49" s="60"/>
      <c r="Q49" s="61"/>
      <c r="R49" s="62"/>
      <c r="S49" s="7"/>
      <c r="T49" s="8"/>
      <c r="U49" s="9"/>
      <c r="V49" s="1"/>
      <c r="W49" s="1"/>
      <c r="X49" s="1"/>
      <c r="Y49" s="1"/>
      <c r="Z49" s="1"/>
      <c r="AA49" s="1"/>
      <c r="AB49" s="1"/>
    </row>
    <row r="50">
      <c r="A50" s="1"/>
      <c r="B50" s="40">
        <v>3.0</v>
      </c>
      <c r="C50" s="59" t="s">
        <v>73</v>
      </c>
      <c r="D50" s="60"/>
      <c r="E50" s="60"/>
      <c r="F50" s="60"/>
      <c r="G50" s="60"/>
      <c r="H50" s="61"/>
      <c r="I50" s="62"/>
      <c r="J50" s="7"/>
      <c r="K50" s="40">
        <v>13.0</v>
      </c>
      <c r="L50" s="59" t="s">
        <v>74</v>
      </c>
      <c r="M50" s="60"/>
      <c r="N50" s="60"/>
      <c r="O50" s="60"/>
      <c r="P50" s="60"/>
      <c r="Q50" s="61"/>
      <c r="R50" s="62"/>
      <c r="S50" s="7"/>
      <c r="T50" s="8"/>
      <c r="U50" s="9"/>
      <c r="V50" s="1"/>
      <c r="W50" s="1"/>
      <c r="X50" s="1"/>
      <c r="Y50" s="1"/>
      <c r="Z50" s="1"/>
      <c r="AA50" s="1"/>
      <c r="AB50" s="1"/>
    </row>
    <row r="51">
      <c r="A51" s="1"/>
      <c r="B51" s="40">
        <v>4.0</v>
      </c>
      <c r="C51" s="59" t="s">
        <v>75</v>
      </c>
      <c r="D51" s="60"/>
      <c r="E51" s="60"/>
      <c r="F51" s="60"/>
      <c r="G51" s="60"/>
      <c r="H51" s="61"/>
      <c r="I51" s="62"/>
      <c r="J51" s="7"/>
      <c r="K51" s="40">
        <v>14.0</v>
      </c>
      <c r="L51" s="59" t="s">
        <v>76</v>
      </c>
      <c r="M51" s="60"/>
      <c r="N51" s="60"/>
      <c r="O51" s="60"/>
      <c r="P51" s="60"/>
      <c r="Q51" s="61"/>
      <c r="R51" s="62"/>
      <c r="S51" s="7"/>
      <c r="T51" s="8"/>
      <c r="U51" s="9"/>
      <c r="V51" s="1"/>
      <c r="W51" s="1"/>
      <c r="X51" s="1"/>
      <c r="Y51" s="1"/>
      <c r="Z51" s="1"/>
      <c r="AA51" s="1"/>
      <c r="AB51" s="1"/>
    </row>
    <row r="52">
      <c r="A52" s="1"/>
      <c r="B52" s="40">
        <v>5.0</v>
      </c>
      <c r="C52" s="59" t="s">
        <v>77</v>
      </c>
      <c r="D52" s="60"/>
      <c r="E52" s="60"/>
      <c r="F52" s="60"/>
      <c r="G52" s="60"/>
      <c r="H52" s="61"/>
      <c r="I52" s="62"/>
      <c r="J52" s="7"/>
      <c r="K52" s="40">
        <v>15.0</v>
      </c>
      <c r="L52" s="59" t="s">
        <v>78</v>
      </c>
      <c r="M52" s="60"/>
      <c r="N52" s="60"/>
      <c r="O52" s="60"/>
      <c r="P52" s="60"/>
      <c r="Q52" s="61"/>
      <c r="R52" s="62"/>
      <c r="S52" s="7"/>
      <c r="T52" s="8"/>
      <c r="U52" s="9"/>
      <c r="V52" s="1"/>
      <c r="W52" s="1"/>
      <c r="X52" s="1"/>
      <c r="Y52" s="1"/>
      <c r="Z52" s="1"/>
      <c r="AA52" s="1"/>
      <c r="AB52" s="1"/>
    </row>
    <row r="53">
      <c r="A53" s="1"/>
      <c r="B53" s="40">
        <v>6.0</v>
      </c>
      <c r="C53" s="59" t="s">
        <v>79</v>
      </c>
      <c r="D53" s="60"/>
      <c r="E53" s="60"/>
      <c r="F53" s="60"/>
      <c r="G53" s="60"/>
      <c r="H53" s="61"/>
      <c r="I53" s="62"/>
      <c r="J53" s="7"/>
      <c r="K53" s="63">
        <v>16.0</v>
      </c>
      <c r="L53" s="59" t="s">
        <v>80</v>
      </c>
      <c r="M53" s="60"/>
      <c r="N53" s="60"/>
      <c r="O53" s="60"/>
      <c r="P53" s="60"/>
      <c r="Q53" s="61"/>
      <c r="R53" s="62"/>
      <c r="S53" s="7"/>
      <c r="T53" s="8"/>
      <c r="U53" s="9"/>
      <c r="V53" s="1"/>
      <c r="W53" s="1"/>
      <c r="X53" s="1"/>
      <c r="Y53" s="1"/>
      <c r="Z53" s="1"/>
      <c r="AA53" s="1"/>
      <c r="AB53" s="1"/>
    </row>
    <row r="54">
      <c r="A54" s="1"/>
      <c r="B54" s="40">
        <v>7.0</v>
      </c>
      <c r="C54" s="59" t="s">
        <v>81</v>
      </c>
      <c r="D54" s="60"/>
      <c r="E54" s="60"/>
      <c r="F54" s="60"/>
      <c r="G54" s="60"/>
      <c r="H54" s="61"/>
      <c r="I54" s="62"/>
      <c r="J54" s="7"/>
      <c r="K54" s="40">
        <v>17.0</v>
      </c>
      <c r="L54" s="59" t="s">
        <v>82</v>
      </c>
      <c r="M54" s="60"/>
      <c r="N54" s="60"/>
      <c r="O54" s="60"/>
      <c r="P54" s="60"/>
      <c r="Q54" s="61"/>
      <c r="R54" s="62"/>
      <c r="S54" s="7"/>
      <c r="T54" s="8"/>
      <c r="U54" s="9"/>
      <c r="V54" s="1"/>
      <c r="W54" s="1"/>
      <c r="X54" s="1"/>
      <c r="Y54" s="1"/>
      <c r="Z54" s="1"/>
      <c r="AA54" s="1"/>
      <c r="AB54" s="1"/>
    </row>
    <row r="55">
      <c r="A55" s="1"/>
      <c r="B55" s="40">
        <v>8.0</v>
      </c>
      <c r="C55" s="59" t="s">
        <v>83</v>
      </c>
      <c r="D55" s="60"/>
      <c r="E55" s="60"/>
      <c r="F55" s="60"/>
      <c r="G55" s="60"/>
      <c r="H55" s="61"/>
      <c r="I55" s="62"/>
      <c r="J55" s="7"/>
      <c r="K55" s="40">
        <v>18.0</v>
      </c>
      <c r="L55" s="59" t="s">
        <v>84</v>
      </c>
      <c r="M55" s="60"/>
      <c r="N55" s="60"/>
      <c r="O55" s="60"/>
      <c r="P55" s="60"/>
      <c r="Q55" s="61"/>
      <c r="R55" s="62"/>
      <c r="S55" s="7"/>
      <c r="T55" s="8"/>
      <c r="U55" s="9"/>
      <c r="V55" s="1"/>
      <c r="W55" s="1"/>
      <c r="X55" s="1"/>
      <c r="Y55" s="1"/>
      <c r="Z55" s="1"/>
      <c r="AA55" s="1"/>
      <c r="AB55" s="1"/>
    </row>
    <row r="56">
      <c r="A56" s="1"/>
      <c r="B56" s="40">
        <v>9.0</v>
      </c>
      <c r="C56" s="59" t="s">
        <v>85</v>
      </c>
      <c r="D56" s="60"/>
      <c r="E56" s="60"/>
      <c r="F56" s="60"/>
      <c r="G56" s="60"/>
      <c r="H56" s="61"/>
      <c r="I56" s="62"/>
      <c r="J56" s="7"/>
      <c r="K56" s="40">
        <v>19.0</v>
      </c>
      <c r="L56" s="59" t="s">
        <v>86</v>
      </c>
      <c r="M56" s="60"/>
      <c r="N56" s="60"/>
      <c r="O56" s="60"/>
      <c r="P56" s="60"/>
      <c r="Q56" s="61"/>
      <c r="R56" s="62"/>
      <c r="S56" s="7"/>
      <c r="T56" s="8"/>
      <c r="U56" s="9"/>
      <c r="V56" s="1"/>
      <c r="W56" s="1"/>
      <c r="X56" s="1"/>
      <c r="Y56" s="1"/>
      <c r="Z56" s="1"/>
      <c r="AA56" s="1"/>
      <c r="AB56" s="1"/>
    </row>
    <row r="57">
      <c r="A57" s="1"/>
      <c r="B57" s="40">
        <v>10.0</v>
      </c>
      <c r="C57" s="59" t="s">
        <v>87</v>
      </c>
      <c r="D57" s="60"/>
      <c r="E57" s="60"/>
      <c r="F57" s="60"/>
      <c r="G57" s="60"/>
      <c r="H57" s="61"/>
      <c r="I57" s="62"/>
      <c r="J57" s="7"/>
      <c r="K57" s="64" t="str">
        <f>IF(T48=X67,"",IF(T48=Listas!CP6,60%,IF(T48=Listas!CP7,80%,IF(T48=Listas!CP6,100%,))))</f>
        <v/>
      </c>
      <c r="L57" s="6"/>
      <c r="M57" s="6"/>
      <c r="N57" s="6"/>
      <c r="O57" s="6"/>
      <c r="P57" s="6"/>
      <c r="Q57" s="6"/>
      <c r="R57" s="65">
        <f>IF(R53="Si",((COUNTIF(I48:J57,"Si")+COUNTIF(R48:S56,"Si"))+18),(COUNTIF(I48:J57,"Si")+COUNTIF(R48:S56,"Si")))</f>
        <v>0</v>
      </c>
      <c r="S57" s="7"/>
      <c r="T57" s="11"/>
      <c r="U57" s="13"/>
      <c r="V57" s="1"/>
      <c r="W57" s="1"/>
      <c r="X57" s="1"/>
      <c r="Y57" s="1"/>
      <c r="Z57" s="1"/>
      <c r="AA57" s="1"/>
      <c r="AB57" s="1"/>
    </row>
    <row r="58" ht="3.75" customHeight="1">
      <c r="A58" s="1"/>
      <c r="B58" s="1"/>
      <c r="V58" s="1"/>
      <c r="W58" s="1"/>
      <c r="X58" s="1"/>
      <c r="Y58" s="1"/>
      <c r="Z58" s="1"/>
      <c r="AA58" s="1"/>
      <c r="AB58" s="1"/>
    </row>
    <row r="59">
      <c r="A59" s="1"/>
      <c r="B59" s="66" t="s">
        <v>169</v>
      </c>
      <c r="C59" s="3"/>
      <c r="D59" s="3"/>
      <c r="E59" s="3"/>
      <c r="F59" s="3"/>
      <c r="G59" s="3"/>
      <c r="H59" s="3"/>
      <c r="I59" s="3"/>
      <c r="J59" s="3"/>
      <c r="K59" s="4"/>
      <c r="L59" s="67" t="s">
        <v>89</v>
      </c>
      <c r="M59" s="7"/>
      <c r="N59" s="68" t="s">
        <v>90</v>
      </c>
      <c r="O59" s="6"/>
      <c r="P59" s="6"/>
      <c r="Q59" s="6"/>
      <c r="R59" s="6"/>
      <c r="S59" s="6"/>
      <c r="T59" s="6"/>
      <c r="U59" s="7"/>
      <c r="V59" s="1"/>
      <c r="W59" s="1"/>
      <c r="X59" s="1"/>
      <c r="Y59" s="1"/>
      <c r="Z59" s="1"/>
      <c r="AA59" s="1"/>
      <c r="AB59" s="1"/>
    </row>
    <row r="60">
      <c r="A60" s="1"/>
      <c r="B60" s="8"/>
      <c r="K60" s="9"/>
      <c r="L60" s="69" t="s">
        <v>91</v>
      </c>
      <c r="M60" s="7"/>
      <c r="N60" s="68" t="s">
        <v>92</v>
      </c>
      <c r="O60" s="6"/>
      <c r="P60" s="6"/>
      <c r="Q60" s="6"/>
      <c r="R60" s="6"/>
      <c r="S60" s="6"/>
      <c r="T60" s="6"/>
      <c r="U60" s="7"/>
      <c r="V60" s="1"/>
      <c r="W60" s="1"/>
      <c r="X60" s="1"/>
      <c r="Y60" s="1"/>
      <c r="Z60" s="1"/>
      <c r="AA60" s="1"/>
      <c r="AB60" s="1"/>
    </row>
    <row r="61">
      <c r="A61" s="1"/>
      <c r="B61" s="11"/>
      <c r="C61" s="12"/>
      <c r="D61" s="12"/>
      <c r="E61" s="12"/>
      <c r="F61" s="12"/>
      <c r="G61" s="12"/>
      <c r="H61" s="12"/>
      <c r="I61" s="12"/>
      <c r="J61" s="12"/>
      <c r="K61" s="13"/>
      <c r="L61" s="70" t="s">
        <v>93</v>
      </c>
      <c r="M61" s="7"/>
      <c r="N61" s="68" t="s">
        <v>94</v>
      </c>
      <c r="O61" s="6"/>
      <c r="P61" s="6"/>
      <c r="Q61" s="6"/>
      <c r="R61" s="6"/>
      <c r="S61" s="6"/>
      <c r="T61" s="6"/>
      <c r="U61" s="7"/>
      <c r="V61" s="1"/>
      <c r="W61" s="1"/>
      <c r="X61" s="1"/>
      <c r="Y61" s="1"/>
      <c r="Z61" s="1"/>
      <c r="AA61" s="1"/>
      <c r="AB61" s="1"/>
    </row>
    <row r="62" ht="3.75" customHeight="1">
      <c r="A62" s="1"/>
      <c r="B62" s="1"/>
      <c r="V62" s="1"/>
      <c r="W62" s="1"/>
      <c r="X62" s="1"/>
      <c r="Y62" s="1"/>
      <c r="Z62" s="1"/>
      <c r="AA62" s="1"/>
      <c r="AB62" s="1"/>
    </row>
    <row r="63" ht="17.25" customHeight="1">
      <c r="A63" s="1"/>
      <c r="B63" s="21" t="s">
        <v>95</v>
      </c>
      <c r="C63" s="6"/>
      <c r="D63" s="6"/>
      <c r="E63" s="6"/>
      <c r="F63" s="6"/>
      <c r="G63" s="6"/>
      <c r="H63" s="6"/>
      <c r="I63" s="6"/>
      <c r="J63" s="6"/>
      <c r="K63" s="6"/>
      <c r="L63" s="6"/>
      <c r="M63" s="6"/>
      <c r="N63" s="6"/>
      <c r="O63" s="6"/>
      <c r="P63" s="6"/>
      <c r="Q63" s="6"/>
      <c r="R63" s="6"/>
      <c r="S63" s="6"/>
      <c r="T63" s="6"/>
      <c r="U63" s="7"/>
      <c r="V63" s="1"/>
      <c r="W63" s="1"/>
      <c r="X63" s="1"/>
      <c r="Y63" s="1"/>
      <c r="Z63" s="1"/>
      <c r="AA63" s="1"/>
      <c r="AB63" s="1"/>
    </row>
    <row r="64" ht="3.75" customHeight="1">
      <c r="A64" s="1"/>
      <c r="B64" s="1"/>
      <c r="V64" s="1"/>
      <c r="W64" s="1"/>
      <c r="X64" s="1"/>
      <c r="Y64" s="1"/>
      <c r="Z64" s="1"/>
      <c r="AA64" s="1"/>
      <c r="AB64" s="1"/>
    </row>
    <row r="65">
      <c r="A65" s="1"/>
      <c r="B65" s="21" t="s">
        <v>96</v>
      </c>
      <c r="C65" s="6"/>
      <c r="D65" s="6"/>
      <c r="E65" s="6"/>
      <c r="F65" s="6"/>
      <c r="G65" s="6"/>
      <c r="H65" s="6"/>
      <c r="I65" s="6"/>
      <c r="J65" s="6"/>
      <c r="K65" s="6"/>
      <c r="L65" s="6"/>
      <c r="M65" s="6"/>
      <c r="N65" s="6"/>
      <c r="O65" s="6"/>
      <c r="P65" s="6"/>
      <c r="Q65" s="6"/>
      <c r="R65" s="6"/>
      <c r="S65" s="6"/>
      <c r="T65" s="6"/>
      <c r="U65" s="7"/>
      <c r="V65" s="1"/>
      <c r="W65" s="1"/>
      <c r="X65" s="1"/>
      <c r="Y65" s="1"/>
      <c r="Z65" s="1"/>
      <c r="AA65" s="1"/>
      <c r="AB65" s="1"/>
    </row>
    <row r="66">
      <c r="A66" s="1"/>
      <c r="B66" s="71" t="s">
        <v>35</v>
      </c>
      <c r="C66" s="72" t="s">
        <v>44</v>
      </c>
      <c r="D66" s="54" t="s">
        <v>42</v>
      </c>
      <c r="E66" s="7"/>
      <c r="F66" s="54" t="s">
        <v>42</v>
      </c>
      <c r="G66" s="7"/>
      <c r="H66" s="54" t="s">
        <v>97</v>
      </c>
      <c r="I66" s="7"/>
      <c r="J66" s="54" t="s">
        <v>97</v>
      </c>
      <c r="K66" s="7"/>
      <c r="L66" s="54" t="s">
        <v>97</v>
      </c>
      <c r="M66" s="7"/>
      <c r="N66" s="1"/>
      <c r="O66" s="47" t="s">
        <v>35</v>
      </c>
      <c r="P66" s="7"/>
      <c r="Q66" s="47" t="s">
        <v>98</v>
      </c>
      <c r="R66" s="7"/>
      <c r="S66" s="47" t="s">
        <v>99</v>
      </c>
      <c r="T66" s="6"/>
      <c r="U66" s="7"/>
      <c r="V66" s="1"/>
      <c r="W66" s="1"/>
      <c r="X66" s="1"/>
      <c r="Y66" s="1"/>
      <c r="Z66" s="1"/>
      <c r="AA66" s="1"/>
      <c r="AB66" s="1"/>
    </row>
    <row r="67">
      <c r="A67" s="1"/>
      <c r="B67" s="73"/>
      <c r="C67" s="72" t="s">
        <v>42</v>
      </c>
      <c r="D67" s="54" t="s">
        <v>40</v>
      </c>
      <c r="E67" s="7"/>
      <c r="F67" s="54" t="s">
        <v>42</v>
      </c>
      <c r="G67" s="7"/>
      <c r="H67" s="54" t="s">
        <v>42</v>
      </c>
      <c r="I67" s="7"/>
      <c r="J67" s="54" t="s">
        <v>97</v>
      </c>
      <c r="K67" s="7"/>
      <c r="L67" s="54" t="s">
        <v>97</v>
      </c>
      <c r="M67" s="7"/>
      <c r="O67" s="2" t="str">
        <f>IF(T31="",X67,R31)</f>
        <v>Sin clasificar</v>
      </c>
      <c r="P67" s="4"/>
      <c r="Q67" s="2" t="str">
        <f>IF(O15=Listas!CM5,T48,D44)</f>
        <v>Sin clasificar</v>
      </c>
      <c r="R67" s="4"/>
      <c r="S67" s="2" t="str">
        <f>IF(O67="Sin clasificar","",VLOOKUP(CONCATENATE(O67,Q67),Listas!$CQ$4:$CR$29,2,FALSE))</f>
        <v/>
      </c>
      <c r="T67" s="3"/>
      <c r="U67" s="4"/>
      <c r="V67" s="1"/>
      <c r="W67" s="1"/>
      <c r="X67" s="74" t="s">
        <v>100</v>
      </c>
      <c r="Y67" s="74" t="s">
        <v>101</v>
      </c>
      <c r="Z67" s="74" t="s">
        <v>102</v>
      </c>
      <c r="AA67" s="1"/>
      <c r="AB67" s="1"/>
    </row>
    <row r="68">
      <c r="A68" s="1"/>
      <c r="B68" s="73"/>
      <c r="C68" s="72" t="s">
        <v>40</v>
      </c>
      <c r="D68" s="54" t="s">
        <v>38</v>
      </c>
      <c r="E68" s="7"/>
      <c r="F68" s="54" t="s">
        <v>40</v>
      </c>
      <c r="G68" s="7"/>
      <c r="H68" s="54" t="s">
        <v>42</v>
      </c>
      <c r="I68" s="7"/>
      <c r="J68" s="54" t="s">
        <v>97</v>
      </c>
      <c r="K68" s="7"/>
      <c r="L68" s="54" t="s">
        <v>97</v>
      </c>
      <c r="M68" s="7"/>
      <c r="O68" s="8"/>
      <c r="P68" s="9"/>
      <c r="Q68" s="8"/>
      <c r="R68" s="9"/>
      <c r="S68" s="8"/>
      <c r="U68" s="9"/>
      <c r="V68" s="1"/>
      <c r="W68" s="1"/>
      <c r="X68" s="75"/>
      <c r="Y68" s="76" t="str">
        <f>T31</f>
        <v/>
      </c>
      <c r="Z68" s="76" t="str">
        <f>IF(O15=Listas!CM4,K57,O44)</f>
        <v/>
      </c>
      <c r="AA68" s="1"/>
      <c r="AB68" s="1"/>
    </row>
    <row r="69">
      <c r="A69" s="1"/>
      <c r="B69" s="73"/>
      <c r="C69" s="72" t="s">
        <v>38</v>
      </c>
      <c r="D69" s="54" t="s">
        <v>38</v>
      </c>
      <c r="E69" s="7"/>
      <c r="F69" s="54" t="s">
        <v>38</v>
      </c>
      <c r="G69" s="7"/>
      <c r="H69" s="54" t="s">
        <v>40</v>
      </c>
      <c r="I69" s="7"/>
      <c r="J69" s="54" t="s">
        <v>42</v>
      </c>
      <c r="K69" s="7"/>
      <c r="L69" s="54" t="s">
        <v>97</v>
      </c>
      <c r="M69" s="7"/>
      <c r="O69" s="8"/>
      <c r="P69" s="9"/>
      <c r="Q69" s="8"/>
      <c r="R69" s="9"/>
      <c r="S69" s="8"/>
      <c r="U69" s="9"/>
      <c r="V69" s="1"/>
      <c r="W69" s="1"/>
      <c r="X69" s="1"/>
      <c r="Y69" s="1"/>
      <c r="Z69" s="1"/>
      <c r="AA69" s="1"/>
      <c r="AB69" s="1"/>
    </row>
    <row r="70">
      <c r="A70" s="1"/>
      <c r="B70" s="38"/>
      <c r="C70" s="72" t="s">
        <v>36</v>
      </c>
      <c r="D70" s="54" t="s">
        <v>38</v>
      </c>
      <c r="E70" s="7"/>
      <c r="F70" s="54" t="s">
        <v>38</v>
      </c>
      <c r="G70" s="7"/>
      <c r="H70" s="54" t="s">
        <v>40</v>
      </c>
      <c r="I70" s="7"/>
      <c r="J70" s="54" t="s">
        <v>42</v>
      </c>
      <c r="K70" s="7"/>
      <c r="L70" s="54" t="s">
        <v>97</v>
      </c>
      <c r="M70" s="7"/>
      <c r="O70" s="8"/>
      <c r="P70" s="9"/>
      <c r="Q70" s="8"/>
      <c r="R70" s="9"/>
      <c r="S70" s="8"/>
      <c r="U70" s="9"/>
      <c r="V70" s="1"/>
      <c r="W70" s="1"/>
      <c r="X70" s="1"/>
      <c r="Y70" s="1"/>
      <c r="Z70" s="1"/>
      <c r="AA70" s="1"/>
      <c r="AB70" s="1"/>
    </row>
    <row r="71">
      <c r="A71" s="1"/>
      <c r="B71" s="77" t="s">
        <v>98</v>
      </c>
      <c r="C71" s="7"/>
      <c r="D71" s="54" t="s">
        <v>103</v>
      </c>
      <c r="E71" s="7"/>
      <c r="F71" s="54" t="s">
        <v>104</v>
      </c>
      <c r="G71" s="7"/>
      <c r="H71" s="54" t="s">
        <v>89</v>
      </c>
      <c r="I71" s="7"/>
      <c r="J71" s="54" t="s">
        <v>91</v>
      </c>
      <c r="K71" s="7"/>
      <c r="L71" s="54" t="s">
        <v>93</v>
      </c>
      <c r="M71" s="7"/>
      <c r="O71" s="11"/>
      <c r="P71" s="13"/>
      <c r="Q71" s="11"/>
      <c r="R71" s="13"/>
      <c r="S71" s="11"/>
      <c r="T71" s="12"/>
      <c r="U71" s="13"/>
      <c r="V71" s="1"/>
      <c r="W71" s="1"/>
      <c r="X71" s="1"/>
      <c r="Y71" s="1"/>
      <c r="Z71" s="1"/>
      <c r="AA71" s="1"/>
      <c r="AB71" s="1"/>
    </row>
    <row r="72" ht="3.75" customHeight="1">
      <c r="A72" s="1"/>
      <c r="B72" s="1"/>
      <c r="V72" s="1"/>
      <c r="W72" s="1"/>
      <c r="X72" s="1"/>
      <c r="Y72" s="1"/>
      <c r="Z72" s="1"/>
      <c r="AA72" s="1"/>
      <c r="AB72" s="1"/>
    </row>
    <row r="73">
      <c r="A73" s="1"/>
      <c r="B73" s="21" t="s">
        <v>105</v>
      </c>
      <c r="C73" s="6"/>
      <c r="D73" s="6"/>
      <c r="E73" s="6"/>
      <c r="F73" s="6"/>
      <c r="G73" s="6"/>
      <c r="H73" s="6"/>
      <c r="I73" s="6"/>
      <c r="J73" s="6"/>
      <c r="K73" s="6"/>
      <c r="L73" s="6"/>
      <c r="M73" s="6"/>
      <c r="N73" s="6"/>
      <c r="O73" s="6"/>
      <c r="P73" s="6"/>
      <c r="Q73" s="6"/>
      <c r="R73" s="6"/>
      <c r="S73" s="6"/>
      <c r="T73" s="6"/>
      <c r="U73" s="7"/>
      <c r="V73" s="1"/>
      <c r="W73" s="1"/>
      <c r="X73" s="1"/>
      <c r="Y73" s="1"/>
      <c r="Z73" s="1"/>
      <c r="AA73" s="1"/>
      <c r="AB73" s="1"/>
    </row>
    <row r="74">
      <c r="A74" s="1"/>
      <c r="B74" s="48" t="s">
        <v>106</v>
      </c>
      <c r="C74" s="6"/>
      <c r="D74" s="6"/>
      <c r="E74" s="6"/>
      <c r="F74" s="7"/>
      <c r="G74" s="48" t="s">
        <v>107</v>
      </c>
      <c r="H74" s="6"/>
      <c r="I74" s="6"/>
      <c r="J74" s="6"/>
      <c r="K74" s="7"/>
      <c r="L74" s="48" t="s">
        <v>108</v>
      </c>
      <c r="M74" s="7"/>
      <c r="N74" s="48" t="s">
        <v>109</v>
      </c>
      <c r="O74" s="7"/>
      <c r="P74" s="48" t="s">
        <v>110</v>
      </c>
      <c r="Q74" s="7"/>
      <c r="R74" s="48" t="s">
        <v>111</v>
      </c>
      <c r="S74" s="7"/>
      <c r="T74" s="48" t="s">
        <v>112</v>
      </c>
      <c r="U74" s="7"/>
      <c r="V74" s="1"/>
      <c r="W74" s="1"/>
      <c r="X74" s="74" t="s">
        <v>113</v>
      </c>
      <c r="Y74" s="74" t="s">
        <v>114</v>
      </c>
      <c r="Z74" s="74" t="s">
        <v>115</v>
      </c>
      <c r="AA74" s="74" t="s">
        <v>116</v>
      </c>
      <c r="AB74" s="74" t="s">
        <v>117</v>
      </c>
    </row>
    <row r="75">
      <c r="A75" s="1"/>
      <c r="B75" s="78" t="str">
        <f>IF(P21="","",P21)</f>
        <v/>
      </c>
      <c r="C75" s="3"/>
      <c r="D75" s="3"/>
      <c r="E75" s="3"/>
      <c r="F75" s="4"/>
      <c r="G75" s="50"/>
      <c r="H75" s="6"/>
      <c r="I75" s="6"/>
      <c r="J75" s="6"/>
      <c r="K75" s="7"/>
      <c r="L75" s="22"/>
      <c r="M75" s="7"/>
      <c r="N75" s="22"/>
      <c r="O75" s="7"/>
      <c r="P75" s="22"/>
      <c r="Q75" s="7"/>
      <c r="R75" s="22"/>
      <c r="S75" s="7"/>
      <c r="T75" s="22"/>
      <c r="U75" s="7"/>
      <c r="V75" s="1"/>
      <c r="W75" s="1"/>
      <c r="X75" s="76" t="str">
        <f>IF(L75=Listas!$CS$4,25%,IF(L75=Listas!$CS$5,15%,IF(L75=Listas!$CS$6,10%,"")))</f>
        <v/>
      </c>
      <c r="Y75" s="76" t="str">
        <f>IF(N75=Listas!$CT$4,25%,IF(N75=Listas!$CT$5,15%,""))</f>
        <v/>
      </c>
      <c r="Z75" s="76" t="str">
        <f t="shared" ref="Z75:Z79" si="3">IF(SUM(X75:Y75)=0,"",SUM(X75:Y75))</f>
        <v/>
      </c>
      <c r="AA75" s="76" t="str">
        <f>IF(OR(L75=Listas!$CS$4,L75=Listas!$CS$5),(Y68-(Y68*Z75)),Y68)</f>
        <v/>
      </c>
      <c r="AB75" s="76" t="str">
        <f>IF(L75=Listas!$CS$6,(Z68-(Z68*Z75)),Z68)</f>
        <v/>
      </c>
    </row>
    <row r="76">
      <c r="A76" s="1"/>
      <c r="B76" s="8"/>
      <c r="F76" s="9"/>
      <c r="G76" s="50"/>
      <c r="H76" s="6"/>
      <c r="I76" s="6"/>
      <c r="J76" s="6"/>
      <c r="K76" s="7"/>
      <c r="L76" s="22"/>
      <c r="M76" s="7"/>
      <c r="N76" s="22"/>
      <c r="O76" s="7"/>
      <c r="P76" s="22"/>
      <c r="Q76" s="7"/>
      <c r="R76" s="22"/>
      <c r="S76" s="7"/>
      <c r="T76" s="22"/>
      <c r="U76" s="7"/>
      <c r="V76" s="1"/>
      <c r="W76" s="1"/>
      <c r="X76" s="76" t="str">
        <f>IF(L76=Listas!$CS$4,25%,IF(L76=Listas!$CS$5,15%,IF(L76=Listas!$CS$6,10%,"")))</f>
        <v/>
      </c>
      <c r="Y76" s="76" t="str">
        <f>IF(N76=Listas!$CT$4,25%,IF(N76=Listas!$CT$5,15%,""))</f>
        <v/>
      </c>
      <c r="Z76" s="76" t="str">
        <f t="shared" si="3"/>
        <v/>
      </c>
      <c r="AA76" s="76" t="str">
        <f>IF(OR(L76=Listas!$CS$4,L76=Listas!$CS$5),(AA75-(AA75*Z76)),AA75)</f>
        <v/>
      </c>
      <c r="AB76" s="76" t="str">
        <f>IF(L76=Listas!$CS$6,(AB75-(AB75*Z76)),AB75)</f>
        <v/>
      </c>
    </row>
    <row r="77">
      <c r="A77" s="1"/>
      <c r="B77" s="8"/>
      <c r="F77" s="9"/>
      <c r="G77" s="50"/>
      <c r="H77" s="6"/>
      <c r="I77" s="6"/>
      <c r="J77" s="6"/>
      <c r="K77" s="7"/>
      <c r="L77" s="22"/>
      <c r="M77" s="7"/>
      <c r="N77" s="22"/>
      <c r="O77" s="7"/>
      <c r="P77" s="22"/>
      <c r="Q77" s="7"/>
      <c r="R77" s="22"/>
      <c r="S77" s="7"/>
      <c r="T77" s="22"/>
      <c r="U77" s="7"/>
      <c r="V77" s="1"/>
      <c r="W77" s="1"/>
      <c r="X77" s="76" t="str">
        <f>IF(L77=Listas!$CS$4,25%,IF(L77=Listas!$CS$5,15%,IF(L77=Listas!$CS$6,10%,"")))</f>
        <v/>
      </c>
      <c r="Y77" s="76" t="str">
        <f>IF(N77=Listas!$CT$4,25%,IF(N77=Listas!$CT$5,15%,""))</f>
        <v/>
      </c>
      <c r="Z77" s="76" t="str">
        <f t="shared" si="3"/>
        <v/>
      </c>
      <c r="AA77" s="76" t="str">
        <f>IF(OR(L77=Listas!$CS$4,L77=Listas!$CS$5),(AA76-(AA76*Z77)),AA76)</f>
        <v/>
      </c>
      <c r="AB77" s="76" t="str">
        <f>IF(L77=Listas!$CS$6,(AB76-(AB76*Z77)),AB76)</f>
        <v/>
      </c>
    </row>
    <row r="78">
      <c r="A78" s="1"/>
      <c r="B78" s="8"/>
      <c r="F78" s="9"/>
      <c r="G78" s="79"/>
      <c r="H78" s="6"/>
      <c r="I78" s="6"/>
      <c r="J78" s="6"/>
      <c r="K78" s="7"/>
      <c r="L78" s="22"/>
      <c r="M78" s="7"/>
      <c r="N78" s="22"/>
      <c r="O78" s="7"/>
      <c r="P78" s="22"/>
      <c r="Q78" s="7"/>
      <c r="R78" s="22"/>
      <c r="S78" s="7"/>
      <c r="T78" s="22"/>
      <c r="U78" s="7"/>
      <c r="V78" s="1"/>
      <c r="W78" s="1"/>
      <c r="X78" s="76" t="str">
        <f>IF(L78=Listas!$CS$4,25%,IF(L78=Listas!$CS$5,15%,IF(L78=Listas!$CS$6,10%,"")))</f>
        <v/>
      </c>
      <c r="Y78" s="76" t="str">
        <f>IF(N78=Listas!$CT$4,25%,IF(N78=Listas!$CT$5,15%,""))</f>
        <v/>
      </c>
      <c r="Z78" s="76" t="str">
        <f t="shared" si="3"/>
        <v/>
      </c>
      <c r="AA78" s="76" t="str">
        <f>IF(OR(L78=Listas!$CS$4,L78=Listas!$CS$5),(AA77-(AA77*Z78)),AA77)</f>
        <v/>
      </c>
      <c r="AB78" s="76" t="str">
        <f>IF(L78=Listas!$CS$6,(AB77-(AB77*Z78)),AB77)</f>
        <v/>
      </c>
    </row>
    <row r="79">
      <c r="A79" s="1"/>
      <c r="B79" s="11"/>
      <c r="C79" s="12"/>
      <c r="D79" s="12"/>
      <c r="E79" s="12"/>
      <c r="F79" s="13"/>
      <c r="G79" s="79"/>
      <c r="H79" s="6"/>
      <c r="I79" s="6"/>
      <c r="J79" s="6"/>
      <c r="K79" s="7"/>
      <c r="L79" s="22"/>
      <c r="M79" s="7"/>
      <c r="N79" s="22"/>
      <c r="O79" s="7"/>
      <c r="P79" s="22"/>
      <c r="Q79" s="7"/>
      <c r="R79" s="22"/>
      <c r="S79" s="7"/>
      <c r="T79" s="22"/>
      <c r="U79" s="7"/>
      <c r="V79" s="1"/>
      <c r="W79" s="1"/>
      <c r="X79" s="76" t="str">
        <f>IF(L79=Listas!$CS$4,25%,IF(L79=Listas!$CS$5,15%,IF(L79=Listas!$CS$6,10%,"")))</f>
        <v/>
      </c>
      <c r="Y79" s="76" t="str">
        <f>IF(N79=Listas!$CT$4,25%,IF(N79=Listas!$CT$5,15%,""))</f>
        <v/>
      </c>
      <c r="Z79" s="76" t="str">
        <f t="shared" si="3"/>
        <v/>
      </c>
      <c r="AA79" s="76" t="str">
        <f>IF(OR(L79=Listas!$CS$4,L79=Listas!$CS$5),(AA78-(AA78*Z79)),AA78)</f>
        <v/>
      </c>
      <c r="AB79" s="76" t="str">
        <f>IF(L79=Listas!$CS$6,(AB78-(AB78*Z79)),AB78)</f>
        <v/>
      </c>
    </row>
    <row r="80" ht="3.75" customHeight="1">
      <c r="A80" s="1"/>
      <c r="B80" s="1"/>
      <c r="V80" s="1"/>
      <c r="W80" s="1"/>
      <c r="X80" s="1"/>
      <c r="Y80" s="1"/>
      <c r="Z80" s="1"/>
      <c r="AA80" s="1"/>
      <c r="AB80" s="1"/>
    </row>
    <row r="81">
      <c r="A81" s="1"/>
      <c r="B81" s="21" t="s">
        <v>118</v>
      </c>
      <c r="C81" s="6"/>
      <c r="D81" s="6"/>
      <c r="E81" s="6"/>
      <c r="F81" s="6"/>
      <c r="G81" s="6"/>
      <c r="H81" s="6"/>
      <c r="I81" s="6"/>
      <c r="J81" s="6"/>
      <c r="K81" s="6"/>
      <c r="L81" s="6"/>
      <c r="M81" s="6"/>
      <c r="N81" s="6"/>
      <c r="O81" s="6"/>
      <c r="P81" s="6"/>
      <c r="Q81" s="6"/>
      <c r="R81" s="6"/>
      <c r="S81" s="6"/>
      <c r="T81" s="6"/>
      <c r="U81" s="7"/>
      <c r="V81" s="1"/>
      <c r="W81" s="1"/>
      <c r="X81" s="74" t="s">
        <v>119</v>
      </c>
      <c r="Y81" s="1"/>
      <c r="Z81" s="1"/>
      <c r="AA81" s="1"/>
      <c r="AB81" s="1"/>
    </row>
    <row r="82">
      <c r="A82" s="1"/>
      <c r="B82" s="80" t="s">
        <v>35</v>
      </c>
      <c r="C82" s="72" t="s">
        <v>44</v>
      </c>
      <c r="D82" s="54" t="s">
        <v>42</v>
      </c>
      <c r="E82" s="7"/>
      <c r="F82" s="54" t="s">
        <v>42</v>
      </c>
      <c r="G82" s="7"/>
      <c r="H82" s="54" t="s">
        <v>97</v>
      </c>
      <c r="I82" s="7"/>
      <c r="J82" s="54" t="s">
        <v>97</v>
      </c>
      <c r="K82" s="7"/>
      <c r="L82" s="54" t="s">
        <v>97</v>
      </c>
      <c r="M82" s="7"/>
      <c r="N82" s="1"/>
      <c r="O82" s="47" t="s">
        <v>35</v>
      </c>
      <c r="P82" s="7"/>
      <c r="Q82" s="47" t="s">
        <v>98</v>
      </c>
      <c r="R82" s="7"/>
      <c r="S82" s="47" t="s">
        <v>99</v>
      </c>
      <c r="T82" s="6"/>
      <c r="U82" s="7"/>
      <c r="V82" s="1"/>
      <c r="W82" s="1"/>
      <c r="Y82" s="1"/>
      <c r="Z82" s="1"/>
      <c r="AA82" s="1"/>
      <c r="AB82" s="1"/>
    </row>
    <row r="83">
      <c r="A83" s="1"/>
      <c r="B83" s="73"/>
      <c r="C83" s="72" t="s">
        <v>42</v>
      </c>
      <c r="D83" s="54" t="s">
        <v>40</v>
      </c>
      <c r="E83" s="7"/>
      <c r="F83" s="54" t="s">
        <v>42</v>
      </c>
      <c r="G83" s="7"/>
      <c r="H83" s="54" t="s">
        <v>42</v>
      </c>
      <c r="I83" s="7"/>
      <c r="J83" s="54" t="s">
        <v>97</v>
      </c>
      <c r="K83" s="7"/>
      <c r="L83" s="54" t="s">
        <v>97</v>
      </c>
      <c r="M83" s="7"/>
      <c r="O83" s="2" t="str">
        <f>IF(L75="",X81,IF(AND(AA79&gt;0,AA79&lt;=20%),Listas!CO4,IF(AND(AA79&gt;20%,AA79&lt;=40%),Listas!CO5,IF(AND(AA79&gt;40%,AA79&lt;=60%),Listas!CO6,IF(AND(AA79&gt;60%,AA79&lt;=80%),Listas!CO7,IF(AND(AA79&gt;80%,AA79&lt;=100%),Listas!CO8,""))))))</f>
        <v>Califique los controles</v>
      </c>
      <c r="P83" s="4"/>
      <c r="Q83" s="81" t="str">
        <f>IF(L75="",X81,IF(O15="Corrupción",Q67,IF(AND(AB79&gt;0,AB79&lt;=20%),Listas!CP4,IF(AND(AB79&gt;20%,AB79&lt;=40%),Listas!CP5,IF(AND(AB79&gt;40%,AB79&lt;=60%),Listas!CP6,IF(AND(AB79&gt;60%,AB79&lt;=80%),Listas!CP7,IF(AND(AB79&gt;80%,AB79&lt;=100%),Listas!CP8,"")))))))</f>
        <v>Califique los controles</v>
      </c>
      <c r="R83" s="4"/>
      <c r="S83" s="2" t="str">
        <f>IF(O83="Califique los controles","",VLOOKUP(CONCATENATE(O83,Q83),Listas!$CQ$4:$CR$29,2,FALSE))</f>
        <v/>
      </c>
      <c r="T83" s="3"/>
      <c r="U83" s="4"/>
      <c r="V83" s="1"/>
      <c r="W83" s="1"/>
      <c r="X83" s="1"/>
      <c r="Y83" s="1"/>
      <c r="Z83" s="1"/>
      <c r="AA83" s="1"/>
      <c r="AB83" s="1"/>
    </row>
    <row r="84">
      <c r="A84" s="1"/>
      <c r="B84" s="73"/>
      <c r="C84" s="72" t="s">
        <v>40</v>
      </c>
      <c r="D84" s="54" t="s">
        <v>38</v>
      </c>
      <c r="E84" s="7"/>
      <c r="F84" s="54" t="s">
        <v>40</v>
      </c>
      <c r="G84" s="7"/>
      <c r="H84" s="54" t="s">
        <v>42</v>
      </c>
      <c r="I84" s="7"/>
      <c r="J84" s="54" t="s">
        <v>97</v>
      </c>
      <c r="K84" s="7"/>
      <c r="L84" s="54" t="s">
        <v>97</v>
      </c>
      <c r="M84" s="7"/>
      <c r="O84" s="8"/>
      <c r="P84" s="9"/>
      <c r="Q84" s="8"/>
      <c r="R84" s="9"/>
      <c r="S84" s="8"/>
      <c r="U84" s="9"/>
      <c r="V84" s="1"/>
      <c r="W84" s="1"/>
      <c r="X84" s="1"/>
      <c r="Y84" s="1"/>
      <c r="Z84" s="1"/>
      <c r="AA84" s="1"/>
      <c r="AB84" s="1"/>
    </row>
    <row r="85">
      <c r="A85" s="1"/>
      <c r="B85" s="73"/>
      <c r="C85" s="72" t="s">
        <v>38</v>
      </c>
      <c r="D85" s="54" t="s">
        <v>38</v>
      </c>
      <c r="E85" s="7"/>
      <c r="F85" s="54" t="s">
        <v>38</v>
      </c>
      <c r="G85" s="7"/>
      <c r="H85" s="54" t="s">
        <v>40</v>
      </c>
      <c r="I85" s="7"/>
      <c r="J85" s="54" t="s">
        <v>42</v>
      </c>
      <c r="K85" s="7"/>
      <c r="L85" s="54" t="s">
        <v>97</v>
      </c>
      <c r="M85" s="7"/>
      <c r="O85" s="8"/>
      <c r="P85" s="9"/>
      <c r="Q85" s="8"/>
      <c r="R85" s="9"/>
      <c r="S85" s="8"/>
      <c r="U85" s="9"/>
      <c r="V85" s="1"/>
      <c r="W85" s="1"/>
      <c r="X85" s="1"/>
      <c r="Y85" s="1"/>
      <c r="Z85" s="1"/>
      <c r="AA85" s="1"/>
      <c r="AB85" s="1"/>
    </row>
    <row r="86">
      <c r="A86" s="1"/>
      <c r="B86" s="38"/>
      <c r="C86" s="72" t="s">
        <v>36</v>
      </c>
      <c r="D86" s="54" t="s">
        <v>38</v>
      </c>
      <c r="E86" s="7"/>
      <c r="F86" s="54" t="s">
        <v>38</v>
      </c>
      <c r="G86" s="7"/>
      <c r="H86" s="54" t="s">
        <v>40</v>
      </c>
      <c r="I86" s="7"/>
      <c r="J86" s="54" t="s">
        <v>42</v>
      </c>
      <c r="K86" s="7"/>
      <c r="L86" s="54" t="s">
        <v>97</v>
      </c>
      <c r="M86" s="7"/>
      <c r="O86" s="8"/>
      <c r="P86" s="9"/>
      <c r="Q86" s="8"/>
      <c r="R86" s="9"/>
      <c r="S86" s="8"/>
      <c r="U86" s="9"/>
      <c r="V86" s="1"/>
      <c r="W86" s="1"/>
      <c r="X86" s="1"/>
      <c r="Y86" s="1"/>
      <c r="Z86" s="1"/>
      <c r="AA86" s="1"/>
      <c r="AB86" s="1"/>
    </row>
    <row r="87">
      <c r="A87" s="1"/>
      <c r="B87" s="82" t="s">
        <v>98</v>
      </c>
      <c r="C87" s="7"/>
      <c r="D87" s="54" t="s">
        <v>120</v>
      </c>
      <c r="E87" s="7"/>
      <c r="F87" s="54" t="s">
        <v>104</v>
      </c>
      <c r="G87" s="7"/>
      <c r="H87" s="54" t="s">
        <v>89</v>
      </c>
      <c r="I87" s="7"/>
      <c r="J87" s="54" t="s">
        <v>91</v>
      </c>
      <c r="K87" s="7"/>
      <c r="L87" s="54" t="s">
        <v>93</v>
      </c>
      <c r="M87" s="7"/>
      <c r="O87" s="11"/>
      <c r="P87" s="13"/>
      <c r="Q87" s="11"/>
      <c r="R87" s="13"/>
      <c r="S87" s="11"/>
      <c r="T87" s="12"/>
      <c r="U87" s="13"/>
      <c r="V87" s="1"/>
      <c r="W87" s="1"/>
      <c r="X87" s="1"/>
      <c r="Y87" s="1"/>
      <c r="Z87" s="1"/>
      <c r="AA87" s="1"/>
      <c r="AB87" s="1"/>
    </row>
    <row r="88" ht="3.75" customHeight="1">
      <c r="A88" s="1"/>
      <c r="B88" s="1"/>
      <c r="V88" s="1"/>
      <c r="W88" s="1"/>
      <c r="X88" s="1"/>
      <c r="Y88" s="1"/>
      <c r="Z88" s="1"/>
      <c r="AA88" s="1"/>
      <c r="AB88" s="1"/>
    </row>
    <row r="89">
      <c r="A89" s="1"/>
      <c r="B89" s="21" t="s">
        <v>121</v>
      </c>
      <c r="C89" s="6"/>
      <c r="D89" s="6"/>
      <c r="E89" s="6"/>
      <c r="F89" s="6"/>
      <c r="G89" s="6"/>
      <c r="H89" s="6"/>
      <c r="I89" s="6"/>
      <c r="J89" s="6"/>
      <c r="K89" s="6"/>
      <c r="L89" s="6"/>
      <c r="M89" s="6"/>
      <c r="N89" s="6"/>
      <c r="O89" s="6"/>
      <c r="P89" s="6"/>
      <c r="Q89" s="6"/>
      <c r="R89" s="6"/>
      <c r="S89" s="6"/>
      <c r="T89" s="6"/>
      <c r="U89" s="7"/>
      <c r="V89" s="1"/>
      <c r="W89" s="1"/>
      <c r="X89" s="1"/>
      <c r="Y89" s="1"/>
      <c r="Z89" s="1"/>
      <c r="AA89" s="1"/>
      <c r="AB89" s="1"/>
    </row>
    <row r="90">
      <c r="A90" s="1"/>
      <c r="B90" s="48" t="s">
        <v>122</v>
      </c>
      <c r="C90" s="6"/>
      <c r="D90" s="6"/>
      <c r="E90" s="7"/>
      <c r="F90" s="48" t="s">
        <v>123</v>
      </c>
      <c r="G90" s="6"/>
      <c r="H90" s="6"/>
      <c r="I90" s="7"/>
      <c r="J90" s="48" t="s">
        <v>124</v>
      </c>
      <c r="K90" s="6"/>
      <c r="L90" s="6"/>
      <c r="M90" s="7"/>
      <c r="N90" s="48" t="s">
        <v>125</v>
      </c>
      <c r="O90" s="6"/>
      <c r="P90" s="6"/>
      <c r="Q90" s="7"/>
      <c r="R90" s="48" t="s">
        <v>126</v>
      </c>
      <c r="S90" s="6"/>
      <c r="T90" s="6"/>
      <c r="U90" s="7"/>
      <c r="V90" s="1"/>
      <c r="W90" s="1"/>
      <c r="X90" s="1"/>
      <c r="Y90" s="1"/>
      <c r="Z90" s="1"/>
      <c r="AA90" s="1"/>
      <c r="AB90" s="1"/>
    </row>
    <row r="91">
      <c r="A91" s="1"/>
      <c r="B91" s="83" t="s">
        <v>170</v>
      </c>
      <c r="C91" s="6"/>
      <c r="D91" s="6"/>
      <c r="E91" s="7"/>
      <c r="F91" s="83" t="s">
        <v>128</v>
      </c>
      <c r="G91" s="6"/>
      <c r="H91" s="6"/>
      <c r="I91" s="7"/>
      <c r="J91" s="83" t="s">
        <v>171</v>
      </c>
      <c r="K91" s="6"/>
      <c r="L91" s="6"/>
      <c r="M91" s="7"/>
      <c r="N91" s="83" t="s">
        <v>130</v>
      </c>
      <c r="O91" s="6"/>
      <c r="P91" s="6"/>
      <c r="Q91" s="7"/>
      <c r="R91" s="62"/>
      <c r="S91" s="6"/>
      <c r="T91" s="6"/>
      <c r="U91" s="7"/>
      <c r="V91" s="1"/>
      <c r="W91" s="1"/>
      <c r="X91" s="1"/>
      <c r="Y91" s="1"/>
      <c r="Z91" s="1"/>
      <c r="AA91" s="1"/>
      <c r="AB91" s="1"/>
    </row>
    <row r="92" ht="3.75" customHeight="1">
      <c r="A92" s="1"/>
      <c r="B92" s="1"/>
      <c r="V92" s="1"/>
      <c r="W92" s="1"/>
      <c r="X92" s="1"/>
      <c r="Y92" s="1"/>
      <c r="Z92" s="1"/>
      <c r="AA92" s="1"/>
      <c r="AB92" s="1"/>
    </row>
    <row r="93">
      <c r="A93" s="1"/>
      <c r="B93" s="21" t="s">
        <v>131</v>
      </c>
      <c r="C93" s="6"/>
      <c r="D93" s="6"/>
      <c r="E93" s="6"/>
      <c r="F93" s="6"/>
      <c r="G93" s="6"/>
      <c r="H93" s="6"/>
      <c r="I93" s="6"/>
      <c r="J93" s="6"/>
      <c r="K93" s="6"/>
      <c r="L93" s="6"/>
      <c r="M93" s="6"/>
      <c r="N93" s="6"/>
      <c r="O93" s="6"/>
      <c r="P93" s="6"/>
      <c r="Q93" s="6"/>
      <c r="R93" s="6"/>
      <c r="S93" s="6"/>
      <c r="T93" s="6"/>
      <c r="U93" s="7"/>
      <c r="V93" s="1"/>
      <c r="W93" s="1"/>
      <c r="X93" s="1"/>
      <c r="Y93" s="1"/>
      <c r="Z93" s="1"/>
      <c r="AA93" s="1"/>
      <c r="AB93" s="1"/>
    </row>
    <row r="94">
      <c r="A94" s="84"/>
      <c r="B94" s="48" t="s">
        <v>132</v>
      </c>
      <c r="C94" s="6"/>
      <c r="D94" s="7"/>
      <c r="E94" s="48" t="s">
        <v>133</v>
      </c>
      <c r="F94" s="6"/>
      <c r="G94" s="6"/>
      <c r="H94" s="6"/>
      <c r="I94" s="6"/>
      <c r="J94" s="6"/>
      <c r="K94" s="7"/>
      <c r="L94" s="48" t="s">
        <v>134</v>
      </c>
      <c r="M94" s="7"/>
      <c r="N94" s="48" t="s">
        <v>135</v>
      </c>
      <c r="O94" s="6"/>
      <c r="P94" s="6"/>
      <c r="Q94" s="7"/>
      <c r="R94" s="48" t="s">
        <v>172</v>
      </c>
      <c r="S94" s="6"/>
      <c r="T94" s="6"/>
      <c r="U94" s="7"/>
      <c r="V94" s="84"/>
      <c r="W94" s="84"/>
      <c r="X94" s="84"/>
      <c r="Y94" s="84"/>
      <c r="Z94" s="84"/>
      <c r="AA94" s="84"/>
      <c r="AB94" s="84"/>
    </row>
    <row r="95">
      <c r="A95" s="1"/>
      <c r="B95" s="83"/>
      <c r="C95" s="6"/>
      <c r="D95" s="7"/>
      <c r="E95" s="22"/>
      <c r="F95" s="6"/>
      <c r="G95" s="6"/>
      <c r="H95" s="6"/>
      <c r="I95" s="6"/>
      <c r="J95" s="6"/>
      <c r="K95" s="7"/>
      <c r="L95" s="83"/>
      <c r="M95" s="7"/>
      <c r="N95" s="22"/>
      <c r="O95" s="6"/>
      <c r="P95" s="6"/>
      <c r="Q95" s="7"/>
      <c r="R95" s="22"/>
      <c r="S95" s="6"/>
      <c r="T95" s="6"/>
      <c r="U95" s="7"/>
      <c r="V95" s="1"/>
      <c r="W95" s="1"/>
      <c r="X95" s="1"/>
      <c r="Y95" s="1"/>
      <c r="Z95" s="1"/>
      <c r="AA95" s="1"/>
      <c r="AB95" s="1"/>
    </row>
    <row r="96">
      <c r="A96" s="1"/>
      <c r="B96" s="85"/>
      <c r="C96" s="6"/>
      <c r="D96" s="7"/>
      <c r="E96" s="58"/>
      <c r="F96" s="6"/>
      <c r="G96" s="6"/>
      <c r="H96" s="6"/>
      <c r="I96" s="6"/>
      <c r="J96" s="6"/>
      <c r="K96" s="7"/>
      <c r="L96" s="85"/>
      <c r="M96" s="7"/>
      <c r="N96" s="58"/>
      <c r="O96" s="6"/>
      <c r="P96" s="6"/>
      <c r="Q96" s="7"/>
      <c r="R96" s="58"/>
      <c r="S96" s="6"/>
      <c r="T96" s="6"/>
      <c r="U96" s="7"/>
      <c r="V96" s="1"/>
      <c r="W96" s="1"/>
      <c r="X96" s="1"/>
      <c r="Y96" s="1"/>
      <c r="Z96" s="1"/>
      <c r="AA96" s="1"/>
      <c r="AB96" s="1"/>
    </row>
    <row r="97">
      <c r="A97" s="1"/>
      <c r="B97" s="85"/>
      <c r="C97" s="6"/>
      <c r="D97" s="7"/>
      <c r="E97" s="58"/>
      <c r="F97" s="6"/>
      <c r="G97" s="6"/>
      <c r="H97" s="6"/>
      <c r="I97" s="6"/>
      <c r="J97" s="6"/>
      <c r="K97" s="7"/>
      <c r="L97" s="85"/>
      <c r="M97" s="7"/>
      <c r="N97" s="58"/>
      <c r="O97" s="6"/>
      <c r="P97" s="6"/>
      <c r="Q97" s="7"/>
      <c r="R97" s="58"/>
      <c r="S97" s="6"/>
      <c r="T97" s="6"/>
      <c r="U97" s="7"/>
      <c r="V97" s="1"/>
      <c r="W97" s="1"/>
      <c r="X97" s="1"/>
      <c r="Y97" s="1"/>
      <c r="Z97" s="1"/>
      <c r="AA97" s="1"/>
      <c r="AB97" s="1"/>
    </row>
    <row r="98" ht="3.75" customHeight="1">
      <c r="A98" s="1"/>
      <c r="B98" s="1"/>
      <c r="V98" s="1"/>
      <c r="W98" s="1"/>
      <c r="X98" s="1"/>
      <c r="Y98" s="1"/>
      <c r="Z98" s="1"/>
      <c r="AA98" s="1"/>
      <c r="AB98" s="1"/>
    </row>
    <row r="99">
      <c r="A99" s="1"/>
      <c r="B99" s="21" t="s">
        <v>137</v>
      </c>
      <c r="C99" s="6"/>
      <c r="D99" s="6"/>
      <c r="E99" s="6"/>
      <c r="F99" s="6"/>
      <c r="G99" s="6"/>
      <c r="H99" s="6"/>
      <c r="I99" s="6"/>
      <c r="J99" s="6"/>
      <c r="K99" s="6"/>
      <c r="L99" s="6"/>
      <c r="M99" s="6"/>
      <c r="N99" s="6"/>
      <c r="O99" s="6"/>
      <c r="P99" s="6"/>
      <c r="Q99" s="6"/>
      <c r="R99" s="6"/>
      <c r="S99" s="6"/>
      <c r="T99" s="6"/>
      <c r="U99" s="7"/>
      <c r="V99" s="1"/>
      <c r="W99" s="1"/>
      <c r="X99" s="1"/>
      <c r="Y99" s="1"/>
      <c r="Z99" s="1"/>
      <c r="AA99" s="1"/>
      <c r="AB99" s="1"/>
    </row>
    <row r="100">
      <c r="A100" s="1"/>
      <c r="B100" s="48" t="s">
        <v>138</v>
      </c>
      <c r="C100" s="6"/>
      <c r="D100" s="6"/>
      <c r="E100" s="6"/>
      <c r="F100" s="6"/>
      <c r="G100" s="7"/>
      <c r="H100" s="48" t="s">
        <v>135</v>
      </c>
      <c r="I100" s="6"/>
      <c r="J100" s="6"/>
      <c r="K100" s="6"/>
      <c r="L100" s="6"/>
      <c r="M100" s="6"/>
      <c r="N100" s="7"/>
      <c r="O100" s="48" t="s">
        <v>139</v>
      </c>
      <c r="P100" s="6"/>
      <c r="Q100" s="7"/>
      <c r="R100" s="48" t="s">
        <v>140</v>
      </c>
      <c r="S100" s="6"/>
      <c r="T100" s="6"/>
      <c r="U100" s="7"/>
      <c r="V100" s="1"/>
      <c r="W100" s="1"/>
      <c r="X100" s="1"/>
      <c r="Y100" s="1"/>
      <c r="Z100" s="1"/>
      <c r="AA100" s="1"/>
      <c r="AB100" s="1"/>
    </row>
    <row r="101">
      <c r="A101" s="1"/>
      <c r="B101" s="22"/>
      <c r="C101" s="6"/>
      <c r="D101" s="6"/>
      <c r="E101" s="6"/>
      <c r="F101" s="6"/>
      <c r="G101" s="7"/>
      <c r="H101" s="22"/>
      <c r="I101" s="6"/>
      <c r="J101" s="6"/>
      <c r="K101" s="6"/>
      <c r="L101" s="6"/>
      <c r="M101" s="6"/>
      <c r="N101" s="7"/>
      <c r="O101" s="83"/>
      <c r="P101" s="6"/>
      <c r="Q101" s="7"/>
      <c r="R101" s="22"/>
      <c r="S101" s="6"/>
      <c r="T101" s="6"/>
      <c r="U101" s="7"/>
      <c r="V101" s="1"/>
      <c r="W101" s="1"/>
      <c r="X101" s="1"/>
      <c r="Y101" s="1"/>
      <c r="Z101" s="1"/>
      <c r="AA101" s="1"/>
      <c r="AB101" s="1"/>
    </row>
    <row r="102" ht="5.2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row>
  </sheetData>
  <mergeCells count="323">
    <mergeCell ref="B35:C35"/>
    <mergeCell ref="B38:C38"/>
    <mergeCell ref="B39:C39"/>
    <mergeCell ref="D39:K39"/>
    <mergeCell ref="M39:T39"/>
    <mergeCell ref="D40:K40"/>
    <mergeCell ref="M40:T40"/>
    <mergeCell ref="B40:C40"/>
    <mergeCell ref="B41:C41"/>
    <mergeCell ref="D41:K41"/>
    <mergeCell ref="M41:T41"/>
    <mergeCell ref="B42:C42"/>
    <mergeCell ref="D42:K42"/>
    <mergeCell ref="M42:T42"/>
    <mergeCell ref="B25:C25"/>
    <mergeCell ref="D25:I25"/>
    <mergeCell ref="B21:C21"/>
    <mergeCell ref="D21:I21"/>
    <mergeCell ref="P21:U25"/>
    <mergeCell ref="B22:C22"/>
    <mergeCell ref="D22:I22"/>
    <mergeCell ref="B23:C23"/>
    <mergeCell ref="D23:I23"/>
    <mergeCell ref="B26:U26"/>
    <mergeCell ref="B27:U27"/>
    <mergeCell ref="B28:U28"/>
    <mergeCell ref="B29:U29"/>
    <mergeCell ref="B30:C30"/>
    <mergeCell ref="D30:E30"/>
    <mergeCell ref="F30:Q30"/>
    <mergeCell ref="D33:E33"/>
    <mergeCell ref="F33:Q33"/>
    <mergeCell ref="B31:C31"/>
    <mergeCell ref="D31:E31"/>
    <mergeCell ref="F31:Q31"/>
    <mergeCell ref="B32:C32"/>
    <mergeCell ref="D32:E32"/>
    <mergeCell ref="F32:Q32"/>
    <mergeCell ref="B33:C33"/>
    <mergeCell ref="C48:H48"/>
    <mergeCell ref="I48:J48"/>
    <mergeCell ref="L48:Q48"/>
    <mergeCell ref="R48:S48"/>
    <mergeCell ref="C49:H49"/>
    <mergeCell ref="I49:J49"/>
    <mergeCell ref="L49:Q49"/>
    <mergeCell ref="L60:M60"/>
    <mergeCell ref="L61:M61"/>
    <mergeCell ref="N61:U61"/>
    <mergeCell ref="C55:H55"/>
    <mergeCell ref="I55:J55"/>
    <mergeCell ref="L55:Q55"/>
    <mergeCell ref="C56:H56"/>
    <mergeCell ref="I56:J56"/>
    <mergeCell ref="L56:Q56"/>
    <mergeCell ref="C57:H57"/>
    <mergeCell ref="I57:J57"/>
    <mergeCell ref="K57:Q57"/>
    <mergeCell ref="B58:U58"/>
    <mergeCell ref="B59:K61"/>
    <mergeCell ref="L59:M59"/>
    <mergeCell ref="N59:U59"/>
    <mergeCell ref="N60:U60"/>
    <mergeCell ref="H66:I66"/>
    <mergeCell ref="J66:K66"/>
    <mergeCell ref="O66:P66"/>
    <mergeCell ref="Q66:R66"/>
    <mergeCell ref="D66:E66"/>
    <mergeCell ref="D67:E67"/>
    <mergeCell ref="F67:G67"/>
    <mergeCell ref="H67:I67"/>
    <mergeCell ref="F66:G66"/>
    <mergeCell ref="D68:E68"/>
    <mergeCell ref="P76:Q76"/>
    <mergeCell ref="R76:S76"/>
    <mergeCell ref="L75:M75"/>
    <mergeCell ref="N75:O75"/>
    <mergeCell ref="P75:Q75"/>
    <mergeCell ref="R75:S75"/>
    <mergeCell ref="T75:U75"/>
    <mergeCell ref="N76:O76"/>
    <mergeCell ref="T76:U76"/>
    <mergeCell ref="G77:K77"/>
    <mergeCell ref="G78:K78"/>
    <mergeCell ref="L78:M78"/>
    <mergeCell ref="N78:O78"/>
    <mergeCell ref="P78:Q78"/>
    <mergeCell ref="R78:S78"/>
    <mergeCell ref="T78:U78"/>
    <mergeCell ref="H82:I82"/>
    <mergeCell ref="J82:K82"/>
    <mergeCell ref="L82:M82"/>
    <mergeCell ref="O82:P82"/>
    <mergeCell ref="Q82:R82"/>
    <mergeCell ref="S82:U82"/>
    <mergeCell ref="L76:M76"/>
    <mergeCell ref="L77:M77"/>
    <mergeCell ref="N77:O77"/>
    <mergeCell ref="P77:Q77"/>
    <mergeCell ref="R77:S77"/>
    <mergeCell ref="T77:U77"/>
    <mergeCell ref="X81:X82"/>
    <mergeCell ref="F68:G68"/>
    <mergeCell ref="H68:I68"/>
    <mergeCell ref="J68:K68"/>
    <mergeCell ref="D69:E69"/>
    <mergeCell ref="F69:G69"/>
    <mergeCell ref="H69:I69"/>
    <mergeCell ref="J69:K69"/>
    <mergeCell ref="B72:U72"/>
    <mergeCell ref="B73:U73"/>
    <mergeCell ref="B62:U62"/>
    <mergeCell ref="B63:U63"/>
    <mergeCell ref="B64:U64"/>
    <mergeCell ref="B65:U65"/>
    <mergeCell ref="B66:B70"/>
    <mergeCell ref="S66:U66"/>
    <mergeCell ref="J67:K67"/>
    <mergeCell ref="H70:I70"/>
    <mergeCell ref="J70:K70"/>
    <mergeCell ref="H71:I71"/>
    <mergeCell ref="J71:K71"/>
    <mergeCell ref="G74:K74"/>
    <mergeCell ref="G75:K75"/>
    <mergeCell ref="G76:K76"/>
    <mergeCell ref="G79:K79"/>
    <mergeCell ref="L79:M79"/>
    <mergeCell ref="N79:O79"/>
    <mergeCell ref="P79:Q79"/>
    <mergeCell ref="R79:S79"/>
    <mergeCell ref="T79:U79"/>
    <mergeCell ref="B80:U80"/>
    <mergeCell ref="B81:U81"/>
    <mergeCell ref="D70:E70"/>
    <mergeCell ref="F70:G70"/>
    <mergeCell ref="B71:C71"/>
    <mergeCell ref="D71:E71"/>
    <mergeCell ref="F71:G71"/>
    <mergeCell ref="B74:F74"/>
    <mergeCell ref="B75:F79"/>
    <mergeCell ref="D83:E83"/>
    <mergeCell ref="D85:E85"/>
    <mergeCell ref="H86:I86"/>
    <mergeCell ref="J86:K86"/>
    <mergeCell ref="B82:B86"/>
    <mergeCell ref="B87:C87"/>
    <mergeCell ref="D87:E87"/>
    <mergeCell ref="F87:G87"/>
    <mergeCell ref="H87:I87"/>
    <mergeCell ref="J87:K87"/>
    <mergeCell ref="D82:E82"/>
    <mergeCell ref="F82:G82"/>
    <mergeCell ref="N82:N87"/>
    <mergeCell ref="F83:G83"/>
    <mergeCell ref="H83:I83"/>
    <mergeCell ref="L84:M84"/>
    <mergeCell ref="L86:M86"/>
    <mergeCell ref="L87:M87"/>
    <mergeCell ref="N90:Q90"/>
    <mergeCell ref="R90:U90"/>
    <mergeCell ref="D86:E86"/>
    <mergeCell ref="F86:G86"/>
    <mergeCell ref="B88:U88"/>
    <mergeCell ref="B89:U89"/>
    <mergeCell ref="B90:E90"/>
    <mergeCell ref="F90:I90"/>
    <mergeCell ref="J90:M90"/>
    <mergeCell ref="L95:M95"/>
    <mergeCell ref="N95:Q95"/>
    <mergeCell ref="N96:Q96"/>
    <mergeCell ref="R96:U96"/>
    <mergeCell ref="N97:Q97"/>
    <mergeCell ref="R97:U97"/>
    <mergeCell ref="B94:D94"/>
    <mergeCell ref="E94:K94"/>
    <mergeCell ref="L94:M94"/>
    <mergeCell ref="N94:Q94"/>
    <mergeCell ref="R94:U94"/>
    <mergeCell ref="E95:K95"/>
    <mergeCell ref="R95:U95"/>
    <mergeCell ref="B95:D95"/>
    <mergeCell ref="B96:D96"/>
    <mergeCell ref="E96:K96"/>
    <mergeCell ref="L96:M96"/>
    <mergeCell ref="B97:D97"/>
    <mergeCell ref="E97:K97"/>
    <mergeCell ref="L97:M97"/>
    <mergeCell ref="H101:N101"/>
    <mergeCell ref="O101:Q101"/>
    <mergeCell ref="B98:U98"/>
    <mergeCell ref="B99:U99"/>
    <mergeCell ref="B100:G100"/>
    <mergeCell ref="H100:N100"/>
    <mergeCell ref="O100:Q100"/>
    <mergeCell ref="R100:U100"/>
    <mergeCell ref="B101:G101"/>
    <mergeCell ref="R101:U101"/>
    <mergeCell ref="J83:K83"/>
    <mergeCell ref="L83:M83"/>
    <mergeCell ref="O83:P87"/>
    <mergeCell ref="Q83:R87"/>
    <mergeCell ref="S83:U87"/>
    <mergeCell ref="D84:E84"/>
    <mergeCell ref="F84:G84"/>
    <mergeCell ref="H84:I84"/>
    <mergeCell ref="J84:K84"/>
    <mergeCell ref="F85:G85"/>
    <mergeCell ref="H85:I85"/>
    <mergeCell ref="J85:K85"/>
    <mergeCell ref="L85:M85"/>
    <mergeCell ref="B91:E91"/>
    <mergeCell ref="F91:I91"/>
    <mergeCell ref="J91:M91"/>
    <mergeCell ref="N91:Q91"/>
    <mergeCell ref="R91:U91"/>
    <mergeCell ref="B92:U92"/>
    <mergeCell ref="B93:U93"/>
    <mergeCell ref="B2:D4"/>
    <mergeCell ref="B6:D6"/>
    <mergeCell ref="E2:U2"/>
    <mergeCell ref="E3:U3"/>
    <mergeCell ref="E4:H4"/>
    <mergeCell ref="I4:K4"/>
    <mergeCell ref="L4:R4"/>
    <mergeCell ref="S4:U4"/>
    <mergeCell ref="B5:U5"/>
    <mergeCell ref="E6:U6"/>
    <mergeCell ref="B7:U7"/>
    <mergeCell ref="B8:U8"/>
    <mergeCell ref="B9:U9"/>
    <mergeCell ref="B10:U10"/>
    <mergeCell ref="N11:Q11"/>
    <mergeCell ref="R11:U11"/>
    <mergeCell ref="B11:M11"/>
    <mergeCell ref="B12:U12"/>
    <mergeCell ref="B13:U13"/>
    <mergeCell ref="E14:J14"/>
    <mergeCell ref="K14:N14"/>
    <mergeCell ref="O14:P14"/>
    <mergeCell ref="R14:U14"/>
    <mergeCell ref="B14:D14"/>
    <mergeCell ref="B15:D15"/>
    <mergeCell ref="E15:J15"/>
    <mergeCell ref="K15:N15"/>
    <mergeCell ref="O15:P15"/>
    <mergeCell ref="R15:U15"/>
    <mergeCell ref="B16:U16"/>
    <mergeCell ref="B17:U17"/>
    <mergeCell ref="B18:U18"/>
    <mergeCell ref="B19:C20"/>
    <mergeCell ref="D19:I20"/>
    <mergeCell ref="J19:N19"/>
    <mergeCell ref="O19:O20"/>
    <mergeCell ref="P19:U20"/>
    <mergeCell ref="B24:C24"/>
    <mergeCell ref="D24:I24"/>
    <mergeCell ref="D38:L38"/>
    <mergeCell ref="M38:U38"/>
    <mergeCell ref="B34:C34"/>
    <mergeCell ref="D34:E34"/>
    <mergeCell ref="F34:Q34"/>
    <mergeCell ref="D35:E35"/>
    <mergeCell ref="F35:Q35"/>
    <mergeCell ref="B36:U36"/>
    <mergeCell ref="B37:U37"/>
    <mergeCell ref="B43:C43"/>
    <mergeCell ref="D43:K43"/>
    <mergeCell ref="M43:T43"/>
    <mergeCell ref="B44:C44"/>
    <mergeCell ref="D44:L44"/>
    <mergeCell ref="M44:N44"/>
    <mergeCell ref="O44:U44"/>
    <mergeCell ref="B45:U45"/>
    <mergeCell ref="B46:U46"/>
    <mergeCell ref="B47:H47"/>
    <mergeCell ref="I47:J47"/>
    <mergeCell ref="K47:Q47"/>
    <mergeCell ref="R47:S47"/>
    <mergeCell ref="T47:U47"/>
    <mergeCell ref="L51:Q51"/>
    <mergeCell ref="L52:Q52"/>
    <mergeCell ref="C50:H50"/>
    <mergeCell ref="I50:J50"/>
    <mergeCell ref="L50:Q50"/>
    <mergeCell ref="C51:H51"/>
    <mergeCell ref="I51:J51"/>
    <mergeCell ref="C52:H52"/>
    <mergeCell ref="I52:J52"/>
    <mergeCell ref="L53:Q53"/>
    <mergeCell ref="L54:Q54"/>
    <mergeCell ref="R51:S51"/>
    <mergeCell ref="R52:S52"/>
    <mergeCell ref="C53:H53"/>
    <mergeCell ref="I53:J53"/>
    <mergeCell ref="R53:S53"/>
    <mergeCell ref="C54:H54"/>
    <mergeCell ref="I54:J54"/>
    <mergeCell ref="R54:S54"/>
    <mergeCell ref="R55:S55"/>
    <mergeCell ref="R56:S56"/>
    <mergeCell ref="R30:S30"/>
    <mergeCell ref="T30:U30"/>
    <mergeCell ref="R31:S35"/>
    <mergeCell ref="T31:U35"/>
    <mergeCell ref="T48:U57"/>
    <mergeCell ref="R49:S49"/>
    <mergeCell ref="R50:S50"/>
    <mergeCell ref="R57:S57"/>
    <mergeCell ref="L66:M66"/>
    <mergeCell ref="N66:N71"/>
    <mergeCell ref="L67:M67"/>
    <mergeCell ref="O67:P71"/>
    <mergeCell ref="Q67:R71"/>
    <mergeCell ref="S67:U71"/>
    <mergeCell ref="L68:M68"/>
    <mergeCell ref="L71:M71"/>
    <mergeCell ref="L69:M69"/>
    <mergeCell ref="L70:M70"/>
    <mergeCell ref="L74:M74"/>
    <mergeCell ref="N74:O74"/>
    <mergeCell ref="P74:Q74"/>
    <mergeCell ref="R74:S74"/>
    <mergeCell ref="T74:U74"/>
  </mergeCells>
  <conditionalFormatting sqref="I48:I57 R48:R56 R91">
    <cfRule type="containsBlanks" dxfId="0" priority="1" stopIfTrue="1">
      <formula>LEN(TRIM(I48))=0</formula>
    </cfRule>
  </conditionalFormatting>
  <conditionalFormatting sqref="L39:L43 U39:U43">
    <cfRule type="expression" dxfId="1" priority="2" stopIfTrue="1">
      <formula>L39="X"</formula>
    </cfRule>
  </conditionalFormatting>
  <conditionalFormatting sqref="L39:L43 U39:U43">
    <cfRule type="expression" dxfId="0" priority="3">
      <formula>AND($L$39="",$L$40="",$L$41="",$L$42="",$L$43="",$U$39="",$U$40="",$U$41="",$U$42="",$U$43="")</formula>
    </cfRule>
  </conditionalFormatting>
  <conditionalFormatting sqref="R31">
    <cfRule type="expression" dxfId="0" priority="4">
      <formula>AND(R31="",S31="",T31="",U31="",V31="")</formula>
    </cfRule>
  </conditionalFormatting>
  <conditionalFormatting sqref="J21:N25">
    <cfRule type="expression" dxfId="0" priority="5" stopIfTrue="1">
      <formula>#REF!=""</formula>
    </cfRule>
  </conditionalFormatting>
  <conditionalFormatting sqref="D21:I25">
    <cfRule type="expression" dxfId="0" priority="6">
      <formula>$D$21=""</formula>
    </cfRule>
  </conditionalFormatting>
  <conditionalFormatting sqref="B21:C25">
    <cfRule type="expression" dxfId="0" priority="7">
      <formula>$B$21=""</formula>
    </cfRule>
  </conditionalFormatting>
  <conditionalFormatting sqref="E6:U6 B15:D15">
    <cfRule type="containsBlanks" dxfId="0" priority="8">
      <formula>LEN(TRIM(E6))=0</formula>
    </cfRule>
  </conditionalFormatting>
  <conditionalFormatting sqref="E15:H15">
    <cfRule type="containsBlanks" dxfId="0" priority="9">
      <formula>LEN(TRIM(E15))=0</formula>
    </cfRule>
  </conditionalFormatting>
  <conditionalFormatting sqref="O15">
    <cfRule type="containsBlanks" dxfId="0" priority="10">
      <formula>LEN(TRIM(O15))=0</formula>
    </cfRule>
  </conditionalFormatting>
  <conditionalFormatting sqref="R15:U15">
    <cfRule type="containsBlanks" dxfId="0" priority="11">
      <formula>LEN(TRIM(R15))=0</formula>
    </cfRule>
  </conditionalFormatting>
  <conditionalFormatting sqref="K15">
    <cfRule type="containsBlanks" dxfId="0" priority="12">
      <formula>LEN(TRIM(K15))=0</formula>
    </cfRule>
  </conditionalFormatting>
  <conditionalFormatting sqref="D66:M70 S67:U71 D82:M86 S83:U87">
    <cfRule type="cellIs" dxfId="2" priority="13" operator="equal">
      <formula>"Baja"</formula>
    </cfRule>
  </conditionalFormatting>
  <conditionalFormatting sqref="D66:M70 S67:U71 D82:M86 S83:U87">
    <cfRule type="cellIs" dxfId="3" priority="14" operator="equal">
      <formula>"Media"</formula>
    </cfRule>
  </conditionalFormatting>
  <conditionalFormatting sqref="D66:M70 S67:U71 D82:M86 S83:U87">
    <cfRule type="cellIs" dxfId="4" priority="15" operator="equal">
      <formula>"Alta"</formula>
    </cfRule>
  </conditionalFormatting>
  <conditionalFormatting sqref="D66:M70 S67:U71 D82:M86 S83:U87">
    <cfRule type="cellIs" dxfId="5" priority="16" operator="equal">
      <formula>"Extrema"</formula>
    </cfRule>
  </conditionalFormatting>
  <conditionalFormatting sqref="S67:U71 S83:U87">
    <cfRule type="cellIs" dxfId="2" priority="17" operator="equal">
      <formula>"Baja"</formula>
    </cfRule>
  </conditionalFormatting>
  <conditionalFormatting sqref="S67:U71 S83:U87">
    <cfRule type="cellIs" dxfId="3" priority="18" operator="equal">
      <formula>"Media"</formula>
    </cfRule>
  </conditionalFormatting>
  <conditionalFormatting sqref="S67:U71 S83:U87">
    <cfRule type="cellIs" dxfId="4" priority="19" operator="equal">
      <formula>"Alta"</formula>
    </cfRule>
  </conditionalFormatting>
  <conditionalFormatting sqref="S67:U71 S83:U87">
    <cfRule type="cellIs" dxfId="5" priority="20" operator="equal">
      <formula>"Extrema"</formula>
    </cfRule>
  </conditionalFormatting>
  <conditionalFormatting sqref="G75:K79">
    <cfRule type="expression" dxfId="0" priority="21">
      <formula>$G$75=""</formula>
    </cfRule>
  </conditionalFormatting>
  <conditionalFormatting sqref="L75:M79">
    <cfRule type="expression" dxfId="0" priority="22">
      <formula>$L$75=""</formula>
    </cfRule>
  </conditionalFormatting>
  <conditionalFormatting sqref="N75:O79">
    <cfRule type="expression" dxfId="0" priority="23">
      <formula>$N$75=""</formula>
    </cfRule>
  </conditionalFormatting>
  <conditionalFormatting sqref="P75:Q79">
    <cfRule type="expression" dxfId="0" priority="24">
      <formula>$P$75=""</formula>
    </cfRule>
  </conditionalFormatting>
  <conditionalFormatting sqref="R75:S79">
    <cfRule type="expression" dxfId="0" priority="25">
      <formula>$R$75=""</formula>
    </cfRule>
  </conditionalFormatting>
  <conditionalFormatting sqref="T75:U79">
    <cfRule type="expression" dxfId="0" priority="26">
      <formula>$T$75=""</formula>
    </cfRule>
  </conditionalFormatting>
  <conditionalFormatting sqref="B95:D97">
    <cfRule type="expression" dxfId="0" priority="27">
      <formula>$B$95=""</formula>
    </cfRule>
  </conditionalFormatting>
  <conditionalFormatting sqref="E95:M97">
    <cfRule type="expression" dxfId="0" priority="28">
      <formula>$E$95=""</formula>
    </cfRule>
  </conditionalFormatting>
  <conditionalFormatting sqref="N95:Q97">
    <cfRule type="expression" dxfId="0" priority="29">
      <formula>$N$95=""</formula>
    </cfRule>
  </conditionalFormatting>
  <conditionalFormatting sqref="R95:U97">
    <cfRule type="expression" dxfId="0" priority="30">
      <formula>$R$95=""</formula>
    </cfRule>
  </conditionalFormatting>
  <conditionalFormatting sqref="B101:U101">
    <cfRule type="containsBlanks" dxfId="0" priority="31">
      <formula>LEN(TRIM(B101))=0</formula>
    </cfRule>
  </conditionalFormatting>
  <conditionalFormatting sqref="E6:U6">
    <cfRule type="containsBlanks" dxfId="0" priority="32">
      <formula>LEN(TRIM(E6))=0</formula>
    </cfRule>
  </conditionalFormatting>
  <dataValidations>
    <dataValidation type="list" allowBlank="1" showErrorMessage="1" sqref="L39:L43 U39:U43">
      <formula1>"X"</formula1>
    </dataValidation>
    <dataValidation type="list" allowBlank="1" showErrorMessage="1" sqref="O15">
      <formula1>Listas!$CM$4:$CM$20</formula1>
    </dataValidation>
    <dataValidation type="list" allowBlank="1" sqref="P75:P79">
      <formula1>Listas!$CU$4:$CU$8</formula1>
    </dataValidation>
    <dataValidation type="list" allowBlank="1" sqref="T75:T79">
      <formula1>Listas!$CW$4:$CW$8</formula1>
    </dataValidation>
    <dataValidation type="list" allowBlank="1" showErrorMessage="1" sqref="R48:R56 I48:I57">
      <formula1>"Si,No"</formula1>
    </dataValidation>
    <dataValidation type="list" allowBlank="1" sqref="R75:R79">
      <formula1>Listas!$CV$4:$CV$8</formula1>
    </dataValidation>
    <dataValidation type="list" allowBlank="1" sqref="L75:L79">
      <formula1>Listas!$CS$4:$CS$8</formula1>
    </dataValidation>
    <dataValidation type="list" allowBlank="1" showErrorMessage="1" sqref="J21:N25">
      <formula1>Listas!$CN$4:$CN$13</formula1>
    </dataValidation>
    <dataValidation type="list" allowBlank="1" showErrorMessage="1" sqref="R31">
      <formula1>Listas!$CO$4:$CO$8</formula1>
    </dataValidation>
    <dataValidation type="list" allowBlank="1" sqref="E6">
      <formula1>Listas!$B$4:$B$27</formula1>
    </dataValidation>
    <dataValidation type="list" allowBlank="1" sqref="B21:B25">
      <formula1>Listas!$CY$4:$CY$18</formula1>
    </dataValidation>
    <dataValidation type="list" allowBlank="1" sqref="N75:N79">
      <formula1>Listas!$CT$4:$CT$8</formula1>
    </dataValidation>
    <dataValidation type="list" allowBlank="1" showErrorMessage="1" sqref="R91">
      <formula1>Listas!$CX$4:$CX$7</formula1>
    </dataValidation>
    <dataValidation type="list" allowBlank="1" showErrorMessage="1" sqref="B15">
      <formula1>Listas!$BD$4:$BD$20</formula1>
    </dataValidation>
  </dataValidations>
  <hyperlinks>
    <hyperlink display="Contexto interno y externo del Proceso" location="null!A1" ref="N11"/>
    <hyperlink r:id="rId2" ref="R11"/>
  </hyperlinks>
  <drawing r:id="rId3"/>
  <legacyDrawing r:id="rId4"/>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10.0" topLeftCell="A11" activePane="bottomLeft" state="frozen"/>
      <selection activeCell="B12" sqref="B12" pane="bottomLeft"/>
    </sheetView>
  </sheetViews>
  <sheetFormatPr customHeight="1" defaultColWidth="14.43" defaultRowHeight="15.0"/>
  <cols>
    <col customWidth="1" min="1" max="1" width="1.0"/>
    <col customWidth="1" min="2" max="2" width="16.57"/>
    <col customWidth="1" min="3" max="3" width="20.86"/>
    <col customWidth="1" min="4" max="4" width="27.71"/>
    <col customWidth="1" min="5" max="5" width="19.43"/>
    <col customWidth="1" min="6" max="6" width="13.29"/>
    <col customWidth="1" min="7" max="7" width="37.0"/>
    <col customWidth="1" min="8" max="8" width="35.86"/>
    <col customWidth="1" min="9" max="9" width="8.86"/>
    <col customWidth="1" min="10" max="12" width="11.71"/>
    <col customWidth="1" min="13" max="13" width="72.0"/>
    <col customWidth="1" min="14" max="16" width="11.86"/>
    <col customWidth="1" min="17" max="17" width="15.86"/>
    <col customWidth="1" min="18" max="18" width="35.29"/>
    <col customWidth="1" min="19" max="19" width="12.71"/>
    <col customWidth="1" min="20" max="20" width="21.43"/>
    <col customWidth="1" min="21" max="21" width="15.57"/>
    <col customWidth="1" min="22" max="22" width="37.57"/>
    <col customWidth="1" min="23" max="23" width="18.86"/>
    <col customWidth="1" min="24" max="25" width="18.43"/>
    <col customWidth="1" min="26" max="26" width="14.71"/>
    <col customWidth="1" min="27" max="27" width="15.57"/>
    <col customWidth="1" min="28" max="28" width="121.57"/>
    <col customWidth="1" min="29" max="29" width="18.71"/>
    <col customWidth="1" min="30" max="30" width="20.29"/>
    <col customWidth="1" min="31" max="32" width="17.57"/>
    <col customWidth="1" min="33" max="33" width="74.71"/>
    <col customWidth="1" min="34" max="34" width="13.43"/>
    <col customWidth="1" min="35" max="35" width="12.14"/>
    <col customWidth="1" min="36" max="36" width="18.43"/>
    <col customWidth="1" min="37" max="37" width="15.14"/>
    <col customWidth="1" min="38" max="38" width="15.43"/>
    <col customWidth="1" min="39" max="40" width="12.43"/>
    <col customWidth="1" min="41" max="41" width="11.57"/>
    <col customWidth="1" min="42" max="42" width="15.43"/>
    <col customWidth="1" min="43" max="43" width="14.0"/>
    <col customWidth="1" min="44" max="44" width="13.71"/>
    <col customWidth="1" min="45" max="45" width="97.43"/>
    <col customWidth="1" min="46" max="46" width="1.14"/>
  </cols>
  <sheetData>
    <row r="1" ht="4.5" customHeight="1">
      <c r="A1" s="86"/>
      <c r="B1" s="87"/>
      <c r="C1" s="87"/>
      <c r="D1" s="86"/>
      <c r="E1" s="86"/>
      <c r="F1" s="86"/>
      <c r="G1" s="86"/>
      <c r="H1" s="86"/>
      <c r="I1" s="86"/>
      <c r="J1" s="86"/>
      <c r="K1" s="86"/>
      <c r="L1" s="86"/>
      <c r="M1" s="88"/>
      <c r="N1" s="86"/>
      <c r="O1" s="86"/>
      <c r="P1" s="86"/>
      <c r="Q1" s="86"/>
      <c r="R1" s="86"/>
      <c r="S1" s="34"/>
      <c r="T1" s="34"/>
      <c r="U1" s="34"/>
      <c r="V1" s="86"/>
      <c r="W1" s="86"/>
      <c r="X1" s="86"/>
      <c r="Y1" s="86"/>
      <c r="Z1" s="86"/>
      <c r="AA1" s="86"/>
      <c r="AB1" s="86"/>
      <c r="AC1" s="88"/>
      <c r="AD1" s="34"/>
      <c r="AE1" s="86"/>
      <c r="AF1" s="86"/>
      <c r="AG1" s="86"/>
      <c r="AH1" s="88"/>
      <c r="AI1" s="34"/>
      <c r="AJ1" s="34"/>
      <c r="AK1" s="34"/>
      <c r="AL1" s="34"/>
      <c r="AM1" s="34"/>
      <c r="AN1" s="34"/>
      <c r="AO1" s="34"/>
      <c r="AP1" s="34"/>
      <c r="AQ1" s="34"/>
      <c r="AR1" s="34"/>
      <c r="AS1" s="86"/>
      <c r="AT1" s="86"/>
    </row>
    <row r="2" ht="14.25" customHeight="1">
      <c r="A2" s="86"/>
      <c r="B2" s="89"/>
      <c r="C2" s="90"/>
      <c r="D2" s="91" t="s">
        <v>173</v>
      </c>
      <c r="E2" s="17"/>
      <c r="F2" s="17"/>
      <c r="G2" s="17"/>
      <c r="H2" s="17"/>
      <c r="I2" s="17"/>
      <c r="J2" s="17"/>
      <c r="K2" s="17"/>
      <c r="L2" s="17"/>
      <c r="M2" s="17"/>
      <c r="N2" s="17"/>
      <c r="O2" s="17"/>
      <c r="P2" s="17"/>
      <c r="Q2" s="17"/>
      <c r="R2" s="17"/>
      <c r="S2" s="17"/>
      <c r="T2" s="17"/>
      <c r="U2" s="17"/>
      <c r="V2" s="17"/>
      <c r="W2" s="17"/>
      <c r="X2" s="17"/>
      <c r="Y2" s="17"/>
      <c r="Z2" s="17"/>
      <c r="AA2" s="17"/>
      <c r="AB2" s="17"/>
      <c r="AC2" s="17"/>
      <c r="AD2" s="17"/>
      <c r="AE2" s="17"/>
      <c r="AF2" s="17"/>
      <c r="AG2" s="17"/>
      <c r="AH2" s="17"/>
      <c r="AI2" s="17"/>
      <c r="AJ2" s="17"/>
      <c r="AK2" s="17"/>
      <c r="AL2" s="17"/>
      <c r="AM2" s="17"/>
      <c r="AN2" s="17"/>
      <c r="AO2" s="17"/>
      <c r="AP2" s="17"/>
      <c r="AQ2" s="17"/>
      <c r="AR2" s="17"/>
      <c r="AS2" s="18"/>
      <c r="AT2" s="92"/>
    </row>
    <row r="3" ht="14.25" customHeight="1">
      <c r="A3" s="86"/>
      <c r="B3" s="93"/>
      <c r="C3" s="94"/>
      <c r="D3" s="95" t="s">
        <v>1</v>
      </c>
      <c r="E3" s="17"/>
      <c r="F3" s="17"/>
      <c r="G3" s="17"/>
      <c r="H3" s="17"/>
      <c r="I3" s="17"/>
      <c r="J3" s="17"/>
      <c r="K3" s="17"/>
      <c r="L3" s="17"/>
      <c r="M3" s="17"/>
      <c r="N3" s="17"/>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17"/>
      <c r="AR3" s="17"/>
      <c r="AS3" s="18"/>
      <c r="AT3" s="96"/>
    </row>
    <row r="4" ht="14.25" customHeight="1">
      <c r="A4" s="86"/>
      <c r="B4" s="97"/>
      <c r="C4" s="98"/>
      <c r="D4" s="99" t="s">
        <v>174</v>
      </c>
      <c r="E4" s="17"/>
      <c r="F4" s="17"/>
      <c r="G4" s="17"/>
      <c r="H4" s="17"/>
      <c r="I4" s="17"/>
      <c r="J4" s="18"/>
      <c r="K4" s="99" t="s">
        <v>175</v>
      </c>
      <c r="L4" s="17"/>
      <c r="M4" s="18"/>
      <c r="N4" s="99" t="s">
        <v>176</v>
      </c>
      <c r="O4" s="17"/>
      <c r="P4" s="17"/>
      <c r="Q4" s="17"/>
      <c r="R4" s="17"/>
      <c r="S4" s="17"/>
      <c r="T4" s="17"/>
      <c r="U4" s="17"/>
      <c r="V4" s="17"/>
      <c r="W4" s="17"/>
      <c r="X4" s="17"/>
      <c r="Y4" s="17"/>
      <c r="Z4" s="17"/>
      <c r="AA4" s="17"/>
      <c r="AB4" s="17"/>
      <c r="AC4" s="17"/>
      <c r="AD4" s="17"/>
      <c r="AE4" s="17"/>
      <c r="AF4" s="17"/>
      <c r="AG4" s="17"/>
      <c r="AH4" s="18"/>
      <c r="AI4" s="100" t="s">
        <v>177</v>
      </c>
      <c r="AJ4" s="6"/>
      <c r="AK4" s="6"/>
      <c r="AL4" s="6"/>
      <c r="AM4" s="6"/>
      <c r="AN4" s="6"/>
      <c r="AO4" s="6"/>
      <c r="AP4" s="6"/>
      <c r="AQ4" s="6"/>
      <c r="AR4" s="6"/>
      <c r="AS4" s="7"/>
      <c r="AT4" s="101"/>
    </row>
    <row r="5" ht="4.5" customHeight="1">
      <c r="A5" s="86"/>
      <c r="B5" s="102"/>
      <c r="AT5" s="103"/>
    </row>
    <row r="6" ht="15.0" customHeight="1">
      <c r="A6" s="86"/>
      <c r="B6" s="104" t="s">
        <v>178</v>
      </c>
      <c r="C6" s="17"/>
      <c r="D6" s="17"/>
      <c r="E6" s="17"/>
      <c r="F6" s="17"/>
      <c r="G6" s="17"/>
      <c r="H6" s="17"/>
      <c r="I6" s="18"/>
      <c r="J6" s="105" t="s">
        <v>30</v>
      </c>
      <c r="K6" s="17"/>
      <c r="L6" s="17"/>
      <c r="M6" s="17"/>
      <c r="N6" s="17"/>
      <c r="O6" s="17"/>
      <c r="P6" s="17"/>
      <c r="Q6" s="17"/>
      <c r="R6" s="17"/>
      <c r="S6" s="17"/>
      <c r="T6" s="17"/>
      <c r="U6" s="17"/>
      <c r="V6" s="17"/>
      <c r="W6" s="17"/>
      <c r="X6" s="17"/>
      <c r="Y6" s="18"/>
      <c r="Z6" s="106" t="s">
        <v>179</v>
      </c>
      <c r="AA6" s="17"/>
      <c r="AB6" s="17"/>
      <c r="AC6" s="17"/>
      <c r="AD6" s="17"/>
      <c r="AE6" s="17"/>
      <c r="AF6" s="17"/>
      <c r="AG6" s="18"/>
      <c r="AH6" s="107" t="s">
        <v>180</v>
      </c>
      <c r="AI6" s="17"/>
      <c r="AJ6" s="17"/>
      <c r="AK6" s="17"/>
      <c r="AL6" s="17"/>
      <c r="AM6" s="17"/>
      <c r="AN6" s="17"/>
      <c r="AO6" s="17"/>
      <c r="AP6" s="17"/>
      <c r="AQ6" s="17"/>
      <c r="AR6" s="17"/>
      <c r="AS6" s="18"/>
      <c r="AT6" s="108"/>
    </row>
    <row r="7">
      <c r="A7" s="86"/>
      <c r="B7" s="109" t="s">
        <v>181</v>
      </c>
      <c r="C7" s="110"/>
      <c r="D7" s="110"/>
      <c r="E7" s="110"/>
      <c r="F7" s="110"/>
      <c r="G7" s="110"/>
      <c r="H7" s="110"/>
      <c r="I7" s="90"/>
      <c r="J7" s="111" t="s">
        <v>182</v>
      </c>
      <c r="K7" s="110"/>
      <c r="L7" s="90"/>
      <c r="M7" s="112" t="s">
        <v>183</v>
      </c>
      <c r="N7" s="113" t="s">
        <v>184</v>
      </c>
      <c r="O7" s="110"/>
      <c r="P7" s="90"/>
      <c r="Q7" s="114" t="s">
        <v>185</v>
      </c>
      <c r="R7" s="17"/>
      <c r="S7" s="17"/>
      <c r="T7" s="17"/>
      <c r="U7" s="17"/>
      <c r="V7" s="17"/>
      <c r="W7" s="17"/>
      <c r="X7" s="17"/>
      <c r="Y7" s="18"/>
      <c r="Z7" s="115" t="s">
        <v>186</v>
      </c>
      <c r="AA7" s="110"/>
      <c r="AB7" s="110"/>
      <c r="AC7" s="110"/>
      <c r="AD7" s="90"/>
      <c r="AE7" s="116" t="s">
        <v>187</v>
      </c>
      <c r="AF7" s="110"/>
      <c r="AG7" s="90"/>
      <c r="AH7" s="117" t="s">
        <v>188</v>
      </c>
      <c r="AI7" s="110"/>
      <c r="AJ7" s="110"/>
      <c r="AK7" s="110"/>
      <c r="AL7" s="110"/>
      <c r="AM7" s="110"/>
      <c r="AN7" s="110"/>
      <c r="AO7" s="110"/>
      <c r="AP7" s="110"/>
      <c r="AQ7" s="110"/>
      <c r="AR7" s="110"/>
      <c r="AS7" s="90"/>
      <c r="AT7" s="108"/>
    </row>
    <row r="8">
      <c r="A8" s="86"/>
      <c r="B8" s="97"/>
      <c r="C8" s="118"/>
      <c r="D8" s="118"/>
      <c r="E8" s="118"/>
      <c r="F8" s="118"/>
      <c r="G8" s="118"/>
      <c r="H8" s="118"/>
      <c r="I8" s="98"/>
      <c r="J8" s="97"/>
      <c r="K8" s="118"/>
      <c r="L8" s="98"/>
      <c r="M8" s="119"/>
      <c r="N8" s="97"/>
      <c r="O8" s="118"/>
      <c r="P8" s="98"/>
      <c r="Q8" s="120" t="s">
        <v>133</v>
      </c>
      <c r="R8" s="17"/>
      <c r="S8" s="17"/>
      <c r="T8" s="17"/>
      <c r="U8" s="18"/>
      <c r="V8" s="120" t="s">
        <v>189</v>
      </c>
      <c r="W8" s="17"/>
      <c r="X8" s="17"/>
      <c r="Y8" s="18"/>
      <c r="Z8" s="97"/>
      <c r="AA8" s="118"/>
      <c r="AB8" s="118"/>
      <c r="AC8" s="118"/>
      <c r="AD8" s="98"/>
      <c r="AE8" s="93"/>
      <c r="AG8" s="94"/>
      <c r="AH8" s="97"/>
      <c r="AI8" s="118"/>
      <c r="AJ8" s="118"/>
      <c r="AK8" s="118"/>
      <c r="AL8" s="118"/>
      <c r="AM8" s="118"/>
      <c r="AN8" s="118"/>
      <c r="AO8" s="118"/>
      <c r="AP8" s="118"/>
      <c r="AQ8" s="118"/>
      <c r="AR8" s="118"/>
      <c r="AS8" s="98"/>
      <c r="AT8" s="108"/>
    </row>
    <row r="9" ht="19.5" customHeight="1">
      <c r="A9" s="103"/>
      <c r="B9" s="121" t="s">
        <v>190</v>
      </c>
      <c r="C9" s="121" t="s">
        <v>191</v>
      </c>
      <c r="D9" s="122" t="s">
        <v>14</v>
      </c>
      <c r="E9" s="123" t="s">
        <v>13</v>
      </c>
      <c r="F9" s="122" t="s">
        <v>192</v>
      </c>
      <c r="G9" s="122" t="s">
        <v>193</v>
      </c>
      <c r="H9" s="122" t="s">
        <v>194</v>
      </c>
      <c r="I9" s="122" t="s">
        <v>17</v>
      </c>
      <c r="J9" s="124" t="s">
        <v>35</v>
      </c>
      <c r="K9" s="124" t="s">
        <v>98</v>
      </c>
      <c r="L9" s="125" t="s">
        <v>195</v>
      </c>
      <c r="M9" s="126" t="s">
        <v>196</v>
      </c>
      <c r="N9" s="124" t="s">
        <v>35</v>
      </c>
      <c r="O9" s="124" t="s">
        <v>98</v>
      </c>
      <c r="P9" s="125" t="s">
        <v>195</v>
      </c>
      <c r="Q9" s="126" t="s">
        <v>197</v>
      </c>
      <c r="R9" s="126" t="s">
        <v>198</v>
      </c>
      <c r="S9" s="124" t="s">
        <v>132</v>
      </c>
      <c r="T9" s="125" t="s">
        <v>134</v>
      </c>
      <c r="U9" s="126" t="s">
        <v>135</v>
      </c>
      <c r="V9" s="127" t="s">
        <v>199</v>
      </c>
      <c r="W9" s="127" t="s">
        <v>135</v>
      </c>
      <c r="X9" s="127" t="s">
        <v>139</v>
      </c>
      <c r="Y9" s="127" t="s">
        <v>140</v>
      </c>
      <c r="Z9" s="128" t="s">
        <v>200</v>
      </c>
      <c r="AA9" s="129" t="s">
        <v>201</v>
      </c>
      <c r="AB9" s="130" t="s">
        <v>202</v>
      </c>
      <c r="AC9" s="131" t="s">
        <v>139</v>
      </c>
      <c r="AD9" s="132" t="s">
        <v>203</v>
      </c>
      <c r="AE9" s="97"/>
      <c r="AF9" s="118"/>
      <c r="AG9" s="98"/>
      <c r="AH9" s="133" t="s">
        <v>204</v>
      </c>
      <c r="AI9" s="134" t="s">
        <v>205</v>
      </c>
      <c r="AJ9" s="135" t="s">
        <v>206</v>
      </c>
      <c r="AK9" s="134" t="s">
        <v>207</v>
      </c>
      <c r="AL9" s="134" t="s">
        <v>208</v>
      </c>
      <c r="AM9" s="134" t="s">
        <v>209</v>
      </c>
      <c r="AN9" s="134" t="s">
        <v>210</v>
      </c>
      <c r="AO9" s="134" t="s">
        <v>211</v>
      </c>
      <c r="AP9" s="135" t="s">
        <v>212</v>
      </c>
      <c r="AQ9" s="135" t="s">
        <v>213</v>
      </c>
      <c r="AR9" s="135" t="s">
        <v>214</v>
      </c>
      <c r="AS9" s="136" t="s">
        <v>215</v>
      </c>
      <c r="AT9" s="108"/>
    </row>
    <row r="10" ht="19.5" customHeight="1">
      <c r="A10" s="103"/>
      <c r="B10" s="119"/>
      <c r="C10" s="119"/>
      <c r="D10" s="119"/>
      <c r="E10" s="119"/>
      <c r="F10" s="119"/>
      <c r="G10" s="119"/>
      <c r="H10" s="119"/>
      <c r="I10" s="119"/>
      <c r="J10" s="119"/>
      <c r="K10" s="119"/>
      <c r="L10" s="119"/>
      <c r="M10" s="119"/>
      <c r="N10" s="119"/>
      <c r="O10" s="119"/>
      <c r="P10" s="119"/>
      <c r="Q10" s="119"/>
      <c r="R10" s="119"/>
      <c r="S10" s="119"/>
      <c r="T10" s="119"/>
      <c r="U10" s="119"/>
      <c r="V10" s="119"/>
      <c r="W10" s="119"/>
      <c r="X10" s="119"/>
      <c r="Y10" s="119"/>
      <c r="Z10" s="119"/>
      <c r="AA10" s="119"/>
      <c r="AB10" s="119"/>
      <c r="AC10" s="119"/>
      <c r="AD10" s="119"/>
      <c r="AE10" s="137" t="s">
        <v>216</v>
      </c>
      <c r="AF10" s="137" t="s">
        <v>217</v>
      </c>
      <c r="AG10" s="138" t="s">
        <v>215</v>
      </c>
      <c r="AH10" s="119"/>
      <c r="AI10" s="119"/>
      <c r="AJ10" s="119"/>
      <c r="AK10" s="119"/>
      <c r="AL10" s="119"/>
      <c r="AM10" s="119"/>
      <c r="AN10" s="119"/>
      <c r="AO10" s="119"/>
      <c r="AP10" s="119"/>
      <c r="AQ10" s="119"/>
      <c r="AR10" s="119"/>
      <c r="AS10" s="38"/>
      <c r="AT10" s="108"/>
    </row>
    <row r="11">
      <c r="A11" s="139"/>
      <c r="B11" s="140" t="s">
        <v>218</v>
      </c>
      <c r="C11" s="141" t="str">
        <f>IFERROR(__xludf.DUMMYFUNCTION("IMPORTRANGE(""https://docs.google.com/spreadsheets/d/1jb-Y2U61z4qo5OkNqjzbe9ymB-LJip9QorHgxNn_v4Y/edit?gid=2098233099#gid=2098233099"",""Matriz_riesgos!C11:AS22"")"),"Orientar la gestión institucional desde un enfoque coherente y prospectivo, que permita identificar, formular y evaluar los elementos de direccionamiento estratégico requeridos para el cumplimiento de la misión y la satisfacción de las necesidades de los "&amp;"usuarios internos y externos. ")</f>
        <v>Orientar la gestión institucional desde un enfoque coherente y prospectivo, que permita identificar, formular y evaluar los elementos de direccionamiento estratégico requeridos para el cumplimiento de la misión y la satisfacción de las necesidades de los usuarios internos y externos. </v>
      </c>
      <c r="D11" s="142" t="str">
        <f>IFERROR(__xludf.DUMMYFUNCTION("""COMPUTED_VALUE"""),"Afectación económica y reputacional  por  el incumplimiento de los objetivos o productos de los proyectos de inversión")</f>
        <v>Afectación económica y reputacional  por  el incumplimiento de los objetivos o productos de los proyectos de inversión</v>
      </c>
      <c r="E11" s="143" t="str">
        <f>IFERROR(__xludf.DUMMYFUNCTION("""COMPUTED_VALUE"""),"Oficina de Planeación")</f>
        <v>Oficina de Planeación</v>
      </c>
      <c r="F11" s="144" t="str">
        <f>IFERROR(__xludf.DUMMYFUNCTION("""COMPUTED_VALUE"""),"Gestión")</f>
        <v>Gestión</v>
      </c>
      <c r="G11" s="144" t="str">
        <f>IFERROR(__xludf.DUMMYFUNCTION("""COMPUTED_VALUE"""),"- Estudios de precios del mercado que no se ajustan a la realidad")</f>
        <v>- Estudios de precios del mercado que no se ajustan a la realidad</v>
      </c>
      <c r="H11" s="144" t="str">
        <f>IFERROR(__xludf.DUMMYFUNCTION("""COMPUTED_VALUE"""),"- Sanciones fiscales por parte de los entes de control
- Sanciones disciplinarias por parte de los entes de control")</f>
        <v>- Sanciones fiscales por parte de los entes de control
- Sanciones disciplinarias por parte de los entes de control</v>
      </c>
      <c r="I11" s="145" t="str">
        <f>IFERROR(__xludf.DUMMYFUNCTION("""COMPUTED_VALUE"""),"DIE_01")</f>
        <v>DIE_01</v>
      </c>
      <c r="J11" s="145" t="str">
        <f>IFERROR(__xludf.DUMMYFUNCTION("""COMPUTED_VALUE"""),"Media")</f>
        <v>Media</v>
      </c>
      <c r="K11" s="145" t="str">
        <f>IFERROR(__xludf.DUMMYFUNCTION("""COMPUTED_VALUE"""),"Catastrófico")</f>
        <v>Catastrófico</v>
      </c>
      <c r="L11" s="145" t="str">
        <f>IFERROR(__xludf.DUMMYFUNCTION("""COMPUTED_VALUE"""),"Extrema")</f>
        <v>Extrema</v>
      </c>
      <c r="M11" s="144" t="str">
        <f>IFERROR(__xludf.DUMMYFUNCTION("""COMPUTED_VALUE"""),"- El supervisor del proyecto avala la redistribución en los costos de actividades sin afectar el alcance, productos y beneficiarios del proyecto
- El asesor de Planeación, contrasta el contenido de los informes de supervisión mensuales, con respecto a lo "&amp;"reportado en Gesproy 
- El supervisor del proyecto avala la ampliación del horizonte del proyecto  ")</f>
        <v>- El supervisor del proyecto avala la redistribución en los costos de actividades sin afectar el alcance, productos y beneficiarios del proyecto
- El asesor de Planeación, contrasta el contenido de los informes de supervisión mensuales, con respecto a lo reportado en Gesproy 
- El supervisor del proyecto avala la ampliación del horizonte del proyecto  </v>
      </c>
      <c r="N11" s="145" t="str">
        <f>IFERROR(__xludf.DUMMYFUNCTION("""COMPUTED_VALUE"""),"Media")</f>
        <v>Media</v>
      </c>
      <c r="O11" s="145" t="str">
        <f>IFERROR(__xludf.DUMMYFUNCTION("""COMPUTED_VALUE"""),"Moderado")</f>
        <v>Moderado</v>
      </c>
      <c r="P11" s="145" t="str">
        <f>IFERROR(__xludf.DUMMYFUNCTION("""COMPUTED_VALUE"""),"Alta")</f>
        <v>Alta</v>
      </c>
      <c r="Q11" s="146" t="str">
        <f>IFERROR(__xludf.DUMMYFUNCTION("""COMPUTED_VALUE"""),"Reducir")</f>
        <v>Reducir</v>
      </c>
      <c r="R11" s="147" t="str">
        <f>IFERROR(__xludf.DUMMYFUNCTION("""COMPUTED_VALUE"""),"Adopción de lineamientos para la gestión de proyectos financiados con recursos del sistema general de regalías")</f>
        <v>Adopción de lineamientos para la gestión de proyectos financiados con recursos del sistema general de regalías</v>
      </c>
      <c r="S11" s="148">
        <f>IFERROR(__xludf.DUMMYFUNCTION("""COMPUTED_VALUE"""),46010.0)</f>
        <v>46010</v>
      </c>
      <c r="T11" s="148" t="str">
        <f>IFERROR(__xludf.DUMMYFUNCTION("""COMPUTED_VALUE"""),"Rectoría -Oficina de Planeación ")</f>
        <v>Rectoría -Oficina de Planeación </v>
      </c>
      <c r="U11" s="148" t="str">
        <f>IFERROR(__xludf.DUMMYFUNCTION("""COMPUTED_VALUE"""),"Acto administrativo aprobado")</f>
        <v>Acto administrativo aprobado</v>
      </c>
      <c r="V11" s="149" t="str">
        <f>IFERROR(__xludf.DUMMYFUNCTION("""COMPUTED_VALUE"""),"Solicitar más recursos al SGR  o a la Institución ")</f>
        <v>Solicitar más recursos al SGR  o a la Institución </v>
      </c>
      <c r="W11" s="149" t="str">
        <f>IFERROR(__xludf.DUMMYFUNCTION("""COMPUTED_VALUE"""),"Formatos establecidos para la solicitud")</f>
        <v>Formatos establecidos para la solicitud</v>
      </c>
      <c r="X11" s="149" t="str">
        <f>IFERROR(__xludf.DUMMYFUNCTION("""COMPUTED_VALUE"""),"Supervisor del proyecto")</f>
        <v>Supervisor del proyecto</v>
      </c>
      <c r="Y11" s="149" t="str">
        <f>IFERROR(__xludf.DUMMYFUNCTION("""COMPUTED_VALUE"""),"60 días")</f>
        <v>60 días</v>
      </c>
      <c r="Z11" s="150" t="str">
        <f>IFERROR(__xludf.DUMMYFUNCTION("""COMPUTED_VALUE"""),"30 de abril")</f>
        <v>30 de abril</v>
      </c>
      <c r="AA11" s="151">
        <f>IFERROR(__xludf.DUMMYFUNCTION("""COMPUTED_VALUE"""),45722.0)</f>
        <v>45722</v>
      </c>
      <c r="AB11" s="150" t="str">
        <f>IFERROR(__xludf.DUMMYFUNCTION("""COMPUTED_VALUE"""),"Durante el periodo de motorieo no se materializó el riesgo. 
Acciones asociadas a los controles del riesgo
C 1. El día 06 de marzo, se realizó la sesión 001 de 2025 del Comité de Proyectos del Sistema de General de Regalías, en el cual se abordó la soli"&amp;"citud de redistribución de costos de actividades, del proyecto BPIN 2019000100057 – “Investigación de la transformación productiva del suelo de altillanura mediante la producción de cerdos de engorde a campo abierto, en predios de pequeños y medianos prod"&amp;"uctores, generando  empoderamiento de la mujer en Puerto López”, como resultado de dicha sesión, se obtuvo un documento de verificación para realización de subsanaciones; concepto favorable por  parte del Comité y certificación de aprobación emitida por l"&amp;"a Rectoría, en atención a lo previsto en la R.R 1211 de 2024.
C 2.  El 13 de marzo se radicó ante la Secretaría Técnica del OCAD de Ciencia, Tecnología e Innovación, la solicitud de ajuste del proyecto identificado con BPIN 2020000100115 - Fortalecimient"&amp;"o de capacidades instaladas de ciencia y tecnología de la Universidad de los Llanos para atender problemáticas asociadas con agentes biológicos y de contaminación con alto riesgo para la salud pública y ambiental en el Departamento del Meta, el cual conte"&amp;"mpla la adición de $ $ 539.448.680 y la ampliación del horizonte del proyecto a 73,6 meses. La solicitud fue revisada y avalado por la supervisión del proyecto y se suscribió por parte del Representante Legal, en  cumplimiento de lo requirido por el Siste"&amp;"ma General de Regalías.
Acciones asociadas al tratamiento 
A 1. Atención de los lineamientos cosignados en la Resolución Rectoral N° 1211 de 2024. ")</f>
        <v>Durante el periodo de motorieo no se materializó el riesgo. 
Acciones asociadas a los controles del riesgo
C 1. El día 06 de marzo, se realizó la sesión 001 de 2025 del Comité de Proyectos del Sistema de General de Regalías, en el cual se abordó la solicitud de redistribución de costos de actividades, del proyecto BPIN 2019000100057 – “Investigación de la transformación productiva del suelo de altillanura mediante la producción de cerdos de engorde a campo abierto, en predios de pequeños y medianos productores, generando  empoderamiento de la mujer en Puerto López”, como resultado de dicha sesión, se obtuvo un documento de verificación para realización de subsanaciones; concepto favorable por  parte del Comité y certificación de aprobación emitida por la Rectoría, en atención a lo previsto en la R.R 1211 de 2024.
C 2.  El 13 de marzo se radicó ante la Secretaría Técnica del OCAD de Ciencia, Tecnología e Innovación, la solicitud de ajuste del proyecto identificado con BPIN 2020000100115 - Fortalecimiento de capacidades instaladas de ciencia y tecnología de la Universidad de los Llanos para atender problemáticas asociadas con agentes biológicos y de contaminación con alto riesgo para la salud pública y ambiental en el Departamento del Meta, el cual contempla la adición de $ $ 539.448.680 y la ampliación del horizonte del proyecto a 73,6 meses. La solicitud fue revisada y avalado por la supervisión del proyecto y se suscribió por parte del Representante Legal, en  cumplimiento de lo requirido por el Sistema General de Regalías.
Acciones asociadas al tratamiento 
A 1. Atención de los lineamientos cosignados en la Resolución Rectoral N° 1211 de 2024. </v>
      </c>
      <c r="AC11" s="152" t="str">
        <f>IFERROR(__xludf.DUMMYFUNCTION("""COMPUTED_VALUE"""),"Comité de Proyectos del Sistema General de Regalías - Oficina de Plaenación en funciones de Secretaría Técnica")</f>
        <v>Comité de Proyectos del Sistema General de Regalías - Oficina de Plaenación en funciones de Secretaría Técnica</v>
      </c>
      <c r="AD11" s="153" t="str">
        <f>IFERROR(__xludf.DUMMYFUNCTION("""COMPUTED_VALUE"""),"Evidencia")</f>
        <v>Evidencia</v>
      </c>
      <c r="AE11" s="150" t="str">
        <f>IFERROR(__xludf.DUMMYFUNCTION("""COMPUTED_VALUE"""),"Si")</f>
        <v>Si</v>
      </c>
      <c r="AF11" s="150" t="str">
        <f>IFERROR(__xludf.DUMMYFUNCTION("""COMPUTED_VALUE"""),"En proceso")</f>
        <v>En proceso</v>
      </c>
      <c r="AG11" s="32" t="str">
        <f>IFERROR(__xludf.DUMMYFUNCTION("""COMPUTED_VALUE"""),"Al revisar el reporte del monitoreo, se encuentra: 
- Que se reporta el proceso informa que el riesgo no se materializó. 
Sobre las acciones asociadas a los controles: 
- Se evidencia reporte sobre las acciones asociadas a los controles, enfocado a q"&amp;"ue el supervisor revisa y avala la distribución de costos de los 2 proyectos mencionados. 
- No se evidencia algun soporte de supervisión frente al reporte en la plataforma GESPROY.
- Se evidencia que el supervisor reporta la ejecución de dos proyectos, s"&amp;"e evidencia el seguimiento sobre el horizonte del proyecto y sus redristribuciones dentro de las evidencias.
Observación: Se recomienda generar el reporte de avance en supervisión en el sistema GESPROY para el proximo monitoreo. 
- Sobre las acciones a"&amp;"sociadas al tratamiento: 
- Se evidencia dentro del reporte el acto administrativo para la atención de los proyectos financiados con recursos del Sistema General de Regalías, como reprote se entrega la resolución rectora N° 1211 de 2024. Dando cumplimien"&amp;"to con lo proyectado dentro de las acciones de tratamiento propuestas. ")</f>
        <v>Al revisar el reporte del monitoreo, se encuentra: 
- Que se reporta el proceso informa que el riesgo no se materializó. 
Sobre las acciones asociadas a los controles: 
- Se evidencia reporte sobre las acciones asociadas a los controles, enfocado a que el supervisor revisa y avala la distribución de costos de los 2 proyectos mencionados. 
- No se evidencia algun soporte de supervisión frente al reporte en la plataforma GESPROY.
- Se evidencia que el supervisor reporta la ejecución de dos proyectos, se evidencia el seguimiento sobre el horizonte del proyecto y sus redristribuciones dentro de las evidencias.
Observación: Se recomienda generar el reporte de avance en supervisión en el sistema GESPROY para el proximo monitoreo. 
- Sobre las acciones asociadas al tratamiento: 
- Se evidencia dentro del reporte el acto administrativo para la atención de los proyectos financiados con recursos del Sistema General de Regalías, como reprote se entrega la resolución rectora N° 1211 de 2024. Dando cumplimiento con lo proyectado dentro de las acciones de tratamiento propuestas. </v>
      </c>
      <c r="AH11" s="150" t="str">
        <f>IFERROR(__xludf.DUMMYFUNCTION("""COMPUTED_VALUE"""),"30 de abril")</f>
        <v>30 de abril</v>
      </c>
      <c r="AI11" s="32" t="str">
        <f>IFERROR(__xludf.DUMMYFUNCTION("""COMPUTED_VALUE"""),"Si")</f>
        <v>Si</v>
      </c>
      <c r="AJ11" s="32" t="str">
        <f>IFERROR(__xludf.DUMMYFUNCTION("""COMPUTED_VALUE"""),"Si")</f>
        <v>Si</v>
      </c>
      <c r="AK11" s="32" t="str">
        <f>IFERROR(__xludf.DUMMYFUNCTION("""COMPUTED_VALUE"""),"Si")</f>
        <v>Si</v>
      </c>
      <c r="AL11" s="154" t="str">
        <f>IFERROR(__xludf.DUMMYFUNCTION("""COMPUTED_VALUE"""),"Si")</f>
        <v>Si</v>
      </c>
      <c r="AM11" s="154" t="str">
        <f>IFERROR(__xludf.DUMMYFUNCTION("""COMPUTED_VALUE"""),"Si")</f>
        <v>Si</v>
      </c>
      <c r="AN11" s="154" t="str">
        <f>IFERROR(__xludf.DUMMYFUNCTION("""COMPUTED_VALUE"""),"Si")</f>
        <v>Si</v>
      </c>
      <c r="AO11" s="154" t="str">
        <f>IFERROR(__xludf.DUMMYFUNCTION("""COMPUTED_VALUE"""),"No")</f>
        <v>No</v>
      </c>
      <c r="AP11" s="154" t="str">
        <f>IFERROR(__xludf.DUMMYFUNCTION("""COMPUTED_VALUE"""),"No aplica")</f>
        <v>No aplica</v>
      </c>
      <c r="AQ11" s="154" t="str">
        <f>IFERROR(__xludf.DUMMYFUNCTION("""COMPUTED_VALUE"""),"No aplica")</f>
        <v>No aplica</v>
      </c>
      <c r="AR11" s="154" t="str">
        <f>IFERROR(__xludf.DUMMYFUNCTION("""COMPUTED_VALUE"""),"No aplica")</f>
        <v>No aplica</v>
      </c>
      <c r="AS11" s="155" t="str">
        <f>IFERROR(__xludf.DUMMYFUNCTION("""COMPUTED_VALUE"""),"En concordancia con el resultado del monitoreo realizado por la segunda línea de defensa, el proceso debe reportar el avance de ejecución del control definido como ""El asesor de Planeación, contrasta el contenido de los informes de supervisión mensuales,"&amp;" con respecto a lo reportado en Gesproy.""
Adicionalmente, no se reporta de manera clara el resultado de la ejecución de la acción asociada al tratamiento que corresponde a: ""Adopción de lineamientos para la gestión de proyectos financiados con recursos"&amp;" del sistema general de regalías""
Recomendaciones:
*Mejorar la calidad de la evidencia, toda vez que se aportó registro denominado ""Registro votación y observaciones sesión N° 1 de 2025 Comité SGR"", el cual se evidencia de manera parcial, lo que no pe"&amp;"rmite establecer los datos relacionados con la identificación plena de la sesión del comite, fecha, participantes y firmas correspondientes. Se requiere que la evidencia sea competente, es decir con calidad en relación a su relevancia y confiabilidad y su"&amp;"ficiente en términos de cantidad y completitud, que permita demostrar de manera íntegra el hecho.
*Evaluar la pertinencia, enfoque y fecha de ejecución de la acción asociada al tratamiento ""Adopción de lineamientos para la gestión de proyectos financiad"&amp;"os con recursos del sistema general de regalías"", toda vez que ya se cumplió con la expedición del acto administrativo que establece, dichos lineamientos, por tanto mantener este aspecto como una acción asociada al control debería considerar lo propuesto"&amp;" en la Guía para la Administración del Riesgo y el diseño de controles en entidades públicas Versión 6 , que indica: ""Frente al plan de acción referido para la opción de reducir, es importante mencionar que, conceptualmente y de manera general, se trata "&amp;"de una herramienta de planificación empleada para la gestión y control de tareas o proyectos. Para efectos del mapa de riesgos, cuando se define la opción de reducir, se requerirá la definición de un plan de acción que especifique: i) responsable, ii) fec"&amp;"ha de implementación, y iii) fecha de seguimiento."".")</f>
        <v>En concordancia con el resultado del monitoreo realizado por la segunda línea de defensa, el proceso debe reportar el avance de ejecución del control definido como "El asesor de Planeación, contrasta el contenido de los informes de supervisión mensuales, con respecto a lo reportado en Gesproy."
Adicionalmente, no se reporta de manera clara el resultado de la ejecución de la acción asociada al tratamiento que corresponde a: "Adopción de lineamientos para la gestión de proyectos financiados con recursos del sistema general de regalías"
Recomendaciones:
*Mejorar la calidad de la evidencia, toda vez que se aportó registro denominado "Registro votación y observaciones sesión N° 1 de 2025 Comité SGR", el cual se evidencia de manera parcial, lo que no permite establecer los datos relacionados con la identificación plena de la sesión del comite, fecha, participantes y firmas correspondientes. Se requiere que la evidencia sea competente, es decir con calidad en relación a su relevancia y confiabilidad y suficiente en términos de cantidad y completitud, que permita demostrar de manera íntegra el hecho.
*Evaluar la pertinencia, enfoque y fecha de ejecución de la acción asociada al tratamiento "Adopción de lineamientos para la gestión de proyectos financiados con recursos del sistema general de regalías", toda vez que ya se cumplió con la expedición del acto administrativo que establece, dichos lineamientos, por tanto mantener este aspecto como una acción asociada al control debería considerar lo propuesto en la Guía para la Administración del Riesgo y el diseño de controles en entidades públicas Versión 6 , que indica: "Frente al plan de acción referido para la opción de reducir, es importante mencionar que, conceptualmente y de manera general, se trata de una herramienta de planificación empleada para la gestión y control de tareas o proyectos. Para efectos del mapa de riesgos, cuando se define la opción de reducir, se requerirá la definición de un plan de acción que especifique: i) responsable, ii) fecha de implementación, y iii) fecha de seguimiento.".</v>
      </c>
      <c r="AT11" s="139"/>
    </row>
    <row r="12">
      <c r="A12" s="139"/>
      <c r="B12" s="73"/>
      <c r="C12" s="73"/>
      <c r="D12" s="73"/>
      <c r="E12" s="94"/>
      <c r="F12" s="156"/>
      <c r="G12" s="156"/>
      <c r="H12" s="156"/>
      <c r="I12" s="156"/>
      <c r="J12" s="156"/>
      <c r="K12" s="156"/>
      <c r="L12" s="156"/>
      <c r="M12" s="156"/>
      <c r="N12" s="156"/>
      <c r="O12" s="156"/>
      <c r="P12" s="156"/>
      <c r="Q12" s="157"/>
      <c r="R12" s="158" t="str">
        <f>IFERROR(__xludf.DUMMYFUNCTION("""COMPUTED_VALUE"""),"")</f>
        <v/>
      </c>
      <c r="S12" s="159" t="str">
        <f>IFERROR(__xludf.DUMMYFUNCTION("""COMPUTED_VALUE"""),"")</f>
        <v/>
      </c>
      <c r="T12" s="159" t="str">
        <f>IFERROR(__xludf.DUMMYFUNCTION("""COMPUTED_VALUE"""),"")</f>
        <v/>
      </c>
      <c r="U12" s="159" t="str">
        <f>IFERROR(__xludf.DUMMYFUNCTION("""COMPUTED_VALUE"""),"")</f>
        <v/>
      </c>
      <c r="V12" s="94"/>
      <c r="W12" s="94"/>
      <c r="X12" s="94"/>
      <c r="Y12" s="94"/>
      <c r="Z12" s="150" t="str">
        <f>IFERROR(__xludf.DUMMYFUNCTION("""COMPUTED_VALUE"""),"30 de agosto")</f>
        <v>30 de agosto</v>
      </c>
      <c r="AA12" s="32" t="str">
        <f>IFERROR(__xludf.DUMMYFUNCTION("""COMPUTED_VALUE"""),"mayo - agosto 2025")</f>
        <v>mayo - agosto 2025</v>
      </c>
      <c r="AB12" s="150" t="str">
        <f>IFERROR(__xludf.DUMMYFUNCTION("""COMPUTED_VALUE"""),"Durante el periodo de monitoreo no se materializó el riesgo. 
Acciones asociadas a los controles del riesgo
C 1. El día 06 de mayo, se realizó la sesión 004 de 2025 del Comité de Proyectos del Sistema de General de Regalías, en la cual se abordó lo rela"&amp;"cionado con Socialización y análisis respuesta emitida por parte del OCAD, a la solicitud de ajuste del proyecto de inversión identificado con código BPIN 2020000100115 “Fortalecimiento de capacidades instaladas de ciencia y tecnología de la Universidad d"&amp;"e los Llanos para atender problemáticas asociadas con agentes biológicos y de contaminación con alto riesgo para la salud pública y ambiental en el Departamento del Meta”, como resultado de dicha sesión, se realizó la asignación de responsables para dar a"&amp;"lcance a cada una de las observaciones, y en virtud de dicho ejercicio se procedió con la consolidación de la respuesta.
C 2. El día 30 de mayo, se realizó la sesión 005 de 2025 del Comité de Proyectos del Sistema de General de Regalías, en la cual se ab"&amp;"ordó Verificación de documentos para trámite de ampliación del horizonte de la etapa de ejecución del proyecto y redistribución de costos de actividades asociadas a los productos, del proyecto de inversión BPIN 2017000100107 denominado “Implementación DE "&amp;"UN MODELO DE APROPIACIÓN SOCIAL DEL CONOCIMIENTO PARA LA OPTIMIZACIÓN DE LA PRODUCCIÓN AGROPECUARIA CON PEQUEÑOS PRODUCTORES Vichada”, como resultado de dicha sesión, se notificó acerca de la necesidad de contar con el documento de aval por parte del Cons"&amp;"ejo Institucional de Investigaciones como requisito previo al otorgamiento del concepto favorable. 
C 3. El día 25 de junio, se realizó la sesión 006 de 2025 del Comité de Proyectos del Sistema de General de Regalías, en la cual se abordó la verificación"&amp;" documentos para trámite de ampliación del horizonte de ejecución por cinco (5) meses, del proyecto BPIN 2019000100060 titulado “Implementación de una Red de Investigación, Desarrollo Tecnológico e Innovación en Patología Digital (RedPat) soportada por te"&amp;"cnologías de la Industria 4.0 en el Meta” y la verificación documentos para trámite de ampliación del horizonte de ejecución por nueve (9) meses, del proyecto BPIN 2021000100384 titulado “Investigación de biocarbonos para enmiendas y retención de cadmio e"&amp;"n suelos: una alternativa de aprovechamiento de residuos lignocelulósicos del departamento del Meta”; como resultado de dicha sesión, se expidieron los respectivos conceptos favorables por  parte del Comité y las certificaciones de aprobación emitidas por"&amp;" la Rectoría, en atención a lo previsto en la R.R 1211 de 2024.
C 4. El día 22 de julio, se realizó la sesión 007 de 2025 del Comité de Proyectos del Sistema de General de Regalías, en la cual se abordó la verificación de documentos para trámite de ampli"&amp;"ación del horizonte de la etapa de ejecución del proyecto y redistribución de costos de actividades asociadas a los productos, del proyecto de inversión BPIN 2017000100107 denominado “Implementación DE UN MODELO DE APROPIACIÓN SOCIAL DEL CONOCIMIENTO PARA"&amp;" LA OPTIMIZACIÓN DE LA PRODUCCIÓN AGROPECUARIA CON PEQUEÑOS PRODUCTORES Vichada”, y la Verificación de documentos para trámite de redistribución del valor de actividades del proyecto: ""Fortalecimiento de capacidades instaladas de ciencia y tecnología de "&amp;"la Universidad de los Llanos para atender problemáticas asociadas con agentes biológicos y de contaminación con alto riesgo para la salud pública y ambiental en el Departamento del Meta"" con código BPIN 2020000100115""; como resultado de dicha sesión, se"&amp;" expidieron los respectivos conceptos favorables por  parte del Comité y las certificaciones de aprobación emitidas por la Rectoría, en atención a lo previsto en la R.R 1211 de 2024.
C 5. El día 11 de agosto, se realizó la sesión 008 de 2025 del Comité d"&amp;"e Proyectos del Sistema de General de Regalías, en la cual se abordó la Verificación de documentos para trámite de ampliación del horizonte de la etapa de ejecución del proyecto por seis (6) meses y redistribución de costos de actividades asociadas a los "&amp;"productos, del proyecto de inversión BPIN 2019000100057 denominado “Investigación de la transformación productiva del suelo de altillanura mediante la producción de cerdos de engorde a campo abierto, en predios de pequeños y medianos productores, generand"&amp;"o empoderamiento de la mujer en Puerto López”; como resultado de dicha sesión, se expidió el respectivo concepto favorable por  parte del Comité y las certificación de aprobación emitidas por la Rectoría, en atención a lo previsto en la R.R 1211 de 2024.
"&amp;"
C 6.  El 01 de agosto se radicó ante la Secretaría Técnica del OCAD de Ciencia, Tecnología e Innovación, la respuesta a la observaciones generadas en el marco de la solicitud de ajuste al proyecto de inversión BPIN 2020000100115 - Fortalecimiento de capa"&amp;"cidades instaladas de ciencia y tecnología de la Universidad de los Llanos para atender problemáticas asociadas con agentes biológicos y de contaminación con alto riesgo para la salud pública y ambiental en el Departamento del Meta, el cual contempla la a"&amp;"dición de $ $ 539.448.680 y la ampliación del horizonte del proyecto a 73,6 meses. La solicitud fue revisada y avalado por la supervisión del proyecto y se suscribió por parte del Representante Legal, en cumplimiento de lo requerido por el Sistema General"&amp;" de Regalías.
Acciones asociadas al tratamiento 
A 1. Atención de los lineamientos consignados en la Resolución Rectoral N° 1211 de 2024
")</f>
        <v>Durante el periodo de monitoreo no se materializó el riesgo. 
Acciones asociadas a los controles del riesgo
C 1. El día 06 de mayo, se realizó la sesión 004 de 2025 del Comité de Proyectos del Sistema de General de Regalías, en la cual se abordó lo relacionado con Socialización y análisis respuesta emitida por parte del OCAD, a la solicitud de ajuste del proyecto de inversión identificado con código BPIN 2020000100115 “Fortalecimiento de capacidades instaladas de ciencia y tecnología de la Universidad de los Llanos para atender problemáticas asociadas con agentes biológicos y de contaminación con alto riesgo para la salud pública y ambiental en el Departamento del Meta”, como resultado de dicha sesión, se realizó la asignación de responsables para dar alcance a cada una de las observaciones, y en virtud de dicho ejercicio se procedió con la consolidación de la respuesta.
C 2. El día 30 de mayo, se realizó la sesión 005 de 2025 del Comité de Proyectos del Sistema de General de Regalías, en la cual se abordó Verificación de documentos para trámite de ampliación del horizonte de la etapa de ejecución del proyecto y redistribución de costos de actividades asociadas a los productos, del proyecto de inversión BPIN 2017000100107 denominado “Implementación DE UN MODELO DE APROPIACIÓN SOCIAL DEL CONOCIMIENTO PARA LA OPTIMIZACIÓN DE LA PRODUCCIÓN AGROPECUARIA CON PEQUEÑOS PRODUCTORES Vichada”, como resultado de dicha sesión, se notificó acerca de la necesidad de contar con el documento de aval por parte del Consejo Institucional de Investigaciones como requisito previo al otorgamiento del concepto favorable. 
C 3. El día 25 de junio, se realizó la sesión 006 de 2025 del Comité de Proyectos del Sistema de General de Regalías, en la cual se abordó la verificación documentos para trámite de ampliación del horizonte de ejecución por cinco (5) meses, del proyecto BPIN 2019000100060 titulado “Implementación de una Red de Investigación, Desarrollo Tecnológico e Innovación en Patología Digital (RedPat) soportada por tecnologías de la Industria 4.0 en el Meta” y la verificación documentos para trámite de ampliación del horizonte de ejecución por nueve (9) meses, del proyecto BPIN 2021000100384 titulado “Investigación de biocarbonos para enmiendas y retención de cadmio en suelos: una alternativa de aprovechamiento de residuos lignocelulósicos del departamento del Meta”; como resultado de dicha sesión, se expidieron los respectivos conceptos favorables por  parte del Comité y las certificaciones de aprobación emitidas por la Rectoría, en atención a lo previsto en la R.R 1211 de 2024.
C 4. El día 22 de julio, se realizó la sesión 007 de 2025 del Comité de Proyectos del Sistema de General de Regalías, en la cual se abordó la verificación de documentos para trámite de ampliación del horizonte de la etapa de ejecución del proyecto y redistribución de costos de actividades asociadas a los productos, del proyecto de inversión BPIN 2017000100107 denominado “Implementación DE UN MODELO DE APROPIACIÓN SOCIAL DEL CONOCIMIENTO PARA LA OPTIMIZACIÓN DE LA PRODUCCIÓN AGROPECUARIA CON PEQUEÑOS PRODUCTORES Vichada”, y la Verificación de documentos para trámite de redistribución del valor de actividades del proyecto: "Fortalecimiento de capacidades instaladas de ciencia y tecnología de la Universidad de los Llanos para atender problemáticas asociadas con agentes biológicos y de contaminación con alto riesgo para la salud pública y ambiental en el Departamento del Meta" con código BPIN 2020000100115"; como resultado de dicha sesión, se expidieron los respectivos conceptos favorables por  parte del Comité y las certificaciones de aprobación emitidas por la Rectoría, en atención a lo previsto en la R.R 1211 de 2024.
C 5. El día 11 de agosto, se realizó la sesión 008 de 2025 del Comité de Proyectos del Sistema de General de Regalías, en la cual se abordó la Verificación de documentos para trámite de ampliación del horizonte de la etapa de ejecución del proyecto por seis (6) meses y redistribución de costos de actividades asociadas a los productos, del proyecto de inversión BPIN 2019000100057 denominado “Investigación de la transformación productiva del suelo de altillanura mediante la producción de cerdos de engorde a campo abierto, en predios de pequeños y medianos productores, generando empoderamiento de la mujer en Puerto López”; como resultado de dicha sesión, se expidió el respectivo concepto favorable por  parte del Comité y las certificación de aprobación emitidas por la Rectoría, en atención a lo previsto en la R.R 1211 de 2024.
C 6.  El 01 de agosto se radicó ante la Secretaría Técnica del OCAD de Ciencia, Tecnología e Innovación, la respuesta a la observaciones generadas en el marco de la solicitud de ajuste al proyecto de inversión BPIN 2020000100115 - Fortalecimiento de capacidades instaladas de ciencia y tecnología de la Universidad de los Llanos para atender problemáticas asociadas con agentes biológicos y de contaminación con alto riesgo para la salud pública y ambiental en el Departamento del Meta, el cual contempla la adición de $ $ 539.448.680 y la ampliación del horizonte del proyecto a 73,6 meses. La solicitud fue revisada y avalado por la supervisión del proyecto y se suscribió por parte del Representante Legal, en cumplimiento de lo requerido por el Sistema General de Regalías.
Acciones asociadas al tratamiento 
A 1. Atención de los lineamientos consignados en la Resolución Rectoral N° 1211 de 2024
</v>
      </c>
      <c r="AC12" s="152" t="str">
        <f>IFERROR(__xludf.DUMMYFUNCTION("""COMPUTED_VALUE"""),"Comité de Proyectos del Sistema General de Regalías - Oficina de Plaenación en funciones de Secretaría Técnica")</f>
        <v>Comité de Proyectos del Sistema General de Regalías - Oficina de Plaenación en funciones de Secretaría Técnica</v>
      </c>
      <c r="AD12" s="160" t="str">
        <f>IFERROR(__xludf.DUMMYFUNCTION("""COMPUTED_VALUE"""),"Evidencia")</f>
        <v>Evidencia</v>
      </c>
      <c r="AE12" s="150" t="str">
        <f>IFERROR(__xludf.DUMMYFUNCTION("""COMPUTED_VALUE"""),"Si")</f>
        <v>Si</v>
      </c>
      <c r="AF12" s="152" t="str">
        <f>IFERROR(__xludf.DUMMYFUNCTION("""COMPUTED_VALUE"""),"En proceso")</f>
        <v>En proceso</v>
      </c>
      <c r="AG12" s="32" t="str">
        <f>IFERROR(__xludf.DUMMYFUNCTION("""COMPUTED_VALUE"""),"Al revisar el reporte del monitoreo, se encuentra:
Que el proceso informa que el riesgo no se materializó.
Sobre las acciones asociadas a los controles:
Se evidencia reporte detallado de los controles implementados (C1 a C6), correspondientes a las ses"&amp;"iones 004 a 008 de 2025 del Comité de Proyectos del Sistema General de Regalías, en las cuales se abordaron solicitudes de ajuste, redistribuciones de costos y ampliaciones de horizonte de ejecución de diferentes proyectos BPIN.
Se evidencia la participa"&amp;"ción activa del supervisor del proyecto, la Rectoría y el Comité de Proyectos, quienes emitieron conceptos favorables, certificaciones y avales en cumplimiento de la Resolución Rectoral 1211 de 2024.
Se evidencia también la radicación de documentos ante "&amp;"la Secretaría Técnica del OCAD, con soporte de las gestiones adelantadas.
No obstante, no se evidencia dentro del reporte soporte frente a la verificación de los informes de supervisión en la plataforma GESPROY, de acuerdo con lo planteado en los control"&amp;"es definidos para el riesgo.
Observación: Se recomienda generar y adjuntar en próximos monitoreos los reportes de supervisión en GESPROY, a fin de fortalecer la trazabilidad y evidencia de la gestión del riesgo.
Sobre las acciones asociadas al tratamien"&amp;"to:
Se evidencia cumplimiento de la acción de tratamiento a través de la atención de los lineamientos consignados en la Resolución Rectoral N° 1211 de 2024, lo cual respalda la gestión de los proyectos financiados con recursos del Sistema General de Rega"&amp;"lías y corresponde a lo programado en la matriz de riesgos.")</f>
        <v>Al revisar el reporte del monitoreo, se encuentra:
Que el proceso informa que el riesgo no se materializó.
Sobre las acciones asociadas a los controles:
Se evidencia reporte detallado de los controles implementados (C1 a C6), correspondientes a las sesiones 004 a 008 de 2025 del Comité de Proyectos del Sistema General de Regalías, en las cuales se abordaron solicitudes de ajuste, redistribuciones de costos y ampliaciones de horizonte de ejecución de diferentes proyectos BPIN.
Se evidencia la participación activa del supervisor del proyecto, la Rectoría y el Comité de Proyectos, quienes emitieron conceptos favorables, certificaciones y avales en cumplimiento de la Resolución Rectoral 1211 de 2024.
Se evidencia también la radicación de documentos ante la Secretaría Técnica del OCAD, con soporte de las gestiones adelantadas.
No obstante, no se evidencia dentro del reporte soporte frente a la verificación de los informes de supervisión en la plataforma GESPROY, de acuerdo con lo planteado en los controles definidos para el riesgo.
Observación: Se recomienda generar y adjuntar en próximos monitoreos los reportes de supervisión en GESPROY, a fin de fortalecer la trazabilidad y evidencia de la gestión del riesgo.
Sobre las acciones asociadas al tratamiento:
Se evidencia cumplimiento de la acción de tratamiento a través de la atención de los lineamientos consignados en la Resolución Rectoral N° 1211 de 2024, lo cual respalda la gestión de los proyectos financiados con recursos del Sistema General de Regalías y corresponde a lo programado en la matriz de riesgos.</v>
      </c>
      <c r="AH12" s="150" t="str">
        <f>IFERROR(__xludf.DUMMYFUNCTION("""COMPUTED_VALUE"""),"31 de agosto")</f>
        <v>31 de agosto</v>
      </c>
      <c r="AI12" s="32" t="str">
        <f>IFERROR(__xludf.DUMMYFUNCTION("""COMPUTED_VALUE"""),"Si")</f>
        <v>Si</v>
      </c>
      <c r="AJ12" s="32" t="str">
        <f>IFERROR(__xludf.DUMMYFUNCTION("""COMPUTED_VALUE"""),"Si")</f>
        <v>Si</v>
      </c>
      <c r="AK12" s="32" t="str">
        <f>IFERROR(__xludf.DUMMYFUNCTION("""COMPUTED_VALUE"""),"Si")</f>
        <v>Si</v>
      </c>
      <c r="AL12" s="32" t="str">
        <f>IFERROR(__xludf.DUMMYFUNCTION("""COMPUTED_VALUE"""),"Si")</f>
        <v>Si</v>
      </c>
      <c r="AM12" s="32" t="str">
        <f>IFERROR(__xludf.DUMMYFUNCTION("""COMPUTED_VALUE"""),"No")</f>
        <v>No</v>
      </c>
      <c r="AN12" s="32" t="str">
        <f>IFERROR(__xludf.DUMMYFUNCTION("""COMPUTED_VALUE"""),"Si")</f>
        <v>Si</v>
      </c>
      <c r="AO12" s="32" t="str">
        <f>IFERROR(__xludf.DUMMYFUNCTION("""COMPUTED_VALUE"""),"No")</f>
        <v>No</v>
      </c>
      <c r="AP12" s="32" t="str">
        <f>IFERROR(__xludf.DUMMYFUNCTION("""COMPUTED_VALUE"""),"No aplica")</f>
        <v>No aplica</v>
      </c>
      <c r="AQ12" s="32" t="str">
        <f>IFERROR(__xludf.DUMMYFUNCTION("""COMPUTED_VALUE"""),"No aplica")</f>
        <v>No aplica</v>
      </c>
      <c r="AR12" s="32" t="str">
        <f>IFERROR(__xludf.DUMMYFUNCTION("""COMPUTED_VALUE"""),"No aplica")</f>
        <v>No aplica</v>
      </c>
      <c r="AS12" s="150" t="str">
        <f>IFERROR(__xludf.DUMMYFUNCTION("""COMPUTED_VALUE"""),"Se reitera hallazgo de la evaluación del primer cuatrimestre: En concordancia con el resultado del monitoreo realizado por la segunda línea de defensa, el proceso debe reportar el avance de ejecución del control definido como ""El asesor de Planeación, co"&amp;"ntrasta el contenido de los informes de supervisión mensuales, con respecto a lo reportado en Gesproy.""  Al no poder evidenciarse los reportes de Gesproy, no es posible verificar la efectividad del control establecido.
")</f>
        <v>Se reitera hallazgo de la evaluación del primer cuatrimestre: En concordancia con el resultado del monitoreo realizado por la segunda línea de defensa, el proceso debe reportar el avance de ejecución del control definido como "El asesor de Planeación, contrasta el contenido de los informes de supervisión mensuales, con respecto a lo reportado en Gesproy."  Al no poder evidenciarse los reportes de Gesproy, no es posible verificar la efectividad del control establecido.
</v>
      </c>
      <c r="AT12" s="139"/>
    </row>
    <row r="13">
      <c r="A13" s="161"/>
      <c r="B13" s="73"/>
      <c r="C13" s="73"/>
      <c r="D13" s="38"/>
      <c r="E13" s="98"/>
      <c r="F13" s="119"/>
      <c r="G13" s="119"/>
      <c r="H13" s="119"/>
      <c r="I13" s="119"/>
      <c r="J13" s="119"/>
      <c r="K13" s="119"/>
      <c r="L13" s="119"/>
      <c r="M13" s="119"/>
      <c r="N13" s="119"/>
      <c r="O13" s="119"/>
      <c r="P13" s="119"/>
      <c r="Q13" s="162"/>
      <c r="R13" s="163" t="str">
        <f>IFERROR(__xludf.DUMMYFUNCTION("""COMPUTED_VALUE"""),"")</f>
        <v/>
      </c>
      <c r="S13" s="164" t="str">
        <f>IFERROR(__xludf.DUMMYFUNCTION("""COMPUTED_VALUE"""),"")</f>
        <v/>
      </c>
      <c r="T13" s="164" t="str">
        <f>IFERROR(__xludf.DUMMYFUNCTION("""COMPUTED_VALUE"""),"")</f>
        <v/>
      </c>
      <c r="U13" s="164" t="str">
        <f>IFERROR(__xludf.DUMMYFUNCTION("""COMPUTED_VALUE"""),"")</f>
        <v/>
      </c>
      <c r="V13" s="98"/>
      <c r="W13" s="98"/>
      <c r="X13" s="98"/>
      <c r="Y13" s="98"/>
      <c r="Z13" s="150" t="str">
        <f>IFERROR(__xludf.DUMMYFUNCTION("""COMPUTED_VALUE"""),"30 de diciembre")</f>
        <v>30 de diciembre</v>
      </c>
      <c r="AA13" s="165">
        <f>IFERROR(__xludf.DUMMYFUNCTION("""COMPUTED_VALUE"""),45996.0)</f>
        <v>45996</v>
      </c>
      <c r="AB13" s="150" t="str">
        <f>IFERROR(__xludf.DUMMYFUNCTION("""COMPUTED_VALUE"""),"Durante el periodo de monitoreo, se materializó el riesgo de la siguiente manera:
•        Recursos insuficientes para el desarrollo de una de las actividades del proyecto de inversión 2020000100115 Fortalecimiento de capacidades instaladas de ciencia y "&amp;"tecnología de la Universidad de los Llanos para atender problemáticas asociadas con agentes biológicos y de contaminación con alto riesgo para la salud pública y ambiental en el Departamento del Meta. 
Acciones de contingencia implementadas
A1: Se reali"&amp;"zó la solicitud de ajuste al valor del proyecto ante el OCAD CTeI, es decir, un incremento para cubrir la actividad relacionada con la Adecuación de infraestructura; para ello la Universidad de los Llanos ha dispuesto de un total de $ 517.320.145 con carg"&amp;"os a recursos de funcionamiento. A la fecha, se está a la espera de la respuesta a la solicitud.  
Acciones asociadas a los controles del riesgo
C1: Con respecto a los controles asociados a modificación del proyecto, es decir, redistribuciones y ampliac"&amp;"ión de horizonte, se precisa que, no se presentaron situaciones de este tipo en este periodo 
C2: La Oficina de Planeación de manera mensual solicita los informes GESPROY en los formatos institucionales definidos, con el propósito de revisar y contrastar"&amp;" tu contenido versus lo reportado por cada supervisor en el aplicativo GESPROY, con el propósito de proceder con la acción de aprueba y envía en el mismo aplicativo.
Acciones asociadas al tratamiento
A 1. Atención de los lineamientos consignados en la "&amp;"Resolución Rectoral N° 1211 de 2024. "", las cuales, se aplicaron en el marco de las sesiones del Comité de proyectos convocadas para el periodo de monitoreo, en las cuales se revisaron propuestas de iniciativas de inversión en el marco de nuevas convocat"&amp;"orias de CteI. 
")</f>
        <v>Durante el periodo de monitoreo, se materializó el riesgo de la siguiente manera:
•        Recursos insuficientes para el desarrollo de una de las actividades del proyecto de inversión 2020000100115 Fortalecimiento de capacidades instaladas de ciencia y tecnología de la Universidad de los Llanos para atender problemáticas asociadas con agentes biológicos y de contaminación con alto riesgo para la salud pública y ambiental en el Departamento del Meta. 
Acciones de contingencia implementadas
A1: Se realizó la solicitud de ajuste al valor del proyecto ante el OCAD CTeI, es decir, un incremento para cubrir la actividad relacionada con la Adecuación de infraestructura; para ello la Universidad de los Llanos ha dispuesto de un total de $ 517.320.145 con cargos a recursos de funcionamiento. A la fecha, se está a la espera de la respuesta a la solicitud.  
Acciones asociadas a los controles del riesgo
C1: Con respecto a los controles asociados a modificación del proyecto, es decir, redistribuciones y ampliación de horizonte, se precisa que, no se presentaron situaciones de este tipo en este periodo 
C2: La Oficina de Planeación de manera mensual solicita los informes GESPROY en los formatos institucionales definidos, con el propósito de revisar y contrastar tu contenido versus lo reportado por cada supervisor en el aplicativo GESPROY, con el propósito de proceder con la acción de aprueba y envía en el mismo aplicativo.
Acciones asociadas al tratamiento
A 1. Atención de los lineamientos consignados en la Resolución Rectoral N° 1211 de 2024. ", las cuales, se aplicaron en el marco de las sesiones del Comité de proyectos convocadas para el periodo de monitoreo, en las cuales se revisaron propuestas de iniciativas de inversión en el marco de nuevas convocatorias de CteI. 
</v>
      </c>
      <c r="AC13" s="152" t="str">
        <f>IFERROR(__xludf.DUMMYFUNCTION("""COMPUTED_VALUE"""),"Comité de Proyectos del Sistema General de Regalías - Oficina de Plaenación en funciones de Secretaría Técnica")</f>
        <v>Comité de Proyectos del Sistema General de Regalías - Oficina de Plaenación en funciones de Secretaría Técnica</v>
      </c>
      <c r="AD13" s="153" t="str">
        <f>IFERROR(__xludf.DUMMYFUNCTION("""COMPUTED_VALUE"""),"Evidencia")</f>
        <v>Evidencia</v>
      </c>
      <c r="AE13" s="150" t="str">
        <f>IFERROR(__xludf.DUMMYFUNCTION("""COMPUTED_VALUE"""),"Si")</f>
        <v>Si</v>
      </c>
      <c r="AF13" s="152" t="str">
        <f>IFERROR(__xludf.DUMMYFUNCTION("""COMPUTED_VALUE"""),"Ejecutada")</f>
        <v>Ejecutada</v>
      </c>
      <c r="AG13" s="32" t="str">
        <f>IFERROR(__xludf.DUMMYFUNCTION("""COMPUTED_VALUE"""),"Al revisar el reporte del monitoreo, se encuentra:
Que el proceso reporta que durante el periodo de monitoreo el riesgo se materializó el proceso realiza las acciones de contingencia pertinentes. 
Sobre las acciones asociadas a los controles:
Se eviden"&amp;"cia el reporte de las acciones asociadas a los controles definidos.
Se verifica que el control C1 se encuentra soportado mediante los reportes de seguimiento en la plataforma GESPROY, correspondientes al periodo abril a noviembre, en los cuales se reflej"&amp;"an avances en la ejecución física y financiera de los proyectos.
Frente al control C2, se evidencia el cumplimiento de lo definido, dado que se cuenta con la radicación, revisión y aval por parte de la supervisión, así como la suscripción por el Represen"&amp;"tante Legal de la solicitud de ajuste del proyecto ante la instancia correspondiente, conforme a los lineamientos del Sistema General de Regalías.
Sobre las acciones asociadas al tratamiento:
Se evidencia el cumplimiento de la acción de tratamiento, rel"&amp;"acionada con la atención de los lineamientos establecidos en la Resolución Rectoral N.° 1211 de 2024, de acuerdo con lo proyectado para la mitigación del riesgo.
")</f>
        <v>Al revisar el reporte del monitoreo, se encuentra:
Que el proceso reporta que durante el periodo de monitoreo el riesgo se materializó el proceso realiza las acciones de contingencia pertinentes. 
Sobre las acciones asociadas a los controles:
Se evidencia el reporte de las acciones asociadas a los controles definidos.
Se verifica que el control C1 se encuentra soportado mediante los reportes de seguimiento en la plataforma GESPROY, correspondientes al periodo abril a noviembre, en los cuales se reflejan avances en la ejecución física y financiera de los proyectos.
Frente al control C2, se evidencia el cumplimiento de lo definido, dado que se cuenta con la radicación, revisión y aval por parte de la supervisión, así como la suscripción por el Representante Legal de la solicitud de ajuste del proyecto ante la instancia correspondiente, conforme a los lineamientos del Sistema General de Regalías.
Sobre las acciones asociadas al tratamiento:
Se evidencia el cumplimiento de la acción de tratamiento, relacionada con la atención de los lineamientos establecidos en la Resolución Rectoral N.° 1211 de 2024, de acuerdo con lo proyectado para la mitigación del riesgo.
</v>
      </c>
      <c r="AH13" s="150" t="str">
        <f>IFERROR(__xludf.DUMMYFUNCTION("""COMPUTED_VALUE"""),"31 de diciembre")</f>
        <v>31 de diciembre</v>
      </c>
      <c r="AI13" s="32" t="str">
        <f>IFERROR(__xludf.DUMMYFUNCTION("""COMPUTED_VALUE"""),"Si")</f>
        <v>Si</v>
      </c>
      <c r="AJ13" s="32" t="str">
        <f>IFERROR(__xludf.DUMMYFUNCTION("""COMPUTED_VALUE"""),"Si")</f>
        <v>Si</v>
      </c>
      <c r="AK13" s="32" t="str">
        <f>IFERROR(__xludf.DUMMYFUNCTION("""COMPUTED_VALUE"""),"Si")</f>
        <v>Si</v>
      </c>
      <c r="AL13" s="32" t="str">
        <f>IFERROR(__xludf.DUMMYFUNCTION("""COMPUTED_VALUE"""),"Si")</f>
        <v>Si</v>
      </c>
      <c r="AM13" s="32" t="str">
        <f>IFERROR(__xludf.DUMMYFUNCTION("""COMPUTED_VALUE"""),"Si")</f>
        <v>Si</v>
      </c>
      <c r="AN13" s="32" t="str">
        <f>IFERROR(__xludf.DUMMYFUNCTION("""COMPUTED_VALUE"""),"No")</f>
        <v>No</v>
      </c>
      <c r="AO13" s="32" t="str">
        <f>IFERROR(__xludf.DUMMYFUNCTION("""COMPUTED_VALUE"""),"No")</f>
        <v>No</v>
      </c>
      <c r="AP13" s="32" t="str">
        <f>IFERROR(__xludf.DUMMYFUNCTION("""COMPUTED_VALUE"""),"No aplica")</f>
        <v>No aplica</v>
      </c>
      <c r="AQ13" s="32" t="str">
        <f>IFERROR(__xludf.DUMMYFUNCTION("""COMPUTED_VALUE"""),"No aplica")</f>
        <v>No aplica</v>
      </c>
      <c r="AR13" s="32" t="str">
        <f>IFERROR(__xludf.DUMMYFUNCTION("""COMPUTED_VALUE"""),"No aplica")</f>
        <v>No aplica</v>
      </c>
      <c r="AS13" s="150" t="str">
        <f>IFERROR(__xludf.DUMMYFUNCTION("""COMPUTED_VALUE"""),"Ninguna")</f>
        <v>Ninguna</v>
      </c>
      <c r="AT13" s="139"/>
    </row>
    <row r="14">
      <c r="A14" s="161"/>
      <c r="B14" s="73"/>
      <c r="C14" s="73"/>
      <c r="D14" s="142" t="str">
        <f>IFERROR(__xludf.DUMMYFUNCTION("""COMPUTED_VALUE"""),"Afectación reputacional y económica por incumplimiento de las metas del Plan de Desarrollo Institucional, debido a debilidades en la aplicación de controles")</f>
        <v>Afectación reputacional y económica por incumplimiento de las metas del Plan de Desarrollo Institucional, debido a debilidades en la aplicación de controles</v>
      </c>
      <c r="E14" s="143" t="str">
        <f>IFERROR(__xludf.DUMMYFUNCTION("""COMPUTED_VALUE"""),"Oficina de Planeación")</f>
        <v>Oficina de Planeación</v>
      </c>
      <c r="F14" s="144" t="str">
        <f>IFERROR(__xludf.DUMMYFUNCTION("""COMPUTED_VALUE"""),"Gestión")</f>
        <v>Gestión</v>
      </c>
      <c r="G14" s="144" t="str">
        <f>IFERROR(__xludf.DUMMYFUNCTION("""COMPUTED_VALUE"""),"- Falta de articulación entre los planes de acción y el plan de desarrollo
- Omisión al seguimiento al PDI
- Inadecuada gestión de la alta dirección")</f>
        <v>- Falta de articulación entre los planes de acción y el plan de desarrollo
- Omisión al seguimiento al PDI
- Inadecuada gestión de la alta dirección</v>
      </c>
      <c r="H14" s="144" t="str">
        <f>IFERROR(__xludf.DUMMYFUNCTION("""COMPUTED_VALUE"""),"- Sanciones de tipo disciplinario 
- Sanciones de tipo fiscal 
- Afectación de la imagen institucional
- Impacto en la asignación de recursos financieros")</f>
        <v>- Sanciones de tipo disciplinario 
- Sanciones de tipo fiscal 
- Afectación de la imagen institucional
- Impacto en la asignación de recursos financieros</v>
      </c>
      <c r="I14" s="145" t="str">
        <f>IFERROR(__xludf.DUMMYFUNCTION("""COMPUTED_VALUE"""),"DIE_02")</f>
        <v>DIE_02</v>
      </c>
      <c r="J14" s="145" t="str">
        <f>IFERROR(__xludf.DUMMYFUNCTION("""COMPUTED_VALUE"""),"Muy baja")</f>
        <v>Muy baja</v>
      </c>
      <c r="K14" s="145" t="str">
        <f>IFERROR(__xludf.DUMMYFUNCTION("""COMPUTED_VALUE"""),"Moderado")</f>
        <v>Moderado</v>
      </c>
      <c r="L14" s="145" t="str">
        <f>IFERROR(__xludf.DUMMYFUNCTION("""COMPUTED_VALUE"""),"Media")</f>
        <v>Media</v>
      </c>
      <c r="M14" s="144" t="str">
        <f>IFERROR(__xludf.DUMMYFUNCTION("""COMPUTED_VALUE"""),"- La oficina de Planeación y el Consejo Superior, estructuran los PAI en articulación con las metas del PDI
- La oficina de planeación aplica una herramienta diseñada para realizar monitoreo al PAI y al PDI 
- Cuando se detecten cambios en el contexto int"&amp;"erno o externo de la Institución que afecten el cumplimiento de las metas establecidas en el PDI, la oficina de Planeación presenta un informe de la situación al rector para su sustentación ante el Consejo Superior. 
- El Consejo Superior hace seguimiento"&amp;" y evalúa el avance del PDI, y toma decisiones de acuerdo al resultado  ")</f>
        <v>- La oficina de Planeación y el Consejo Superior, estructuran los PAI en articulación con las metas del PDI
- La oficina de planeación aplica una herramienta diseñada para realizar monitoreo al PAI y al PDI 
- Cuando se detecten cambios en el contexto interno o externo de la Institución que afecten el cumplimiento de las metas establecidas en el PDI, la oficina de Planeación presenta un informe de la situación al rector para su sustentación ante el Consejo Superior. 
- El Consejo Superior hace seguimiento y evalúa el avance del PDI, y toma decisiones de acuerdo al resultado  </v>
      </c>
      <c r="N14" s="145" t="str">
        <f>IFERROR(__xludf.DUMMYFUNCTION("""COMPUTED_VALUE"""),"Muy baja")</f>
        <v>Muy baja</v>
      </c>
      <c r="O14" s="145" t="str">
        <f>IFERROR(__xludf.DUMMYFUNCTION("""COMPUTED_VALUE"""),"Moderado")</f>
        <v>Moderado</v>
      </c>
      <c r="P14" s="145" t="str">
        <f>IFERROR(__xludf.DUMMYFUNCTION("""COMPUTED_VALUE"""),"Media")</f>
        <v>Media</v>
      </c>
      <c r="Q14" s="166" t="str">
        <f>IFERROR(__xludf.DUMMYFUNCTION("""COMPUTED_VALUE"""),"Reducir")</f>
        <v>Reducir</v>
      </c>
      <c r="R14" s="167" t="str">
        <f>IFERROR(__xludf.DUMMYFUNCTION("""COMPUTED_VALUE"""),"")</f>
        <v/>
      </c>
      <c r="S14" s="168" t="str">
        <f>IFERROR(__xludf.DUMMYFUNCTION("""COMPUTED_VALUE"""),"")</f>
        <v/>
      </c>
      <c r="T14" s="169"/>
      <c r="U14" s="170"/>
      <c r="V14" s="169" t="str">
        <f>IFERROR(__xludf.DUMMYFUNCTION("""COMPUTED_VALUE"""),"Enviar informe a la alta dirección con la descripción de por qué se materializó el riesgo ")</f>
        <v>Enviar informe a la alta dirección con la descripción de por qué se materializó el riesgo </v>
      </c>
      <c r="W14" s="169" t="str">
        <f>IFERROR(__xludf.DUMMYFUNCTION("""COMPUTED_VALUE"""),"Informe, correo, actas de reuniones")</f>
        <v>Informe, correo, actas de reuniones</v>
      </c>
      <c r="X14" s="169" t="str">
        <f>IFERROR(__xludf.DUMMYFUNCTION("""COMPUTED_VALUE"""),"Oficina de Planeación")</f>
        <v>Oficina de Planeación</v>
      </c>
      <c r="Y14" s="169" t="str">
        <f>IFERROR(__xludf.DUMMYFUNCTION("""COMPUTED_VALUE"""),"Inmediato")</f>
        <v>Inmediato</v>
      </c>
      <c r="Z14" s="150" t="str">
        <f>IFERROR(__xludf.DUMMYFUNCTION("""COMPUTED_VALUE"""),"30 de abril")</f>
        <v>30 de abril</v>
      </c>
      <c r="AA14" s="171">
        <f>IFERROR(__xludf.DUMMYFUNCTION("""COMPUTED_VALUE"""),45756.0)</f>
        <v>45756</v>
      </c>
      <c r="AB14" s="150" t="str">
        <f>IFERROR(__xludf.DUMMYFUNCTION("""COMPUTED_VALUE"""),"
Durante este monitoreo no se materializó el riesgo,
Acciones asociadas a los controles del riesgo: 
C 1. Se presentó ante el Consejo Superior Universitario el proyecto de acuerdo y el documento del Plan de Acción Institucional (PAI) 2025, tras un traba"&amp;"jo articulado con las dependencias responsables de las metas del Plan de Desarrollo Institucional. Con ello, se dio cumplimiento a lo establecido en el artículo 25, numeral 3, del Acuerdo Superior 003 de 2021, que dispone la presentación anual del PAI par"&amp;"a su aprobación, junto con el presupuesto, en concordancia con el Proyecto Educativo Institucional. Aunque el documento fue elaborado dentro del plazo previsto, su aprobación formal se realizó en la sesión ordinaria del 9 de abril.
C2. Se envió a las depe"&amp;"ndencias responsables la matriz diseñada para el monitoreo del PAI 2025, iniciando el seguimiento a los avances a partir del 28 de abril. En cuanto al PDI, durante este trimestre se trabajó en la consolidación de la información de la matriz de seguimiento"&amp;", la cual sirvió como insumo para la evaluación del primer trienio del PDI 2022–2024, presentada ante la Comisión Asesora de Planeación.
C3. El 21 de abril se presentó el documento de evaluación del PDI, que incluye el análisis técnico de las metas con di"&amp;"ficultades de cumplimiento, ante el Comité de Planeación. Esta presentación da continuidad al proceso establecido en el Sistema de Planeación, conforme al Acuerdo Superior 027 de 2024, el cual contempla su posterior presentación por el Consejo Académico y"&amp;" el Consejo Superior.
C4. Se espera presentar ese seguimiento en el segundo trimestre del año
No aplican acciones asociadas al tratamiento.")</f>
        <v>
Durante este monitoreo no se materializó el riesgo,
Acciones asociadas a los controles del riesgo: 
C 1. Se presentó ante el Consejo Superior Universitario el proyecto de acuerdo y el documento del Plan de Acción Institucional (PAI) 2025, tras un trabajo articulado con las dependencias responsables de las metas del Plan de Desarrollo Institucional. Con ello, se dio cumplimiento a lo establecido en el artículo 25, numeral 3, del Acuerdo Superior 003 de 2021, que dispone la presentación anual del PAI para su aprobación, junto con el presupuesto, en concordancia con el Proyecto Educativo Institucional. Aunque el documento fue elaborado dentro del plazo previsto, su aprobación formal se realizó en la sesión ordinaria del 9 de abril.
C2. Se envió a las dependencias responsables la matriz diseñada para el monitoreo del PAI 2025, iniciando el seguimiento a los avances a partir del 28 de abril. En cuanto al PDI, durante este trimestre se trabajó en la consolidación de la información de la matriz de seguimiento, la cual sirvió como insumo para la evaluación del primer trienio del PDI 2022–2024, presentada ante la Comisión Asesora de Planeación.
C3. El 21 de abril se presentó el documento de evaluación del PDI, que incluye el análisis técnico de las metas con dificultades de cumplimiento, ante el Comité de Planeación. Esta presentación da continuidad al proceso establecido en el Sistema de Planeación, conforme al Acuerdo Superior 027 de 2024, el cual contempla su posterior presentación por el Consejo Académico y el Consejo Superior.
C4. Se espera presentar ese seguimiento en el segundo trimestre del año
No aplican acciones asociadas al tratamiento.</v>
      </c>
      <c r="AC14" s="152" t="str">
        <f>IFERROR(__xludf.DUMMYFUNCTION("""COMPUTED_VALUE"""),"Asesora de planeación")</f>
        <v>Asesora de planeación</v>
      </c>
      <c r="AD14" s="153" t="str">
        <f>IFERROR(__xludf.DUMMYFUNCTION("""COMPUTED_VALUE"""),"Evidencia")</f>
        <v>Evidencia</v>
      </c>
      <c r="AE14" s="150" t="str">
        <f>IFERROR(__xludf.DUMMYFUNCTION("""COMPUTED_VALUE"""),"Si")</f>
        <v>Si</v>
      </c>
      <c r="AF14" s="150" t="str">
        <f>IFERROR(__xludf.DUMMYFUNCTION("""COMPUTED_VALUE"""),"En proceso")</f>
        <v>En proceso</v>
      </c>
      <c r="AG14" s="32" t="str">
        <f>IFERROR(__xludf.DUMMYFUNCTION("""COMPUTED_VALUE"""),"Al revisar el reporte del monitoreo, se encuentra: 
- Que se reporta el proceso informa que el riesgo no se materializó. 
Sobre las acciones asociadas a los controles: 
Se evidencia soporte oportuno para los 4 controles establecidos, se revisa la evi"&amp;"dencia la cual se encuentra conforme a lo mencionado frente a la estructura del PAI en articulación con el PDI, asi como la aplicación y diligenciamiento de la herramienta para realizar el monitoreo de PAI y al PDI, adicionalmente se observa dentro de las"&amp;" evidencias el repote del documento de evaluación del PDI, con el acuerdo superior que sustenta la presentación de este documento ante el consejo académico y el consejo superior, no se observan cambios sin embargo se reporta oportunamente el estado del do"&amp;"cumento de evaluación, tambien se observa que el proceso informa que se realizará para el control 4 el seguimiento para el proximo reporte, se recomienda mencionar el avance del control 4 para el siguiente monitoreo. 
Sobre las acciones asociadas al trat"&amp;"amiento: No se reportan en este riesgo debido a que se acepta solo se reportan controles. ")</f>
        <v>Al revisar el reporte del monitoreo, se encuentra: 
- Que se reporta el proceso informa que el riesgo no se materializó. 
Sobre las acciones asociadas a los controles: 
Se evidencia soporte oportuno para los 4 controles establecidos, se revisa la evidencia la cual se encuentra conforme a lo mencionado frente a la estructura del PAI en articulación con el PDI, asi como la aplicación y diligenciamiento de la herramienta para realizar el monitoreo de PAI y al PDI, adicionalmente se observa dentro de las evidencias el repote del documento de evaluación del PDI, con el acuerdo superior que sustenta la presentación de este documento ante el consejo académico y el consejo superior, no se observan cambios sin embargo se reporta oportunamente el estado del documento de evaluación, tambien se observa que el proceso informa que se realizará para el control 4 el seguimiento para el proximo reporte, se recomienda mencionar el avance del control 4 para el siguiente monitoreo. 
Sobre las acciones asociadas al tratamiento: No se reportan en este riesgo debido a que se acepta solo se reportan controles. </v>
      </c>
      <c r="AH14" s="150" t="str">
        <f>IFERROR(__xludf.DUMMYFUNCTION("""COMPUTED_VALUE"""),"30 de abril")</f>
        <v>30 de abril</v>
      </c>
      <c r="AI14" s="32" t="str">
        <f>IFERROR(__xludf.DUMMYFUNCTION("""COMPUTED_VALUE"""),"No")</f>
        <v>No</v>
      </c>
      <c r="AJ14" s="32" t="str">
        <f>IFERROR(__xludf.DUMMYFUNCTION("""COMPUTED_VALUE"""),"Si")</f>
        <v>Si</v>
      </c>
      <c r="AK14" s="32" t="str">
        <f>IFERROR(__xludf.DUMMYFUNCTION("""COMPUTED_VALUE"""),"Si")</f>
        <v>Si</v>
      </c>
      <c r="AL14" s="32" t="str">
        <f>IFERROR(__xludf.DUMMYFUNCTION("""COMPUTED_VALUE"""),"Si")</f>
        <v>Si</v>
      </c>
      <c r="AM14" s="32" t="str">
        <f>IFERROR(__xludf.DUMMYFUNCTION("""COMPUTED_VALUE"""),"Si")</f>
        <v>Si</v>
      </c>
      <c r="AN14" s="32" t="str">
        <f>IFERROR(__xludf.DUMMYFUNCTION("""COMPUTED_VALUE"""),"No")</f>
        <v>No</v>
      </c>
      <c r="AO14" s="32" t="str">
        <f>IFERROR(__xludf.DUMMYFUNCTION("""COMPUTED_VALUE"""),"No")</f>
        <v>No</v>
      </c>
      <c r="AP14" s="32" t="str">
        <f>IFERROR(__xludf.DUMMYFUNCTION("""COMPUTED_VALUE"""),"No aplica")</f>
        <v>No aplica</v>
      </c>
      <c r="AQ14" s="32" t="str">
        <f>IFERROR(__xludf.DUMMYFUNCTION("""COMPUTED_VALUE"""),"No aplica")</f>
        <v>No aplica</v>
      </c>
      <c r="AR14" s="32" t="str">
        <f>IFERROR(__xludf.DUMMYFUNCTION("""COMPUTED_VALUE"""),"No aplica")</f>
        <v>No aplica</v>
      </c>
      <c r="AS14" s="150" t="str">
        <f>IFERROR(__xludf.DUMMYFUNCTION("""COMPUTED_VALUE"""),"Ninguna")</f>
        <v>Ninguna</v>
      </c>
      <c r="AT14" s="139"/>
    </row>
    <row r="15">
      <c r="A15" s="161"/>
      <c r="B15" s="73"/>
      <c r="C15" s="73"/>
      <c r="D15" s="73"/>
      <c r="E15" s="94"/>
      <c r="F15" s="156"/>
      <c r="G15" s="156"/>
      <c r="H15" s="156"/>
      <c r="I15" s="156"/>
      <c r="J15" s="156"/>
      <c r="K15" s="156"/>
      <c r="L15" s="156"/>
      <c r="M15" s="156"/>
      <c r="N15" s="156"/>
      <c r="O15" s="156"/>
      <c r="P15" s="156"/>
      <c r="Q15" s="156"/>
      <c r="R15" s="167" t="str">
        <f>IFERROR(__xludf.DUMMYFUNCTION("""COMPUTED_VALUE"""),"")</f>
        <v/>
      </c>
      <c r="S15" s="168" t="str">
        <f>IFERROR(__xludf.DUMMYFUNCTION("""COMPUTED_VALUE"""),"")</f>
        <v/>
      </c>
      <c r="T15" s="169"/>
      <c r="U15" s="170"/>
      <c r="V15" s="94"/>
      <c r="W15" s="94"/>
      <c r="X15" s="94"/>
      <c r="Y15" s="94"/>
      <c r="Z15" s="150" t="str">
        <f>IFERROR(__xludf.DUMMYFUNCTION("""COMPUTED_VALUE"""),"30 de agosto")</f>
        <v>30 de agosto</v>
      </c>
      <c r="AA15" s="172">
        <f>IFERROR(__xludf.DUMMYFUNCTION("""COMPUTED_VALUE"""),45899.0)</f>
        <v>45899</v>
      </c>
      <c r="AB15" s="150" t="str">
        <f>IFERROR(__xludf.DUMMYFUNCTION("""COMPUTED_VALUE"""),"Durante este monitoreo no se materializó el riesgo. 
Acciones asociadas a los controles del riesgo 
C1.  Se presentó ante el Consejo Superior Universitario el proyecto de acuerdo y el documento del Plan Acción Institucional (PAI) 2025, tras un trabajo ar"&amp;"ticulado con las dependencias responsables de las metas del Plan de Desarrollo Institucional. Con ello se da cumplimiento a lo establecido en el artículo 25, numeral 3 del Acuerdo Superior 003 de 2021. 
C2. Cada mes se envía a través de correo electrónico"&amp;" la matriz de monitoreo para que cada una de las dependencias responsables reporten sus avances. 
C3. Ya se realizó la sustentación de la evaluación y seguimiento de los avances del PDI. En dicho informe también se incluyó la justificación para la actuali"&amp;"zación de algunas metas que requieren ajustes debido a nuevas tendencias o cambios normativos. Actualmente, se está a la espera de sustentar este punto ante el Consejo Superior, ya que, aunque ha sido incluido en el orden del día de sesiones anteriores, n"&amp;"o ha sido posible abordarlo por cuestiones de agenda interna en el desarrollo de dichas sesiones.
C4. Este informe se presentará al final del año vigente. 
No aplica acciones asociadas al tratamiento")</f>
        <v>Durante este monitoreo no se materializó el riesgo. 
Acciones asociadas a los controles del riesgo 
C1.  Se presentó ante el Consejo Superior Universitario el proyecto de acuerdo y el documento del Plan Acción Institucional (PAI) 2025, tras un trabajo articulado con las dependencias responsables de las metas del Plan de Desarrollo Institucional. Con ello se da cumplimiento a lo establecido en el artículo 25, numeral 3 del Acuerdo Superior 003 de 2021. 
C2. Cada mes se envía a través de correo electrónico la matriz de monitoreo para que cada una de las dependencias responsables reporten sus avances. 
C3. Ya se realizó la sustentación de la evaluación y seguimiento de los avances del PDI. En dicho informe también se incluyó la justificación para la actualización de algunas metas que requieren ajustes debido a nuevas tendencias o cambios normativos. Actualmente, se está a la espera de sustentar este punto ante el Consejo Superior, ya que, aunque ha sido incluido en el orden del día de sesiones anteriores, no ha sido posible abordarlo por cuestiones de agenda interna en el desarrollo de dichas sesiones.
C4. Este informe se presentará al final del año vigente. 
No aplica acciones asociadas al tratamiento</v>
      </c>
      <c r="AC15" s="152" t="str">
        <f>IFERROR(__xludf.DUMMYFUNCTION("""COMPUTED_VALUE"""),"Asesora de planeación")</f>
        <v>Asesora de planeación</v>
      </c>
      <c r="AD15" s="153" t="str">
        <f>IFERROR(__xludf.DUMMYFUNCTION("""COMPUTED_VALUE"""),"Evidencia")</f>
        <v>Evidencia</v>
      </c>
      <c r="AE15" s="150" t="str">
        <f>IFERROR(__xludf.DUMMYFUNCTION("""COMPUTED_VALUE"""),"Si")</f>
        <v>Si</v>
      </c>
      <c r="AF15" s="152" t="str">
        <f>IFERROR(__xludf.DUMMYFUNCTION("""COMPUTED_VALUE"""),"En proceso")</f>
        <v>En proceso</v>
      </c>
      <c r="AG15" s="32" t="str">
        <f>IFERROR(__xludf.DUMMYFUNCTION("""COMPUTED_VALUE"""),"Al revisar el reporte del monitoreo, se encuentra:
Que el proceso informa que el riesgo no se materializó.
Sobre las acciones asociadas a los controles:
Se evidencia la presentación ante el Consejo Superior Universitario del proyecto de acuerdo y docum"&amp;"ento del Plan de Acción Institucional (PAI) 2025, en articulación con las dependencias responsables, dando cumplimiento al artículo 25, numeral 3 del Acuerdo Superior 003 de 2021 (C1).
Se evidencia el envío mensual de la matriz de monitoreo a las depende"&amp;"ncias responsables para consolidar avances del PDI (C2).
Se evidencia la sustentación de la evaluación y seguimiento de avances del PDI, incluyendo la justificación para la actualización de metas que requieren ajustes por nuevas tendencias o cambios norm"&amp;"ativos, quedando pendiente su sustentación ante el Consejo Superior por razones de agenda (C3).
Se reporta que el informe de avance del PDI será presentado al final del año vigente (C4).
Observación: Aunque se evidencia cumplimiento en los controles def"&amp;"inidos, se recomienda para próximos monitoreos anexar soportes de los avances reportados por las dependencias responsables y copia de las actas o comunicaciones al Consejo Superior, con el fin de fortalecer la trazabilidad de las acciones.
Sobre las acci"&amp;"ones asociadas al tratamiento:
No se reportan acciones de tratamiento, dado que el riesgo fue aceptado y solo aplica el reporte de los controles establecidos.")</f>
        <v>Al revisar el reporte del monitoreo, se encuentra:
Que el proceso informa que el riesgo no se materializó.
Sobre las acciones asociadas a los controles:
Se evidencia la presentación ante el Consejo Superior Universitario del proyecto de acuerdo y documento del Plan de Acción Institucional (PAI) 2025, en articulación con las dependencias responsables, dando cumplimiento al artículo 25, numeral 3 del Acuerdo Superior 003 de 2021 (C1).
Se evidencia el envío mensual de la matriz de monitoreo a las dependencias responsables para consolidar avances del PDI (C2).
Se evidencia la sustentación de la evaluación y seguimiento de avances del PDI, incluyendo la justificación para la actualización de metas que requieren ajustes por nuevas tendencias o cambios normativos, quedando pendiente su sustentación ante el Consejo Superior por razones de agenda (C3).
Se reporta que el informe de avance del PDI será presentado al final del año vigente (C4).
Observación: Aunque se evidencia cumplimiento en los controles definidos, se recomienda para próximos monitoreos anexar soportes de los avances reportados por las dependencias responsables y copia de las actas o comunicaciones al Consejo Superior, con el fin de fortalecer la trazabilidad de las acciones.
Sobre las acciones asociadas al tratamiento:
No se reportan acciones de tratamiento, dado que el riesgo fue aceptado y solo aplica el reporte de los controles establecidos.</v>
      </c>
      <c r="AH15" s="150" t="str">
        <f>IFERROR(__xludf.DUMMYFUNCTION("""COMPUTED_VALUE"""),"31 de agosto")</f>
        <v>31 de agosto</v>
      </c>
      <c r="AI15" s="32" t="str">
        <f>IFERROR(__xludf.DUMMYFUNCTION("""COMPUTED_VALUE"""),"No")</f>
        <v>No</v>
      </c>
      <c r="AJ15" s="32" t="str">
        <f>IFERROR(__xludf.DUMMYFUNCTION("""COMPUTED_VALUE"""),"Si")</f>
        <v>Si</v>
      </c>
      <c r="AK15" s="32" t="str">
        <f>IFERROR(__xludf.DUMMYFUNCTION("""COMPUTED_VALUE"""),"Si")</f>
        <v>Si</v>
      </c>
      <c r="AL15" s="32" t="str">
        <f>IFERROR(__xludf.DUMMYFUNCTION("""COMPUTED_VALUE"""),"Si")</f>
        <v>Si</v>
      </c>
      <c r="AM15" s="32" t="str">
        <f>IFERROR(__xludf.DUMMYFUNCTION("""COMPUTED_VALUE"""),"Si")</f>
        <v>Si</v>
      </c>
      <c r="AN15" s="32" t="str">
        <f>IFERROR(__xludf.DUMMYFUNCTION("""COMPUTED_VALUE"""),"No")</f>
        <v>No</v>
      </c>
      <c r="AO15" s="32" t="str">
        <f>IFERROR(__xludf.DUMMYFUNCTION("""COMPUTED_VALUE"""),"No")</f>
        <v>No</v>
      </c>
      <c r="AP15" s="32" t="str">
        <f>IFERROR(__xludf.DUMMYFUNCTION("""COMPUTED_VALUE"""),"No aplica")</f>
        <v>No aplica</v>
      </c>
      <c r="AQ15" s="32" t="str">
        <f>IFERROR(__xludf.DUMMYFUNCTION("""COMPUTED_VALUE"""),"No aplica")</f>
        <v>No aplica</v>
      </c>
      <c r="AR15" s="32" t="str">
        <f>IFERROR(__xludf.DUMMYFUNCTION("""COMPUTED_VALUE"""),"No aplica")</f>
        <v>No aplica</v>
      </c>
      <c r="AS15" s="150" t="str">
        <f>IFERROR(__xludf.DUMMYFUNCTION("""COMPUTED_VALUE"""),"Se reitera hallazgo de la evaluación del primer cuatrimestre: Se evidencia debilidad en la valoración del riesgo, toda vez que la probabilidad y el impacto no variaron después de analizados los controles, quedando el nivel de riesgo residual igual al inhe"&amp;"rente. Con relación a este aspecto, no se evidencia alerta en el marco del monitoreo, por parte de la segunda línea de defensa. Así mimo, y teniendo en cuenta que la acción de manejo seleccionada fue ""Reducir"", no se establecieron acciones asociadas al "&amp;"tratamiento.
Lo anterior incumple lo establecido en la Actividad No. 9 del procedimiento PD-DIE-03 y Guía para la Administración del Riesgo y el diseño de controles en entidades públicas Versión 6.
Observación al resultado del monitoreo realizado por la"&amp;" segunda línea de defensa: Desde el monitoreo se concluye que el riesgo fue aceptado, no obstante y de acuerdo con lo registrado en las columnas P y Q, la zona de riesgo es Media y la acción de tratamiento se establecio como ""Reducir"", en razón a lo cua"&amp;"l se deben establecer acciones asociadas al tratamiento.")</f>
        <v>Se reitera hallazgo de la evaluación del primer cuatrimestre: Se evidencia debilidad en la valoración del riesgo, toda vez que la probabilidad y el impacto no variaron después de analizados los controles, quedando el nivel de riesgo residual igual al inherente. Con relación a este aspecto, no se evidencia alerta en el marco del monitoreo, por parte de la segunda línea de defensa. Así mimo, y teniendo en cuenta que la acción de manejo seleccionada fue "Reducir", no se establecieron acciones asociadas al tratamiento.
Lo anterior incumple lo establecido en la Actividad No. 9 del procedimiento PD-DIE-03 y Guía para la Administración del Riesgo y el diseño de controles en entidades públicas Versión 6.
Observación al resultado del monitoreo realizado por la segunda línea de defensa: Desde el monitoreo se concluye que el riesgo fue aceptado, no obstante y de acuerdo con lo registrado en las columnas P y Q, la zona de riesgo es Media y la acción de tratamiento se establecio como "Reducir", en razón a lo cual se deben establecer acciones asociadas al tratamiento.</v>
      </c>
      <c r="AT15" s="139"/>
    </row>
    <row r="16">
      <c r="A16" s="161"/>
      <c r="B16" s="73"/>
      <c r="C16" s="73"/>
      <c r="D16" s="38"/>
      <c r="E16" s="98"/>
      <c r="F16" s="119"/>
      <c r="G16" s="119"/>
      <c r="H16" s="119"/>
      <c r="I16" s="119"/>
      <c r="J16" s="119"/>
      <c r="K16" s="119"/>
      <c r="L16" s="119"/>
      <c r="M16" s="119"/>
      <c r="N16" s="119"/>
      <c r="O16" s="119"/>
      <c r="P16" s="119"/>
      <c r="Q16" s="119"/>
      <c r="R16" s="173" t="str">
        <f>IFERROR(__xludf.DUMMYFUNCTION("""COMPUTED_VALUE"""),"")</f>
        <v/>
      </c>
      <c r="S16" s="174" t="str">
        <f>IFERROR(__xludf.DUMMYFUNCTION("""COMPUTED_VALUE"""),"")</f>
        <v/>
      </c>
      <c r="T16" s="175"/>
      <c r="U16" s="176"/>
      <c r="V16" s="98"/>
      <c r="W16" s="98"/>
      <c r="X16" s="98"/>
      <c r="Y16" s="98"/>
      <c r="Z16" s="150" t="str">
        <f>IFERROR(__xludf.DUMMYFUNCTION("""COMPUTED_VALUE"""),"30 de diciembre")</f>
        <v>30 de diciembre</v>
      </c>
      <c r="AA16" s="165">
        <f>IFERROR(__xludf.DUMMYFUNCTION("""COMPUTED_VALUE"""),45996.0)</f>
        <v>45996</v>
      </c>
      <c r="AB16" s="150" t="str">
        <f>IFERROR(__xludf.DUMMYFUNCTION("""COMPUTED_VALUE"""),"Durante este monitoreo no se materializó el riesgo. 
Acciones asociadas a los controles del riesgo 
C1.  Se presentó ante el Consejo Superior Universitario el proyecto de acuerdo y el documento del Plan Acción Institucional (PAI) 2026, tras un trabajo ar"&amp;"ticulado con las dependencias responsables de las metas del Plan de Desarrollo Institucional. Con ello se da cumplimiento a lo establecido en el artículo 25, numeral 3 del Acuerdo Superior 003 de 2021. 
C2. Cada mes se envía a través de correo electrónico"&amp;" la matriz de monitoreo para que cada una de las dependencias responsables reporten sus avances. 
C3. Ya se realizó la sustentación de la evaluación y seguimiento de los avances del PDI. En dicho informe también se incluyó la justificación para la actuali"&amp;"zación de algunas metas que requieren ajustes debido a nuevas tendencias o cambios normativos. Actualmente, se está a la espera de sustentar este punto ante el Consejo Superior, ya que, aunque ha sido incluido en el orden del día de sesiones anteriores, n"&amp;"o ha sido posible abordarlo por cuestiones de agenda interna en el desarrollo de dichas sesiones.
C4. Este informe se presentará al final del año vigente. 
No aplica acciones asociadas al tratamiento")</f>
        <v>Durante este monitoreo no se materializó el riesgo. 
Acciones asociadas a los controles del riesgo 
C1.  Se presentó ante el Consejo Superior Universitario el proyecto de acuerdo y el documento del Plan Acción Institucional (PAI) 2026, tras un trabajo articulado con las dependencias responsables de las metas del Plan de Desarrollo Institucional. Con ello se da cumplimiento a lo establecido en el artículo 25, numeral 3 del Acuerdo Superior 003 de 2021. 
C2. Cada mes se envía a través de correo electrónico la matriz de monitoreo para que cada una de las dependencias responsables reporten sus avances. 
C3. Ya se realizó la sustentación de la evaluación y seguimiento de los avances del PDI. En dicho informe también se incluyó la justificación para la actualización de algunas metas que requieren ajustes debido a nuevas tendencias o cambios normativos. Actualmente, se está a la espera de sustentar este punto ante el Consejo Superior, ya que, aunque ha sido incluido en el orden del día de sesiones anteriores, no ha sido posible abordarlo por cuestiones de agenda interna en el desarrollo de dichas sesiones.
C4. Este informe se presentará al final del año vigente. 
No aplica acciones asociadas al tratamiento</v>
      </c>
      <c r="AC16" s="152" t="str">
        <f>IFERROR(__xludf.DUMMYFUNCTION("""COMPUTED_VALUE"""),"Asesora de planeación")</f>
        <v>Asesora de planeación</v>
      </c>
      <c r="AD16" s="153" t="str">
        <f>IFERROR(__xludf.DUMMYFUNCTION("""COMPUTED_VALUE"""),"Evidencia")</f>
        <v>Evidencia</v>
      </c>
      <c r="AE16" s="150" t="str">
        <f>IFERROR(__xludf.DUMMYFUNCTION("""COMPUTED_VALUE"""),"Si")</f>
        <v>Si</v>
      </c>
      <c r="AF16" s="152" t="str">
        <f>IFERROR(__xludf.DUMMYFUNCTION("""COMPUTED_VALUE"""),"Ejecutada")</f>
        <v>Ejecutada</v>
      </c>
      <c r="AG16" s="32" t="str">
        <f>IFERROR(__xludf.DUMMYFUNCTION("""COMPUTED_VALUE"""),"Al revisar el reporte del monitoreo, se encuentra:
Que el proceso reporta que durante el periodo de monitoreo el riesgo no se materializó, asociado a la afectación reputacional y económica por el incumplimiento de las metas del Plan de Desarrollo Institu"&amp;"cional.
Sobre las acciones asociadas a los controles:
Se evidencia el reporte de acciones asociadas a los controles definidos para el riesgo.
Frente al control C1, se reporta la presentación del proyecto de acuerdo y del Plan de Acción Institucional (P"&amp;"AI) 2026 ante el Consejo Superior Universitario, en cumplimiento de lo establecido en el Acuerdo Superior 003 de 2021, artículo 25, numeral 3.
Respecto al control C2, se informa el envío mensual de la matriz de monitoreo a las dependencias responsables p"&amp;"ara el reporte de avances de las metas del PDI.
En relación con el control C3, se reporta la realización de la sustentación de la evaluación y seguimiento de los avances del PDI, así como la justificación para la actualización de metas; no obstante, se e"&amp;"ncuentra pendiente su sustentación ante el Consejo Superior, debido a situaciones de agenda.
Para el control C4, se indica que el informe correspondiente será presentado al cierre del año vigente.
Sobre las acciones asociadas al tratamiento:
No se repo"&amp;"rtan acciones asociadas al tratamiento, de acuerdo con lo definido para este riesgo.
NOTA: considerando la observación realizada por la tercera linea de defensa, sobre la valoracion del riesgo inherente y residual se esta formulando la nueva matriz de ri"&amp;"esgos para el proceso la cual se implementará en la proxima vigencia a fin de subsanar las observaciones recibidas en monitoreos anteriores. ")</f>
        <v>Al revisar el reporte del monitoreo, se encuentra:
Que el proceso reporta que durante el periodo de monitoreo el riesgo no se materializó, asociado a la afectación reputacional y económica por el incumplimiento de las metas del Plan de Desarrollo Institucional.
Sobre las acciones asociadas a los controles:
Se evidencia el reporte de acciones asociadas a los controles definidos para el riesgo.
Frente al control C1, se reporta la presentación del proyecto de acuerdo y del Plan de Acción Institucional (PAI) 2026 ante el Consejo Superior Universitario, en cumplimiento de lo establecido en el Acuerdo Superior 003 de 2021, artículo 25, numeral 3.
Respecto al control C2, se informa el envío mensual de la matriz de monitoreo a las dependencias responsables para el reporte de avances de las metas del PDI.
En relación con el control C3, se reporta la realización de la sustentación de la evaluación y seguimiento de los avances del PDI, así como la justificación para la actualización de metas; no obstante, se encuentra pendiente su sustentación ante el Consejo Superior, debido a situaciones de agenda.
Para el control C4, se indica que el informe correspondiente será presentado al cierre del año vigente.
Sobre las acciones asociadas al tratamiento:
No se reportan acciones asociadas al tratamiento, de acuerdo con lo definido para este riesgo.
NOTA: considerando la observación realizada por la tercera linea de defensa, sobre la valoracion del riesgo inherente y residual se esta formulando la nueva matriz de riesgos para el proceso la cual se implementará en la proxima vigencia a fin de subsanar las observaciones recibidas en monitoreos anteriores. </v>
      </c>
      <c r="AH16" s="150" t="str">
        <f>IFERROR(__xludf.DUMMYFUNCTION("""COMPUTED_VALUE"""),"31 de diciembre")</f>
        <v>31 de diciembre</v>
      </c>
      <c r="AI16" s="32" t="str">
        <f>IFERROR(__xludf.DUMMYFUNCTION("""COMPUTED_VALUE"""),"Si")</f>
        <v>Si</v>
      </c>
      <c r="AJ16" s="32" t="str">
        <f>IFERROR(__xludf.DUMMYFUNCTION("""COMPUTED_VALUE"""),"Si")</f>
        <v>Si</v>
      </c>
      <c r="AK16" s="32" t="str">
        <f>IFERROR(__xludf.DUMMYFUNCTION("""COMPUTED_VALUE"""),"Si")</f>
        <v>Si</v>
      </c>
      <c r="AL16" s="32" t="str">
        <f>IFERROR(__xludf.DUMMYFUNCTION("""COMPUTED_VALUE"""),"Si")</f>
        <v>Si</v>
      </c>
      <c r="AM16" s="32" t="str">
        <f>IFERROR(__xludf.DUMMYFUNCTION("""COMPUTED_VALUE"""),"Si")</f>
        <v>Si</v>
      </c>
      <c r="AN16" s="32" t="str">
        <f>IFERROR(__xludf.DUMMYFUNCTION("""COMPUTED_VALUE"""),"No")</f>
        <v>No</v>
      </c>
      <c r="AO16" s="32" t="str">
        <f>IFERROR(__xludf.DUMMYFUNCTION("""COMPUTED_VALUE"""),"No")</f>
        <v>No</v>
      </c>
      <c r="AP16" s="32" t="str">
        <f>IFERROR(__xludf.DUMMYFUNCTION("""COMPUTED_VALUE"""),"No aplica")</f>
        <v>No aplica</v>
      </c>
      <c r="AQ16" s="32" t="str">
        <f>IFERROR(__xludf.DUMMYFUNCTION("""COMPUTED_VALUE"""),"No aplica")</f>
        <v>No aplica</v>
      </c>
      <c r="AR16" s="32" t="str">
        <f>IFERROR(__xludf.DUMMYFUNCTION("""COMPUTED_VALUE"""),"No aplica")</f>
        <v>No aplica</v>
      </c>
      <c r="AS16" s="150" t="str">
        <f>IFERROR(__xludf.DUMMYFUNCTION("""COMPUTED_VALUE"""),"Se recomienda al proceso asegurar la adeuada valoración del riesgo inherente y residual, así como la acción de tratamiento, en la formulación del riesgo para la vigencia 2026, conforme a lo informado por la Segunda Línea de Defensa.")</f>
        <v>Se recomienda al proceso asegurar la adeuada valoración del riesgo inherente y residual, así como la acción de tratamiento, en la formulación del riesgo para la vigencia 2026, conforme a lo informado por la Segunda Línea de Defensa.</v>
      </c>
      <c r="AT16" s="139"/>
    </row>
    <row r="17">
      <c r="A17" s="161"/>
      <c r="B17" s="73"/>
      <c r="C17" s="73"/>
      <c r="D17" s="177" t="str">
        <f>IFERROR(__xludf.DUMMYFUNCTION("""COMPUTED_VALUE"""),"Afectación económica y reputacional por inadecuado e inoportuno suministro de información al Ministerio de Educación Nacional (MEN) y organismos de control (SIRECI, SIA CONTRALORIAS)")</f>
        <v>Afectación económica y reputacional por inadecuado e inoportuno suministro de información al Ministerio de Educación Nacional (MEN) y organismos de control (SIRECI, SIA CONTRALORIAS)</v>
      </c>
      <c r="E17" s="144" t="str">
        <f>IFERROR(__xludf.DUMMYFUNCTION("""COMPUTED_VALUE"""),"Oficina de Planeación")</f>
        <v>Oficina de Planeación</v>
      </c>
      <c r="F17" s="144" t="str">
        <f>IFERROR(__xludf.DUMMYFUNCTION("""COMPUTED_VALUE"""),"Gestión")</f>
        <v>Gestión</v>
      </c>
      <c r="G17" s="144" t="str">
        <f>IFERROR(__xludf.DUMMYFUNCTION("""COMPUTED_VALUE"""),"- Inconsistencia de los datos reportados por las diferentes áreas o dependencias
- Cargue de información incorrecta a las plataformas del MEN y otros entes de control (SIRECI, SIA CONTRALORIAS)")</f>
        <v>- Inconsistencia de los datos reportados por las diferentes áreas o dependencias
- Cargue de información incorrecta a las plataformas del MEN y otros entes de control (SIRECI, SIA CONTRALORIAS)</v>
      </c>
      <c r="H17" s="144" t="str">
        <f>IFERROR(__xludf.DUMMYFUNCTION("""COMPUTED_VALUE"""),"- Sanciones fiscales
- Sanciones disciplinarias
- Afectación  de la imagen Institucional ")</f>
        <v>- Sanciones fiscales
- Sanciones disciplinarias
- Afectación  de la imagen Institucional </v>
      </c>
      <c r="I17" s="145" t="str">
        <f>IFERROR(__xludf.DUMMYFUNCTION("""COMPUTED_VALUE"""),"DIE_03")</f>
        <v>DIE_03</v>
      </c>
      <c r="J17" s="145" t="str">
        <f>IFERROR(__xludf.DUMMYFUNCTION("""COMPUTED_VALUE"""),"Media")</f>
        <v>Media</v>
      </c>
      <c r="K17" s="145" t="str">
        <f>IFERROR(__xludf.DUMMYFUNCTION("""COMPUTED_VALUE"""),"Mayor")</f>
        <v>Mayor</v>
      </c>
      <c r="L17" s="145" t="str">
        <f>IFERROR(__xludf.DUMMYFUNCTION("""COMPUTED_VALUE"""),"Extrema")</f>
        <v>Extrema</v>
      </c>
      <c r="M17" s="144" t="str">
        <f>IFERROR(__xludf.DUMMYFUNCTION("""COMPUTED_VALUE"""),"-La profesional de apoyo de la oficina de Planeación encargada de acopiar y consolidar la información, elabora y divulga a las dependencias, un cronograma interno de reporte de la información solicitada por el MEN y otros entes de control 
-  El profesion"&amp;"al del área Financiera de la oficina de Planeación, realizan la revisión de la información que las dependencias envían para reportar al SIRECI y SIA CONTRALORIAS, de acuerdo a los actos administrativos que regula dicha actividad
- La profesional de apoyo "&amp;"de la oficina de Planeación encargada de acopiar y consolidar la información, revisa la información enviada por las dependencias, y en los casos en que encuentre inconsistencias, solicita a las dependencias las correcciones pertinentes.
- Las plataformas "&amp;"de reporte de la información, cuentan con validadores que permiten detectar inconsistencias de forma, para su corrección por parte de la Institución 
- Revisión de la profesional de apoyo a las planillas del MEN en drive para la corrección de la dependenc"&amp;"ia que incurra en el error. ")</f>
        <v>-La profesional de apoyo de la oficina de Planeación encargada de acopiar y consolidar la información, elabora y divulga a las dependencias, un cronograma interno de reporte de la información solicitada por el MEN y otros entes de control 
-  El profesional del área Financiera de la oficina de Planeación, realizan la revisión de la información que las dependencias envían para reportar al SIRECI y SIA CONTRALORIAS, de acuerdo a los actos administrativos que regula dicha actividad
- La profesional de apoyo de la oficina de Planeación encargada de acopiar y consolidar la información, revisa la información enviada por las dependencias, y en los casos en que encuentre inconsistencias, solicita a las dependencias las correcciones pertinentes.
- Las plataformas de reporte de la información, cuentan con validadores que permiten detectar inconsistencias de forma, para su corrección por parte de la Institución 
- Revisión de la profesional de apoyo a las planillas del MEN en drive para la corrección de la dependencia que incurra en el error. </v>
      </c>
      <c r="N17" s="145" t="str">
        <f>IFERROR(__xludf.DUMMYFUNCTION("""COMPUTED_VALUE"""),"Muy baja")</f>
        <v>Muy baja</v>
      </c>
      <c r="O17" s="145" t="str">
        <f>IFERROR(__xludf.DUMMYFUNCTION("""COMPUTED_VALUE"""),"Moderado")</f>
        <v>Moderado</v>
      </c>
      <c r="P17" s="145" t="str">
        <f>IFERROR(__xludf.DUMMYFUNCTION("""COMPUTED_VALUE"""),"Media")</f>
        <v>Media</v>
      </c>
      <c r="Q17" s="178" t="str">
        <f>IFERROR(__xludf.DUMMYFUNCTION("""COMPUTED_VALUE"""),"Reducir")</f>
        <v>Reducir</v>
      </c>
      <c r="R17" s="158" t="str">
        <f>IFERROR(__xludf.DUMMYFUNCTION("""COMPUTED_VALUE"""),"Cuando se detecte algún error o inconsistencia por parte de la profesional de apoyo de la oficina de planeación solicita a las dependecias su corrección con timepo de 1 dia para subsanar y volver a enviar la información.")</f>
        <v>Cuando se detecte algún error o inconsistencia por parte de la profesional de apoyo de la oficina de planeación solicita a las dependecias su corrección con timepo de 1 dia para subsanar y volver a enviar la información.</v>
      </c>
      <c r="S17" s="159" t="str">
        <f>IFERROR(__xludf.DUMMYFUNCTION("""COMPUTED_VALUE"""),"Mensual")</f>
        <v>Mensual</v>
      </c>
      <c r="T17" s="170" t="str">
        <f>IFERROR(__xludf.DUMMYFUNCTION("""COMPUTED_VALUE"""),"Profesional de apoyo del área de Estadística y Sistemas de información de la oficina Asesora de Planeación")</f>
        <v>Profesional de apoyo del área de Estadística y Sistemas de información de la oficina Asesora de Planeación</v>
      </c>
      <c r="U17" s="170" t="str">
        <f>IFERROR(__xludf.DUMMYFUNCTION("""COMPUTED_VALUE"""),"Correo electronico")</f>
        <v>Correo electronico</v>
      </c>
      <c r="V17" s="169" t="str">
        <f>IFERROR(__xludf.DUMMYFUNCTION("""COMPUTED_VALUE"""),"Realizar solicitud a la mesa de ayuda del MEN y otros entes de control (SIRECI, SIA CONTRALORIAS), de corrección de la información o el formato en que se detectó el error")</f>
        <v>Realizar solicitud a la mesa de ayuda del MEN y otros entes de control (SIRECI, SIA CONTRALORIAS), de corrección de la información o el formato en que se detectó el error</v>
      </c>
      <c r="W17" s="169" t="str">
        <f>IFERROR(__xludf.DUMMYFUNCTION("""COMPUTED_VALUE"""),"Ticket en la mesa de ayuda correspondiente")</f>
        <v>Ticket en la mesa de ayuda correspondiente</v>
      </c>
      <c r="X17" s="169" t="str">
        <f>IFERROR(__xludf.DUMMYFUNCTION("""COMPUTED_VALUE"""),"Asesor de Planeación / Profesional de apoyo del área de Estadística y Sistemas de Información")</f>
        <v>Asesor de Planeación / Profesional de apoyo del área de Estadística y Sistemas de Información</v>
      </c>
      <c r="Y17" s="169" t="str">
        <f>IFERROR(__xludf.DUMMYFUNCTION("""COMPUTED_VALUE"""),"1 día hábil después de identificado el error. ")</f>
        <v>1 día hábil después de identificado el error. </v>
      </c>
      <c r="Z17" s="150" t="str">
        <f>IFERROR(__xludf.DUMMYFUNCTION("""COMPUTED_VALUE"""),"30 de abril")</f>
        <v>30 de abril</v>
      </c>
      <c r="AA17" s="32" t="str">
        <f>IFERROR(__xludf.DUMMYFUNCTION("""COMPUTED_VALUE"""),"1 de enero de 2025 al 30 de abril de 2025")</f>
        <v>1 de enero de 2025 al 30 de abril de 2025</v>
      </c>
      <c r="AB17" s="150" t="str">
        <f>IFERROR(__xludf.DUMMYFUNCTION("""COMPUTED_VALUE"""),"Durante este primer monitoreo no se materializó el riesgo. 
Acciones de control.
C1: Se enviaron por correo electrónico los formatos, planillas y su periocidad de entrega para realizar cargue en las diferentes plataformas.
C2: Se enviaron por correo ele"&amp;"ctrónico los formatos de SIRECI y SIA CONTRALORIAS para revisión y visto bueno de la profesional de apoyo perteneciente al equipo financiero de la oficina Asesora de Planeación, para posterior cargue o devolución a la dependencia para el subsane necesario"&amp;".
C3: Se revisaron los formatos y planillas que se deben enviar al MEN y otros entes de control (SIRECI y SIA CONTRALORIA), si se encontraron errores fueron devueltos a las dependencias por correo electrónico para su corrección y posterior envió.
C4: En l"&amp;"as plataformas del MEN y otros entes de control (SIRECI y SIA CONTRALORIA) cuentan con validadores los cuales devuelven los errores presentados en los formatos o planillas y estás se envían a las diferentes dependencias para su subsane.
C5: Se revisaron l"&amp;"as planillas del MEN en el drive, y se enviaron correcciones alas depencias responsables de las planillas SNIES. Esto se puede envidenciar en los correos que se adjuntaron en el control  C3.
Acciones asociadas al tratamiento: 
- En este periodo se reali"&amp;"zaron las acciones de mejora, sobre la información reportada de las dependecias responsables de los formatos y planillas de SIA CONTRALORIAS; SIRECI y SNIES las cuales se revisaron y si hubo errores se devolvieron a la dependcia  para su corrección. Esto "&amp;"se puede evidenciar en los correos que se adjuntaron en el control C3.")</f>
        <v>Durante este primer monitoreo no se materializó el riesgo. 
Acciones de control.
C1: Se enviaron por correo electrónico los formatos, planillas y su periocidad de entrega para realizar cargue en las diferentes plataformas.
C2: Se enviaron por correo electrónico los formatos de SIRECI y SIA CONTRALORIAS para revisión y visto bueno de la profesional de apoyo perteneciente al equipo financiero de la oficina Asesora de Planeación, para posterior cargue o devolución a la dependencia para el subsane necesario.
C3: Se revisaron los formatos y planillas que se deben enviar al MEN y otros entes de control (SIRECI y SIA CONTRALORIA), si se encontraron errores fueron devueltos a las dependencias por correo electrónico para su corrección y posterior envió.
C4: En las plataformas del MEN y otros entes de control (SIRECI y SIA CONTRALORIA) cuentan con validadores los cuales devuelven los errores presentados en los formatos o planillas y estás se envían a las diferentes dependencias para su subsane.
C5: Se revisaron las planillas del MEN en el drive, y se enviaron correcciones alas depencias responsables de las planillas SNIES. Esto se puede envidenciar en los correos que se adjuntaron en el control  C3.
Acciones asociadas al tratamiento: 
- En este periodo se realizaron las acciones de mejora, sobre la información reportada de las dependecias responsables de los formatos y planillas de SIA CONTRALORIAS; SIRECI y SNIES las cuales se revisaron y si hubo errores se devolvieron a la dependcia  para su corrección. Esto se puede evidenciar en los correos que se adjuntaron en el control C3.</v>
      </c>
      <c r="AC17" s="152" t="str">
        <f>IFERROR(__xludf.DUMMYFUNCTION("""COMPUTED_VALUE"""),"Profesional de apoyo del área de Estadística y Sistemas de Información")</f>
        <v>Profesional de apoyo del área de Estadística y Sistemas de Información</v>
      </c>
      <c r="AD17" s="153" t="str">
        <f>IFERROR(__xludf.DUMMYFUNCTION("""COMPUTED_VALUE"""),"Evidencia")</f>
        <v>Evidencia</v>
      </c>
      <c r="AE17" s="150" t="str">
        <f>IFERROR(__xludf.DUMMYFUNCTION("""COMPUTED_VALUE"""),"Si")</f>
        <v>Si</v>
      </c>
      <c r="AF17" s="150" t="str">
        <f>IFERROR(__xludf.DUMMYFUNCTION("""COMPUTED_VALUE"""),"En proceso")</f>
        <v>En proceso</v>
      </c>
      <c r="AG17" s="32" t="str">
        <f>IFERROR(__xludf.DUMMYFUNCTION("""COMPUTED_VALUE"""),"Al revisar el reporte del monitoreo, se encuentra: 
- Que se reporta el proceso informa que el riesgo no se materializó. 
Sobre las acciones asociadas a los controles: 
C1: se evidencia el cronograma interno de reporte de la información solicitada po"&amp;"r el MEN y otros entes de control. Si bien se reportan correos formatos, plantillas más sin embargo no se evidencia el cronograma. 
C2: Se evidencia la solicitud  por correo electronico el envio de los formatos de SIRECI y SIA CONTRALORIAS a la oficina d"&amp;"e planeación dando cumplimiento al control establecido. 
C3: Se evidencia la revisión de formatos y plantillas del MEN, SIRECI y CONTRALORIA, se evidencia que se corrigieron errores y se reportaron a la oficina de planeación atendiendo el control estable"&amp;"cido. 
C4: Se evidencia reporte acorde a las plataformas del MEN, reportado ante los entes de control SIRECI y SIA CONTRALORIA, con las respectivas aprobaciones. 
C5: Se evidencia el reporte oportuno del control relacionado con la revisión por parte del"&amp;" profesional de apoyo a las plantillas del MEN en drive para la corrección de la dependencia que incurra en error, por ello se observa en la carpeta los reportes relacionados en la evidencia del control 3.
Acciones relacionadas con el tratamiento: 
Du"&amp;"rante la revisión, se observa la información depositada en la carpeta del control 3, evidenciando las acciones de tratamiento relacionada con la detección de errores o inconsistencias a las dependencias que requerian realizar alguna corrección con 1 dia p"&amp;"ara subsanar y enviar la información corregida a la oficina de planeación como respuesta se observa que esta mejora se aplico en el diligenciamientos de formatos y plantillas del MEN, SIRECI y CONTRALORIA, aplicado a las dependencias que necesitaron hacer"&amp;" mejoras por medio de correo electronico. ")</f>
        <v>Al revisar el reporte del monitoreo, se encuentra: 
- Que se reporta el proceso informa que el riesgo no se materializó. 
Sobre las acciones asociadas a los controles: 
C1: se evidencia el cronograma interno de reporte de la información solicitada por el MEN y otros entes de control. Si bien se reportan correos formatos, plantillas más sin embargo no se evidencia el cronograma. 
C2: Se evidencia la solicitud  por correo electronico el envio de los formatos de SIRECI y SIA CONTRALORIAS a la oficina de planeación dando cumplimiento al control establecido. 
C3: Se evidencia la revisión de formatos y plantillas del MEN, SIRECI y CONTRALORIA, se evidencia que se corrigieron errores y se reportaron a la oficina de planeación atendiendo el control establecido. 
C4: Se evidencia reporte acorde a las plataformas del MEN, reportado ante los entes de control SIRECI y SIA CONTRALORIA, con las respectivas aprobaciones. 
C5: Se evidencia el reporte oportuno del control relacionado con la revisión por parte del profesional de apoyo a las plantillas del MEN en drive para la corrección de la dependencia que incurra en error, por ello se observa en la carpeta los reportes relacionados en la evidencia del control 3.
Acciones relacionadas con el tratamiento: 
Durante la revisión, se observa la información depositada en la carpeta del control 3, evidenciando las acciones de tratamiento relacionada con la detección de errores o inconsistencias a las dependencias que requerian realizar alguna corrección con 1 dia para subsanar y enviar la información corregida a la oficina de planeación como respuesta se observa que esta mejora se aplico en el diligenciamientos de formatos y plantillas del MEN, SIRECI y CONTRALORIA, aplicado a las dependencias que necesitaron hacer mejoras por medio de correo electronico. </v>
      </c>
      <c r="AH17" s="150" t="str">
        <f>IFERROR(__xludf.DUMMYFUNCTION("""COMPUTED_VALUE"""),"30 de abril")</f>
        <v>30 de abril</v>
      </c>
      <c r="AI17" s="32" t="str">
        <f>IFERROR(__xludf.DUMMYFUNCTION("""COMPUTED_VALUE"""),"Si")</f>
        <v>Si</v>
      </c>
      <c r="AJ17" s="32" t="str">
        <f>IFERROR(__xludf.DUMMYFUNCTION("""COMPUTED_VALUE"""),"Si")</f>
        <v>Si</v>
      </c>
      <c r="AK17" s="32" t="str">
        <f>IFERROR(__xludf.DUMMYFUNCTION("""COMPUTED_VALUE"""),"Si")</f>
        <v>Si</v>
      </c>
      <c r="AL17" s="32" t="str">
        <f>IFERROR(__xludf.DUMMYFUNCTION("""COMPUTED_VALUE"""),"Si")</f>
        <v>Si</v>
      </c>
      <c r="AM17" s="32" t="str">
        <f>IFERROR(__xludf.DUMMYFUNCTION("""COMPUTED_VALUE"""),"Si")</f>
        <v>Si</v>
      </c>
      <c r="AN17" s="32" t="str">
        <f>IFERROR(__xludf.DUMMYFUNCTION("""COMPUTED_VALUE"""),"Si")</f>
        <v>Si</v>
      </c>
      <c r="AO17" s="32" t="str">
        <f>IFERROR(__xludf.DUMMYFUNCTION("""COMPUTED_VALUE"""),"Si")</f>
        <v>Si</v>
      </c>
      <c r="AP17" s="32" t="str">
        <f>IFERROR(__xludf.DUMMYFUNCTION("""COMPUTED_VALUE"""),"No aplica")</f>
        <v>No aplica</v>
      </c>
      <c r="AQ17" s="32" t="str">
        <f>IFERROR(__xludf.DUMMYFUNCTION("""COMPUTED_VALUE"""),"No aplica")</f>
        <v>No aplica</v>
      </c>
      <c r="AR17" s="32" t="str">
        <f>IFERROR(__xludf.DUMMYFUNCTION("""COMPUTED_VALUE"""),"No aplica")</f>
        <v>No aplica</v>
      </c>
      <c r="AS17" s="150" t="str">
        <f>IFERROR(__xludf.DUMMYFUNCTION("""COMPUTED_VALUE"""),"Recomendación: Evaluar la pertinencia de ajustar la redacción del Control No. 1, con relación al instrumento o medio utilizado para realizar los recordatorios de los informes y su periodicidad, toda vez que y en concordancia con el monitoreo realizado des"&amp;"de la segunda línea de defensa,  se menciona un cronograma pero según la evidencia reportada se relaciona únicamente el nombre del informe y su periodicidad.")</f>
        <v>Recomendación: Evaluar la pertinencia de ajustar la redacción del Control No. 1, con relación al instrumento o medio utilizado para realizar los recordatorios de los informes y su periodicidad, toda vez que y en concordancia con el monitoreo realizado desde la segunda línea de defensa,  se menciona un cronograma pero según la evidencia reportada se relaciona únicamente el nombre del informe y su periodicidad.</v>
      </c>
      <c r="AT17" s="139"/>
    </row>
    <row r="18">
      <c r="A18" s="161"/>
      <c r="B18" s="73"/>
      <c r="C18" s="73"/>
      <c r="D18" s="156"/>
      <c r="E18" s="156"/>
      <c r="F18" s="156"/>
      <c r="G18" s="156"/>
      <c r="H18" s="156"/>
      <c r="I18" s="156"/>
      <c r="J18" s="156"/>
      <c r="K18" s="156"/>
      <c r="L18" s="156"/>
      <c r="M18" s="156"/>
      <c r="N18" s="156"/>
      <c r="O18" s="156"/>
      <c r="P18" s="156"/>
      <c r="Q18" s="157"/>
      <c r="R18" s="158" t="str">
        <f>IFERROR(__xludf.DUMMYFUNCTION("""COMPUTED_VALUE"""),"")</f>
        <v/>
      </c>
      <c r="S18" s="159" t="str">
        <f>IFERROR(__xludf.DUMMYFUNCTION("""COMPUTED_VALUE"""),"")</f>
        <v/>
      </c>
      <c r="T18" s="170"/>
      <c r="U18" s="170"/>
      <c r="V18" s="94"/>
      <c r="W18" s="94"/>
      <c r="X18" s="94"/>
      <c r="Y18" s="94"/>
      <c r="Z18" s="150" t="str">
        <f>IFERROR(__xludf.DUMMYFUNCTION("""COMPUTED_VALUE"""),"30 de agosto")</f>
        <v>30 de agosto</v>
      </c>
      <c r="AA18" s="32" t="str">
        <f>IFERROR(__xludf.DUMMYFUNCTION("""COMPUTED_VALUE"""),"1 de mayo de 2025 al 30 de agosto de 2025")</f>
        <v>1 de mayo de 2025 al 30 de agosto de 2025</v>
      </c>
      <c r="AB18" s="150" t="str">
        <f>IFERROR(__xludf.DUMMYFUNCTION("""COMPUTED_VALUE"""),"Durante este segundo monitoreo no se materializó el riesgo. 
Acciones de control.
C1: Se enviaron por correo electrónico los formatos, planillas y su periocidad de entrega para realizar cargue en las diferentes plataformas.
C2: Se enviaron por correo el"&amp;"ectrónico los formatos de SIRECI y SIA CONTRALORIAS para revisión y visto bueno de la profesional de apoyo perteneciente al equipo financiero de la oficina Asesora de Planeación, para posterior cargue o devolución a la dependencia para el subsane necesari"&amp;"o.
C3: Se revisaron los formatos y planillas que se deben enviar al MEN y otros entes de control (SIRECI y SIA CONTRALORIA), si se encontraron errores fueron devueltos a las dependencias por correo electrónico para su corrección y posterior envió.
C4: En "&amp;"las plataformas del MEN y otros entes de control (SIRECI y SIA CONTRALORIA) cuentan con validadores los cuales devuelven los errores presentados en los formatos o planillas y estás se envían a las diferentes dependencias para su subsane.
C5: Se revisaron "&amp;"las planillas del MEN en el drive, y se enviaron correcciones alas depencias responsables de las planillas SNIES. Esto se puede envidenciar en los correos que se adjuntaron en el control  C3.
Acciones asociadas al tratamiento: 
- En este periodo se real"&amp;"izaron las acciones de mejora, sobre la información reportada de las dependecias responsables de los formatos y planillas de SIA CONTRALORIAS; SIRECI y SNIES las cuales se revisaron y si hubo errores se devolvieron a la dependcia  para su corrección. Esto"&amp;" se puede evidenciar en los correos que se adjuntaron en el control C3.")</f>
        <v>Durante este segundo monitoreo no se materializó el riesgo. 
Acciones de control.
C1: Se enviaron por correo electrónico los formatos, planillas y su periocidad de entrega para realizar cargue en las diferentes plataformas.
C2: Se enviaron por correo electrónico los formatos de SIRECI y SIA CONTRALORIAS para revisión y visto bueno de la profesional de apoyo perteneciente al equipo financiero de la oficina Asesora de Planeación, para posterior cargue o devolución a la dependencia para el subsane necesario.
C3: Se revisaron los formatos y planillas que se deben enviar al MEN y otros entes de control (SIRECI y SIA CONTRALORIA), si se encontraron errores fueron devueltos a las dependencias por correo electrónico para su corrección y posterior envió.
C4: En las plataformas del MEN y otros entes de control (SIRECI y SIA CONTRALORIA) cuentan con validadores los cuales devuelven los errores presentados en los formatos o planillas y estás se envían a las diferentes dependencias para su subsane.
C5: Se revisaron las planillas del MEN en el drive, y se enviaron correcciones alas depencias responsables de las planillas SNIES. Esto se puede envidenciar en los correos que se adjuntaron en el control  C3.
Acciones asociadas al tratamiento: 
- En este periodo se realizaron las acciones de mejora, sobre la información reportada de las dependecias responsables de los formatos y planillas de SIA CONTRALORIAS; SIRECI y SNIES las cuales se revisaron y si hubo errores se devolvieron a la dependcia  para su corrección. Esto se puede evidenciar en los correos que se adjuntaron en el control C3.</v>
      </c>
      <c r="AC18" s="152" t="str">
        <f>IFERROR(__xludf.DUMMYFUNCTION("""COMPUTED_VALUE"""),"Profesional de apoyo del área de Estadística y Sistemas de Información")</f>
        <v>Profesional de apoyo del área de Estadística y Sistemas de Información</v>
      </c>
      <c r="AD18" s="153" t="str">
        <f>IFERROR(__xludf.DUMMYFUNCTION("""COMPUTED_VALUE"""),"Evidencia")</f>
        <v>Evidencia</v>
      </c>
      <c r="AE18" s="150" t="str">
        <f>IFERROR(__xludf.DUMMYFUNCTION("""COMPUTED_VALUE"""),"Si")</f>
        <v>Si</v>
      </c>
      <c r="AF18" s="152" t="str">
        <f>IFERROR(__xludf.DUMMYFUNCTION("""COMPUTED_VALUE"""),"En proceso")</f>
        <v>En proceso</v>
      </c>
      <c r="AG18" s="32" t="str">
        <f>IFERROR(__xludf.DUMMYFUNCTION("""COMPUTED_VALUE"""),"Al revisar el reporte del monitoreo, se encuentra:
Que durante este primer monitoreo no se materializó el riesgo.
Sobre las acciones asociadas a los controles:
Control 1: Se evidencia el envío por correo electrónico de los formatos, planillas y su peri"&amp;"odicidad de entrega para el cargue en las diferentes plataformas.
Control 2: Se evidencia el envío por correo electrónico de los formatos de SIRECI y SIA Contralorías a la profesional de apoyo del equipo financiero de la Oficina Asesora de Planeación, pa"&amp;"ra su revisión y visto bueno previo al cargue o devolución a la dependencia correspondiente.
Control 3: Se evidencia la revisión de los formatos y planillas requeridas por el MEN y demás entes de control (SIRECI y SIA Contraloría); en caso de errores, es"&amp;"tos fueron devueltos a las dependencias para su corrección y posterior envío.
Control 4: Se evidencia que las plataformas del MEN y demás entes de control (SIRECI y SIA Contraloría) cuentan con validadores que devuelven los errores identificados, los cua"&amp;"les fueron remitidos a las dependencias responsables para su respectivo subsane.
Control 5: Se evidencia la revisión de las planillas del MEN en drive y el envío de correcciones a las dependencias responsables de las planillas SNIES, lo cual también se e"&amp;"ncuentra soportado en los correos asociados al control 3.
Sobre las acciones asociadas al tratamiento:
Se reporta la ejecución de acciones de mejora relacionadas con la información presentada por las dependencias responsables de los formatos y planillas"&amp;" de SIA Contralorías, SIRECI y SNIES. En los casos en que se identificaron errores, estos fueron devueltos a las dependencias para su corrección, evidenciándose en los correos asociados al control 3.")</f>
        <v>Al revisar el reporte del monitoreo, se encuentra:
Que durante este primer monitoreo no se materializó el riesgo.
Sobre las acciones asociadas a los controles:
Control 1: Se evidencia el envío por correo electrónico de los formatos, planillas y su periodicidad de entrega para el cargue en las diferentes plataformas.
Control 2: Se evidencia el envío por correo electrónico de los formatos de SIRECI y SIA Contralorías a la profesional de apoyo del equipo financiero de la Oficina Asesora de Planeación, para su revisión y visto bueno previo al cargue o devolución a la dependencia correspondiente.
Control 3: Se evidencia la revisión de los formatos y planillas requeridas por el MEN y demás entes de control (SIRECI y SIA Contraloría); en caso de errores, estos fueron devueltos a las dependencias para su corrección y posterior envío.
Control 4: Se evidencia que las plataformas del MEN y demás entes de control (SIRECI y SIA Contraloría) cuentan con validadores que devuelven los errores identificados, los cuales fueron remitidos a las dependencias responsables para su respectivo subsane.
Control 5: Se evidencia la revisión de las planillas del MEN en drive y el envío de correcciones a las dependencias responsables de las planillas SNIES, lo cual también se encuentra soportado en los correos asociados al control 3.
Sobre las acciones asociadas al tratamiento:
Se reporta la ejecución de acciones de mejora relacionadas con la información presentada por las dependencias responsables de los formatos y planillas de SIA Contralorías, SIRECI y SNIES. En los casos en que se identificaron errores, estos fueron devueltos a las dependencias para su corrección, evidenciándose en los correos asociados al control 3.</v>
      </c>
      <c r="AH18" s="150" t="str">
        <f>IFERROR(__xludf.DUMMYFUNCTION("""COMPUTED_VALUE"""),"31 de agosto")</f>
        <v>31 de agosto</v>
      </c>
      <c r="AI18" s="32" t="str">
        <f>IFERROR(__xludf.DUMMYFUNCTION("""COMPUTED_VALUE"""),"Si")</f>
        <v>Si</v>
      </c>
      <c r="AJ18" s="32" t="str">
        <f>IFERROR(__xludf.DUMMYFUNCTION("""COMPUTED_VALUE"""),"Si")</f>
        <v>Si</v>
      </c>
      <c r="AK18" s="32" t="str">
        <f>IFERROR(__xludf.DUMMYFUNCTION("""COMPUTED_VALUE"""),"Si")</f>
        <v>Si</v>
      </c>
      <c r="AL18" s="32" t="str">
        <f>IFERROR(__xludf.DUMMYFUNCTION("""COMPUTED_VALUE"""),"Si")</f>
        <v>Si</v>
      </c>
      <c r="AM18" s="32" t="str">
        <f>IFERROR(__xludf.DUMMYFUNCTION("""COMPUTED_VALUE"""),"Si")</f>
        <v>Si</v>
      </c>
      <c r="AN18" s="32" t="str">
        <f>IFERROR(__xludf.DUMMYFUNCTION("""COMPUTED_VALUE"""),"Si")</f>
        <v>Si</v>
      </c>
      <c r="AO18" s="32" t="str">
        <f>IFERROR(__xludf.DUMMYFUNCTION("""COMPUTED_VALUE"""),"Si")</f>
        <v>Si</v>
      </c>
      <c r="AP18" s="32" t="str">
        <f>IFERROR(__xludf.DUMMYFUNCTION("""COMPUTED_VALUE"""),"No aplica")</f>
        <v>No aplica</v>
      </c>
      <c r="AQ18" s="32" t="str">
        <f>IFERROR(__xludf.DUMMYFUNCTION("""COMPUTED_VALUE"""),"No aplica")</f>
        <v>No aplica</v>
      </c>
      <c r="AR18" s="32" t="str">
        <f>IFERROR(__xludf.DUMMYFUNCTION("""COMPUTED_VALUE"""),"No aplica")</f>
        <v>No aplica</v>
      </c>
      <c r="AS18" s="150" t="str">
        <f>IFERROR(__xludf.DUMMYFUNCTION("""COMPUTED_VALUE"""),"SE REITERA RECOMENDACIÓN DEL PRIMER MONITOREO: Evaluar la pertinencia de ajustar la redacción del Control No. 1, con relación al instrumento o medio utilizado para realizar los recordatorios de los informes y su periodicidad, toda vez que y en concordanci"&amp;"a con el monitoreo realizado desde la segunda línea de defensa,  se menciona un cronograma pero según la evidencia reportada se relaciona únicamente el nombre del informe y su periodicidad.")</f>
        <v>SE REITERA RECOMENDACIÓN DEL PRIMER MONITOREO: Evaluar la pertinencia de ajustar la redacción del Control No. 1, con relación al instrumento o medio utilizado para realizar los recordatorios de los informes y su periodicidad, toda vez que y en concordancia con el monitoreo realizado desde la segunda línea de defensa,  se menciona un cronograma pero según la evidencia reportada se relaciona únicamente el nombre del informe y su periodicidad.</v>
      </c>
      <c r="AT18" s="139"/>
    </row>
    <row r="19">
      <c r="A19" s="161"/>
      <c r="B19" s="73"/>
      <c r="C19" s="73"/>
      <c r="D19" s="119"/>
      <c r="E19" s="119"/>
      <c r="F19" s="119"/>
      <c r="G19" s="119"/>
      <c r="H19" s="119"/>
      <c r="I19" s="119"/>
      <c r="J19" s="119"/>
      <c r="K19" s="119"/>
      <c r="L19" s="119"/>
      <c r="M19" s="119"/>
      <c r="N19" s="119"/>
      <c r="O19" s="119"/>
      <c r="P19" s="119"/>
      <c r="Q19" s="162"/>
      <c r="R19" s="163" t="str">
        <f>IFERROR(__xludf.DUMMYFUNCTION("""COMPUTED_VALUE"""),"")</f>
        <v/>
      </c>
      <c r="S19" s="164" t="str">
        <f>IFERROR(__xludf.DUMMYFUNCTION("""COMPUTED_VALUE"""),"")</f>
        <v/>
      </c>
      <c r="T19" s="176"/>
      <c r="U19" s="176"/>
      <c r="V19" s="98"/>
      <c r="W19" s="98"/>
      <c r="X19" s="98"/>
      <c r="Y19" s="98"/>
      <c r="Z19" s="150" t="str">
        <f>IFERROR(__xludf.DUMMYFUNCTION("""COMPUTED_VALUE"""),"30 de diciembre")</f>
        <v>30 de diciembre</v>
      </c>
      <c r="AA19" s="32" t="str">
        <f>IFERROR(__xludf.DUMMYFUNCTION("""COMPUTED_VALUE"""),"1 de septiembre al 30 de diciembre de 2025")</f>
        <v>1 de septiembre al 30 de diciembre de 2025</v>
      </c>
      <c r="AB19" s="150" t="str">
        <f>IFERROR(__xludf.DUMMYFUNCTION("""COMPUTED_VALUE"""),"
Durante este tercer monitoreo no se materializó el riesgo. 
Acciones de control.
C1: Se enviaron por correo electrónico los formatos, planillas y su periocidad de entrega para realizar cargue en las diferentes plataformas.
C2: Se enviaron por correo el"&amp;"ectrónico los formatos de SIRECI y SIA CONTRALORIAS para revisión y visto bueno de la profesional de apoyo perteneciente al equipo financiero de la oficina Asesora de Planeación, para posterior cargue o devolución a la dependencia para el subsane necesari"&amp;"o.
C3: Se revisaron los formatos y planillas que se deben enviar al MEN y otros entes de control (SIRECI y SIA CONTRALORIA), si se encontraron errores fueron devueltos a las dependencias por correo electrónico para su corrección y posterior envió.
C4: En "&amp;"las plataformas del MEN y otros entes de control (SIRECI y SIA CONTRALORIA) cuentan con validadores los cuales devuelven los errores presentados en los formatos o planillas y estás se envían a las diferentes dependencias para su subsane.
C5: Se revisaron "&amp;"las planillas del MEN en el drive, y se enviaron correcciones a las depencias responsables de las planillas SNIES. Esto se puede envidenciar en los correos que se adjuntaron en el control  C3.
Acciones asociadas al tratamiento: 
- En este periodo se rea"&amp;"lizaron las acciones de mejora, sobre la información reportada de las dependecias responsables de los formatos y planillas de SIA CONTRALORIAS; SIRECI y SNIES las cuales se revisaron y si hubo errores se devolvieron a la dependcia  para su corrección en u"&amp;"n término minimo de 1 día. Esto se puede evidenciar en los correos que se adjuntaron en el control C3.
")</f>
        <v>
Durante este tercer monitoreo no se materializó el riesgo. 
Acciones de control.
C1: Se enviaron por correo electrónico los formatos, planillas y su periocidad de entrega para realizar cargue en las diferentes plataformas.
C2: Se enviaron por correo electrónico los formatos de SIRECI y SIA CONTRALORIAS para revisión y visto bueno de la profesional de apoyo perteneciente al equipo financiero de la oficina Asesora de Planeación, para posterior cargue o devolución a la dependencia para el subsane necesario.
C3: Se revisaron los formatos y planillas que se deben enviar al MEN y otros entes de control (SIRECI y SIA CONTRALORIA), si se encontraron errores fueron devueltos a las dependencias por correo electrónico para su corrección y posterior envió.
C4: En las plataformas del MEN y otros entes de control (SIRECI y SIA CONTRALORIA) cuentan con validadores los cuales devuelven los errores presentados en los formatos o planillas y estás se envían a las diferentes dependencias para su subsane.
C5: Se revisaron las planillas del MEN en el drive, y se enviaron correcciones a las depencias responsables de las planillas SNIES. Esto se puede envidenciar en los correos que se adjuntaron en el control  C3.
Acciones asociadas al tratamiento: 
- En este periodo se realizaron las acciones de mejora, sobre la información reportada de las dependecias responsables de los formatos y planillas de SIA CONTRALORIAS; SIRECI y SNIES las cuales se revisaron y si hubo errores se devolvieron a la dependcia  para su corrección en un término minimo de 1 día. Esto se puede evidenciar en los correos que se adjuntaron en el control C3.
</v>
      </c>
      <c r="AC19" s="152" t="str">
        <f>IFERROR(__xludf.DUMMYFUNCTION("""COMPUTED_VALUE"""),"Profesional de apoyo del área de Estadística y Sistemas de Información")</f>
        <v>Profesional de apoyo del área de Estadística y Sistemas de Información</v>
      </c>
      <c r="AD19" s="153" t="str">
        <f>IFERROR(__xludf.DUMMYFUNCTION("""COMPUTED_VALUE"""),"Evidencia")</f>
        <v>Evidencia</v>
      </c>
      <c r="AE19" s="150" t="str">
        <f>IFERROR(__xludf.DUMMYFUNCTION("""COMPUTED_VALUE"""),"Si")</f>
        <v>Si</v>
      </c>
      <c r="AF19" s="152" t="str">
        <f>IFERROR(__xludf.DUMMYFUNCTION("""COMPUTED_VALUE"""),"Ejecutada")</f>
        <v>Ejecutada</v>
      </c>
      <c r="AG19" s="32" t="str">
        <f>IFERROR(__xludf.DUMMYFUNCTION("""COMPUTED_VALUE"""),"Resultado del monitoreo del riesgo
Durante el periodo evaluado, no se materializó el riesgo asociado a la afectación económica y reputacional por el inadecuado u oportuno suministro de información al Ministerio de Educación Nacional (MEN) y a los organis"&amp;"mos de control (SIRECI y SIA Contralorías).
Seguimiento a las acciones de control
Control 1:
Se evidencia el envío oportuno por correo electrónico de los formatos, planillas y la periodicidad de entrega a las dependencias responsables, con el fin de rea"&amp;"lizar el cargue de la información en las diferentes plataformas institucionales y externas.
Control 2:
Se evidencia el envío de los formatos correspondientes a SIRECI y SIA Contralorías a la profesional de apoyo del equipo financiero de la Oficina Asesor"&amp;"a de Planeación, para su revisión y visto bueno previo al cargue en las plataformas o, en caso de inconsistencias, su devolución a la dependencia correspondiente para subsane.
Control 3:
Se evidencia la revisión de los formatos y planillas requeridas por"&amp;" el MEN y los entes de control (SIRECI y SIA Contralorías). En los casos en que se identificaron errores o inconsistencias, la información fue devuelta a las dependencias responsables mediante correo electrónico para su corrección y posterior envío.
Cont"&amp;"rol 4:
Se evidencia que las plataformas del MEN y de los entes de control (SIRECI y SIA Contralorías) cuentan con validadores automáticos que permiten identificar errores en los formatos y planillas cargadas. Dichos errores fueron notificados a las depend"&amp;"encias responsables para su respectivo subsane.
Control 5:
Se evidencia la revisión de las planillas del MEN alojadas en el drive institucional y el envío de observaciones y correcciones a las dependencias responsables de la información SNIES, lo cual se"&amp;" encuentra soportado en los correos electrónicos asociados al control 3.
Acciones asociadas al tratamiento del riesgo
Durante el periodo evaluado, se ejecutaron acciones de mejora sobre la información reportada por las dependencias responsables de los f"&amp;"ormatos y planillas correspondientes a SIA Contralorías, SIRECI y SNIES.
En los casos en que se identificaron inconsistencias, la información fue devuelta a las dependencias para su corrección en un término mínimo de un (1) día, lo cual se encuentra debid"&amp;"amente evidenciado en los correos electrónicos asociados al control 3.")</f>
        <v>Resultado del monitoreo del riesgo
Durante el periodo evaluado, no se materializó el riesgo asociado a la afectación económica y reputacional por el inadecuado u oportuno suministro de información al Ministerio de Educación Nacional (MEN) y a los organismos de control (SIRECI y SIA Contralorías).
Seguimiento a las acciones de control
Control 1:
Se evidencia el envío oportuno por correo electrónico de los formatos, planillas y la periodicidad de entrega a las dependencias responsables, con el fin de realizar el cargue de la información en las diferentes plataformas institucionales y externas.
Control 2:
Se evidencia el envío de los formatos correspondientes a SIRECI y SIA Contralorías a la profesional de apoyo del equipo financiero de la Oficina Asesora de Planeación, para su revisión y visto bueno previo al cargue en las plataformas o, en caso de inconsistencias, su devolución a la dependencia correspondiente para subsane.
Control 3:
Se evidencia la revisión de los formatos y planillas requeridas por el MEN y los entes de control (SIRECI y SIA Contralorías). En los casos en que se identificaron errores o inconsistencias, la información fue devuelta a las dependencias responsables mediante correo electrónico para su corrección y posterior envío.
Control 4:
Se evidencia que las plataformas del MEN y de los entes de control (SIRECI y SIA Contralorías) cuentan con validadores automáticos que permiten identificar errores en los formatos y planillas cargadas. Dichos errores fueron notificados a las dependencias responsables para su respectivo subsane.
Control 5:
Se evidencia la revisión de las planillas del MEN alojadas en el drive institucional y el envío de observaciones y correcciones a las dependencias responsables de la información SNIES, lo cual se encuentra soportado en los correos electrónicos asociados al control 3.
Acciones asociadas al tratamiento del riesgo
Durante el periodo evaluado, se ejecutaron acciones de mejora sobre la información reportada por las dependencias responsables de los formatos y planillas correspondientes a SIA Contralorías, SIRECI y SNIES.
En los casos en que se identificaron inconsistencias, la información fue devuelta a las dependencias para su corrección en un término mínimo de un (1) día, lo cual se encuentra debidamente evidenciado en los correos electrónicos asociados al control 3.</v>
      </c>
      <c r="AH19" s="150" t="str">
        <f>IFERROR(__xludf.DUMMYFUNCTION("""COMPUTED_VALUE"""),"31 de diciembre")</f>
        <v>31 de diciembre</v>
      </c>
      <c r="AI19" s="32" t="str">
        <f>IFERROR(__xludf.DUMMYFUNCTION("""COMPUTED_VALUE"""),"No")</f>
        <v>No</v>
      </c>
      <c r="AJ19" s="32" t="str">
        <f>IFERROR(__xludf.DUMMYFUNCTION("""COMPUTED_VALUE"""),"Si")</f>
        <v>Si</v>
      </c>
      <c r="AK19" s="32" t="str">
        <f>IFERROR(__xludf.DUMMYFUNCTION("""COMPUTED_VALUE"""),"Si")</f>
        <v>Si</v>
      </c>
      <c r="AL19" s="32" t="str">
        <f>IFERROR(__xludf.DUMMYFUNCTION("""COMPUTED_VALUE"""),"Si")</f>
        <v>Si</v>
      </c>
      <c r="AM19" s="32" t="str">
        <f>IFERROR(__xludf.DUMMYFUNCTION("""COMPUTED_VALUE"""),"Si")</f>
        <v>Si</v>
      </c>
      <c r="AN19" s="32" t="str">
        <f>IFERROR(__xludf.DUMMYFUNCTION("""COMPUTED_VALUE"""),"No")</f>
        <v>No</v>
      </c>
      <c r="AO19" s="32" t="str">
        <f>IFERROR(__xludf.DUMMYFUNCTION("""COMPUTED_VALUE"""),"No")</f>
        <v>No</v>
      </c>
      <c r="AP19" s="32" t="str">
        <f>IFERROR(__xludf.DUMMYFUNCTION("""COMPUTED_VALUE"""),"No aplica")</f>
        <v>No aplica</v>
      </c>
      <c r="AQ19" s="32" t="str">
        <f>IFERROR(__xludf.DUMMYFUNCTION("""COMPUTED_VALUE"""),"No aplica")</f>
        <v>No aplica</v>
      </c>
      <c r="AR19" s="32" t="str">
        <f>IFERROR(__xludf.DUMMYFUNCTION("""COMPUTED_VALUE"""),"No aplica")</f>
        <v>No aplica</v>
      </c>
      <c r="AS19" s="150" t="str">
        <f>IFERROR(__xludf.DUMMYFUNCTION("""COMPUTED_VALUE"""),"Ninguna")</f>
        <v>Ninguna</v>
      </c>
      <c r="AT19" s="139"/>
    </row>
    <row r="20">
      <c r="A20" s="161"/>
      <c r="B20" s="73"/>
      <c r="C20" s="73"/>
      <c r="D20" s="144" t="str">
        <f>IFERROR(__xludf.DUMMYFUNCTION("""COMPUTED_VALUE"""),"Afectación económica y reputacional por incumplimiento en la ejecución física y financiera de los proyectos de inversión frente al monto aprobado, debido a debilidades en el seguimiento a los proyectos.")</f>
        <v>Afectación económica y reputacional por incumplimiento en la ejecución física y financiera de los proyectos de inversión frente al monto aprobado, debido a debilidades en el seguimiento a los proyectos.</v>
      </c>
      <c r="E20" s="144" t="str">
        <f>IFERROR(__xludf.DUMMYFUNCTION("""COMPUTED_VALUE"""),"Oficina de Planeación")</f>
        <v>Oficina de Planeación</v>
      </c>
      <c r="F20" s="144" t="str">
        <f>IFERROR(__xludf.DUMMYFUNCTION("""COMPUTED_VALUE"""),"Gestión")</f>
        <v>Gestión</v>
      </c>
      <c r="G20" s="144" t="str">
        <f>IFERROR(__xludf.DUMMYFUNCTION("""COMPUTED_VALUE"""),"- Falta de ejecución de las actividades propuestas en el proyecto, por parte de los proponentes y responsables de estos
- Dificultad en los procesos contractuales liderados por la Vicerrectoría de Vicerrecursos")</f>
        <v>- Falta de ejecución de las actividades propuestas en el proyecto, por parte de los proponentes y responsables de estos
- Dificultad en los procesos contractuales liderados por la Vicerrectoría de Vicerrecursos</v>
      </c>
      <c r="H20" s="144" t="str">
        <f>IFERROR(__xludf.DUMMYFUNCTION("""COMPUTED_VALUE"""),"1. Incumplimiento de las metas institucionales
2. Baja ejecución presupuestal
3. Intervención de los organos de control.")</f>
        <v>1. Incumplimiento de las metas institucionales
2. Baja ejecución presupuestal
3. Intervención de los organos de control.</v>
      </c>
      <c r="I20" s="145" t="str">
        <f>IFERROR(__xludf.DUMMYFUNCTION("""COMPUTED_VALUE"""),"DIE_04")</f>
        <v>DIE_04</v>
      </c>
      <c r="J20" s="145" t="str">
        <f>IFERROR(__xludf.DUMMYFUNCTION("""COMPUTED_VALUE"""),"Media")</f>
        <v>Media</v>
      </c>
      <c r="K20" s="145" t="str">
        <f>IFERROR(__xludf.DUMMYFUNCTION("""COMPUTED_VALUE"""),"Mayor")</f>
        <v>Mayor</v>
      </c>
      <c r="L20" s="145" t="str">
        <f>IFERROR(__xludf.DUMMYFUNCTION("""COMPUTED_VALUE"""),"Extrema")</f>
        <v>Extrema</v>
      </c>
      <c r="M20" s="144" t="str">
        <f>IFERROR(__xludf.DUMMYFUNCTION("""COMPUTED_VALUE"""),"- La profesional del Banco de Proyectos, realiza seguimiento mensual a la ejecución física y financiera de los proyectos, con el fin de determinar el avance de estos 
- La profesional del Banco de Proyectos realiza capacitación a las unidades interesadas "&amp;"en presentar proyectos de inversión, sobre la formulación y seguimiento a estos 
- La profesional del Banco de Proyectos, realiza un análisis de la ejecución de los proyectos de vigencias previas, con el fin de recomendar un tope en los montos asignados, "&amp;"especialmente a aquellos que hayan presentado baja ejecución  ")</f>
        <v>- La profesional del Banco de Proyectos, realiza seguimiento mensual a la ejecución física y financiera de los proyectos, con el fin de determinar el avance de estos 
- La profesional del Banco de Proyectos realiza capacitación a las unidades interesadas en presentar proyectos de inversión, sobre la formulación y seguimiento a estos 
- La profesional del Banco de Proyectos, realiza un análisis de la ejecución de los proyectos de vigencias previas, con el fin de recomendar un tope en los montos asignados, especialmente a aquellos que hayan presentado baja ejecución  </v>
      </c>
      <c r="N20" s="145" t="str">
        <f>IFERROR(__xludf.DUMMYFUNCTION("""COMPUTED_VALUE"""),"Muy baja")</f>
        <v>Muy baja</v>
      </c>
      <c r="O20" s="145" t="str">
        <f>IFERROR(__xludf.DUMMYFUNCTION("""COMPUTED_VALUE"""),"Mayor")</f>
        <v>Mayor</v>
      </c>
      <c r="P20" s="145" t="str">
        <f>IFERROR(__xludf.DUMMYFUNCTION("""COMPUTED_VALUE"""),"Alta")</f>
        <v>Alta</v>
      </c>
      <c r="Q20" s="166" t="str">
        <f>IFERROR(__xludf.DUMMYFUNCTION("""COMPUTED_VALUE"""),"Reducir")</f>
        <v>Reducir</v>
      </c>
      <c r="R20" s="167" t="str">
        <f>IFERROR(__xludf.DUMMYFUNCTION("""COMPUTED_VALUE"""),"Realizar mesas de trabajo entre el profesional de apoyo de la Oficina de Planeación y el Responsable de los proyectos con el fin de verificar el avance del proyecto")</f>
        <v>Realizar mesas de trabajo entre el profesional de apoyo de la Oficina de Planeación y el Responsable de los proyectos con el fin de verificar el avance del proyecto</v>
      </c>
      <c r="S20" s="168" t="str">
        <f>IFERROR(__xludf.DUMMYFUNCTION("""COMPUTED_VALUE"""),"Semestral")</f>
        <v>Semestral</v>
      </c>
      <c r="T20" s="169" t="str">
        <f>IFERROR(__xludf.DUMMYFUNCTION("""COMPUTED_VALUE"""),"Profesional de apoyo banco de proyectos")</f>
        <v>Profesional de apoyo banco de proyectos</v>
      </c>
      <c r="U20" s="169" t="str">
        <f>IFERROR(__xludf.DUMMYFUNCTION("""COMPUTED_VALUE"""),"Actas de reunión")</f>
        <v>Actas de reunión</v>
      </c>
      <c r="V20" s="169" t="str">
        <f>IFERROR(__xludf.DUMMYFUNCTION("""COMPUTED_VALUE"""),"Solicitar mediante correo institucional al responsable y proponente del proyectos las causas por las cuales no ejecutó el proyecto  y reportar control interno")</f>
        <v>Solicitar mediante correo institucional al responsable y proponente del proyectos las causas por las cuales no ejecutó el proyecto  y reportar control interno</v>
      </c>
      <c r="W20" s="169" t="str">
        <f>IFERROR(__xludf.DUMMYFUNCTION("""COMPUTED_VALUE"""),"Correo electrónico")</f>
        <v>Correo electrónico</v>
      </c>
      <c r="X20" s="169" t="str">
        <f>IFERROR(__xludf.DUMMYFUNCTION("""COMPUTED_VALUE"""),"Profesional de apoyo banco de proyectos")</f>
        <v>Profesional de apoyo banco de proyectos</v>
      </c>
      <c r="Y20" s="169" t="str">
        <f>IFERROR(__xludf.DUMMYFUNCTION("""COMPUTED_VALUE"""),"Al final de la vigencia")</f>
        <v>Al final de la vigencia</v>
      </c>
      <c r="Z20" s="150" t="str">
        <f>IFERROR(__xludf.DUMMYFUNCTION("""COMPUTED_VALUE"""),"30 de abril")</f>
        <v>30 de abril</v>
      </c>
      <c r="AA20" s="151">
        <f>IFERROR(__xludf.DUMMYFUNCTION("""COMPUTED_VALUE"""),45715.0)</f>
        <v>45715</v>
      </c>
      <c r="AB20" s="150" t="str">
        <f>IFERROR(__xludf.DUMMYFUNCTION("""COMPUTED_VALUE"""),"
Durante el periodo de monitoreo no se materializó el riesgo. 
Acciones aosciadas a los controles del riesgo
C 1. Se realizó seguimiento financiero al avance mensual de cada uno de los rubros de inversión asociados a los proyectos en actual ejecución. A"&amp;"sí mismo, se solicitó por parte del banco de proyectos el reporte de seguimiento mensual de los proyectos de inversión, y se realizó respectiva verificación de la información allí reportada por los proponentes y responsables de los proyectos.  
C 2. Se re"&amp;"alizó capacitación en formulación y seguimiento de los proyectos de inversión edirigida a los miembros del Consejo Estudiantil Universitario
C 3. Esta acción se lleva a cabo en el marco de la estructuración del Plan Operativo Anual de Inversión 2026 en el"&amp;" segundo semestre de la presente vigencia.
Acciones asociadas al tratamiento
A 1. Se estableció cronograma para realizar seguimiento de avance del primer trimestre  a los proyectos de inversión del POAI 2025, en virtud de ello, a corte del monitoreo, se"&amp;" realizaron dos jornadas para seguimiento, con proyectos bajo responsabilidad de la Vicerrectoría de Recursos universitarios y la Vicerrectoría Académica.
")</f>
        <v>
Durante el periodo de monitoreo no se materializó el riesgo. 
Acciones aosciadas a los controles del riesgo
C 1. Se realizó seguimiento financiero al avance mensual de cada uno de los rubros de inversión asociados a los proyectos en actual ejecución. Así mismo, se solicitó por parte del banco de proyectos el reporte de seguimiento mensual de los proyectos de inversión, y se realizó respectiva verificación de la información allí reportada por los proponentes y responsables de los proyectos.  
C 2. Se realizó capacitación en formulación y seguimiento de los proyectos de inversión edirigida a los miembros del Consejo Estudiantil Universitario
C 3. Esta acción se lleva a cabo en el marco de la estructuración del Plan Operativo Anual de Inversión 2026 en el segundo semestre de la presente vigencia.
Acciones asociadas al tratamiento
A 1. Se estableció cronograma para realizar seguimiento de avance del primer trimestre  a los proyectos de inversión del POAI 2025, en virtud de ello, a corte del monitoreo, se realizaron dos jornadas para seguimiento, con proyectos bajo responsabilidad de la Vicerrectoría de Recursos universitarios y la Vicerrectoría Académica.
</v>
      </c>
      <c r="AC20" s="152" t="str">
        <f>IFERROR(__xludf.DUMMYFUNCTION("""COMPUTED_VALUE"""),"Profesional de apoyo Banco de Proyectos - Oficina de Planeación")</f>
        <v>Profesional de apoyo Banco de Proyectos - Oficina de Planeación</v>
      </c>
      <c r="AD20" s="153" t="str">
        <f>IFERROR(__xludf.DUMMYFUNCTION("""COMPUTED_VALUE"""),"Evidencia")</f>
        <v>Evidencia</v>
      </c>
      <c r="AE20" s="150" t="str">
        <f>IFERROR(__xludf.DUMMYFUNCTION("""COMPUTED_VALUE"""),"Si")</f>
        <v>Si</v>
      </c>
      <c r="AF20" s="150" t="str">
        <f>IFERROR(__xludf.DUMMYFUNCTION("""COMPUTED_VALUE"""),"En proceso")</f>
        <v>En proceso</v>
      </c>
      <c r="AG20" s="32" t="str">
        <f>IFERROR(__xludf.DUMMYFUNCTION("""COMPUTED_VALUE"""),"Al revisar el reporte del monitoreo, se encuentra: 
- Que se reporta el proceso informa que el riesgo no se materializó. 
Sobre las acciones asociadas a los controles: 
C1: Se evidencia que la profesional de Banco de Proyectos, realizó el seguimiento"&amp;" mensual a la ejecución al reportar el seguimiento fisico y financiero de los proyectos, se observa la ejecución y reporte del avance al corte de este monitoreo se observa reporte de seguimiento meses de febrero, marzo y abril. 
C2: Se evidencia que la p"&amp;"rofesional de Banco de Proyectos realizó capacitación a las unidades interesadas en presentar proyectos de inversión, sobre la formulación y seguimiento de estos, se evidencia que esta actividad fue aplicada a los miembros del consejo estudiantil niversit"&amp;"ario. 
C3: Se evidencia la identificación de topes para la formulación de el Plan Operativo Anual de inversión 2026, la tarea se encuentra en proceso. 
Acciones relacionadas con el tratamiento: 
Se evidencia el cronograma de seguimiento al ptimer trime"&amp;"stre de proyectos de inversión POAI 2025, reporte de las jornadas de seguuimiento con las oficinas desponsables relacionando a la vicerrectoria de recursos y vicerrectoria académica, debido  a que es una tarea semestral se encuentra en proceso, se recomie"&amp;"nda tener el insumo de actas de reunión para el proximo monitoreo para completar el reporte del primer semestre. ")</f>
        <v>Al revisar el reporte del monitoreo, se encuentra: 
- Que se reporta el proceso informa que el riesgo no se materializó. 
Sobre las acciones asociadas a los controles: 
C1: Se evidencia que la profesional de Banco de Proyectos, realizó el seguimiento mensual a la ejecución al reportar el seguimiento fisico y financiero de los proyectos, se observa la ejecución y reporte del avance al corte de este monitoreo se observa reporte de seguimiento meses de febrero, marzo y abril. 
C2: Se evidencia que la profesional de Banco de Proyectos realizó capacitación a las unidades interesadas en presentar proyectos de inversión, sobre la formulación y seguimiento de estos, se evidencia que esta actividad fue aplicada a los miembros del consejo estudiantil niversitario. 
C3: Se evidencia la identificación de topes para la formulación de el Plan Operativo Anual de inversión 2026, la tarea se encuentra en proceso. 
Acciones relacionadas con el tratamiento: 
Se evidencia el cronograma de seguimiento al ptimer trimestre de proyectos de inversión POAI 2025, reporte de las jornadas de seguuimiento con las oficinas desponsables relacionando a la vicerrectoria de recursos y vicerrectoria académica, debido  a que es una tarea semestral se encuentra en proceso, se recomienda tener el insumo de actas de reunión para el proximo monitoreo para completar el reporte del primer semestre. </v>
      </c>
      <c r="AH20" s="150" t="str">
        <f>IFERROR(__xludf.DUMMYFUNCTION("""COMPUTED_VALUE"""),"30 de abril")</f>
        <v>30 de abril</v>
      </c>
      <c r="AI20" s="32" t="str">
        <f>IFERROR(__xludf.DUMMYFUNCTION("""COMPUTED_VALUE"""),"Si")</f>
        <v>Si</v>
      </c>
      <c r="AJ20" s="32" t="str">
        <f>IFERROR(__xludf.DUMMYFUNCTION("""COMPUTED_VALUE"""),"Si")</f>
        <v>Si</v>
      </c>
      <c r="AK20" s="32" t="str">
        <f>IFERROR(__xludf.DUMMYFUNCTION("""COMPUTED_VALUE"""),"Si")</f>
        <v>Si</v>
      </c>
      <c r="AL20" s="32" t="str">
        <f>IFERROR(__xludf.DUMMYFUNCTION("""COMPUTED_VALUE"""),"No")</f>
        <v>No</v>
      </c>
      <c r="AM20" s="32" t="str">
        <f>IFERROR(__xludf.DUMMYFUNCTION("""COMPUTED_VALUE"""),"Si")</f>
        <v>Si</v>
      </c>
      <c r="AN20" s="32" t="str">
        <f>IFERROR(__xludf.DUMMYFUNCTION("""COMPUTED_VALUE"""),"Si")</f>
        <v>Si</v>
      </c>
      <c r="AO20" s="32" t="str">
        <f>IFERROR(__xludf.DUMMYFUNCTION("""COMPUTED_VALUE"""),"Si")</f>
        <v>Si</v>
      </c>
      <c r="AP20" s="32" t="str">
        <f>IFERROR(__xludf.DUMMYFUNCTION("""COMPUTED_VALUE"""),"No aplica")</f>
        <v>No aplica</v>
      </c>
      <c r="AQ20" s="32" t="str">
        <f>IFERROR(__xludf.DUMMYFUNCTION("""COMPUTED_VALUE"""),"No aplica")</f>
        <v>No aplica</v>
      </c>
      <c r="AR20" s="32" t="str">
        <f>IFERROR(__xludf.DUMMYFUNCTION("""COMPUTED_VALUE"""),"No aplica")</f>
        <v>No aplica</v>
      </c>
      <c r="AS20" s="150" t="str">
        <f>IFERROR(__xludf.DUMMYFUNCTION("""COMPUTED_VALUE"""),"Recomendaciones: 
*Mejorar la calidad de la evidencia, toda vez que para evidenciar la ejecución del control No. 2, se aportó registro denominado ""Asistencia capacitación CEU 27 02 2025"", sobre capacitación sobre formulación de proyectos de inversión e"&amp;"l cual no registra fecha de la realización de la actividad. Se requiere que la evidencia sea competente, es decir con calidad en relación a su relevancia y confiabilidad y suficiente en términos de cantidad y completitud, que permita demostrar de manera í"&amp;"ntegra el hecho.
* Establecer fechas o periodicidad para la ejecución de los diferentes controles. En el presente caso no todo los controles se ejecutan al finalizar la vigencia.")</f>
        <v>Recomendaciones: 
*Mejorar la calidad de la evidencia, toda vez que para evidenciar la ejecución del control No. 2, se aportó registro denominado "Asistencia capacitación CEU 27 02 2025", sobre capacitación sobre formulación de proyectos de inversión el cual no registra fecha de la realización de la actividad. Se requiere que la evidencia sea competente, es decir con calidad en relación a su relevancia y confiabilidad y suficiente en términos de cantidad y completitud, que permita demostrar de manera íntegra el hecho.
* Establecer fechas o periodicidad para la ejecución de los diferentes controles. En el presente caso no todo los controles se ejecutan al finalizar la vigencia.</v>
      </c>
      <c r="AT20" s="139"/>
    </row>
    <row r="21">
      <c r="A21" s="161"/>
      <c r="B21" s="73"/>
      <c r="C21" s="73"/>
      <c r="D21" s="156"/>
      <c r="E21" s="156"/>
      <c r="F21" s="156"/>
      <c r="G21" s="156"/>
      <c r="H21" s="156"/>
      <c r="I21" s="156"/>
      <c r="J21" s="156"/>
      <c r="K21" s="156"/>
      <c r="L21" s="156"/>
      <c r="M21" s="156"/>
      <c r="N21" s="156"/>
      <c r="O21" s="156"/>
      <c r="P21" s="156"/>
      <c r="Q21" s="156"/>
      <c r="R21" s="167" t="str">
        <f>IFERROR(__xludf.DUMMYFUNCTION("""COMPUTED_VALUE"""),"")</f>
        <v/>
      </c>
      <c r="S21" s="168" t="str">
        <f>IFERROR(__xludf.DUMMYFUNCTION("""COMPUTED_VALUE"""),"")</f>
        <v/>
      </c>
      <c r="T21" s="169" t="str">
        <f>IFERROR(__xludf.DUMMYFUNCTION("""COMPUTED_VALUE"""),"")</f>
        <v/>
      </c>
      <c r="U21" s="169" t="str">
        <f>IFERROR(__xludf.DUMMYFUNCTION("""COMPUTED_VALUE"""),"")</f>
        <v/>
      </c>
      <c r="V21" s="94"/>
      <c r="W21" s="94"/>
      <c r="X21" s="94"/>
      <c r="Y21" s="94"/>
      <c r="Z21" s="150" t="str">
        <f>IFERROR(__xludf.DUMMYFUNCTION("""COMPUTED_VALUE"""),"30 de agosto")</f>
        <v>30 de agosto</v>
      </c>
      <c r="AA21" s="172">
        <f>IFERROR(__xludf.DUMMYFUNCTION("""COMPUTED_VALUE"""),45899.0)</f>
        <v>45899</v>
      </c>
      <c r="AB21" s="150" t="str">
        <f>IFERROR(__xludf.DUMMYFUNCTION("""COMPUTED_VALUE"""),"
Durante el periodo de monitoreo no se materializó el riesgo. 
Acciones aosciadas a los controles del riesgo
C 1. Se realizó seguimiento financiero al avance mensual de cada uno de los rubros de inversión asociados a los proyectos en actual ejecución. A"&amp;"sí mismo, se solicitó por parte del banco de proyectos el reporte de seguimiento mensual de los proyectos de inversión, y se realizó respectiva verificación de la información allí reportada por los proponentes y responsables de los proyectos.  
C 2. Se re"&amp;"alizó capacitación en formulación y seguimiento de proyectos de inversión, los días 30 y 31 de julio, drigida a las dependencias académicas y administrativas, con el propósito de consolidar los proyectos que harán parte del POAI 2026
C 3. Se realiza la re"&amp;"visión a la ejecución financiera de los poryectos de la vigencia 2025, con el propósito de recomendar los montos a asignar en la vigencia 2026. 
Acciones asociadas al tratamiento
A 1. Se prevé realizar jornadas para el seguimiento a la ejecución de los "&amp;"proyectos del POAI 2025 junto con los responsable y proponentes de los mismos, con miras a identificar situaciones que puedan afectar su ejecución y el cumplimiento de los objetivos previstos. 
")</f>
        <v>
Durante el periodo de monitoreo no se materializó el riesgo. 
Acciones aosciadas a los controles del riesgo
C 1. Se realizó seguimiento financiero al avance mensual de cada uno de los rubros de inversión asociados a los proyectos en actual ejecución. Así mismo, se solicitó por parte del banco de proyectos el reporte de seguimiento mensual de los proyectos de inversión, y se realizó respectiva verificación de la información allí reportada por los proponentes y responsables de los proyectos.  
C 2. Se realizó capacitación en formulación y seguimiento de proyectos de inversión, los días 30 y 31 de julio, drigida a las dependencias académicas y administrativas, con el propósito de consolidar los proyectos que harán parte del POAI 2026
C 3. Se realiza la revisión a la ejecución financiera de los poryectos de la vigencia 2025, con el propósito de recomendar los montos a asignar en la vigencia 2026. 
Acciones asociadas al tratamiento
A 1. Se prevé realizar jornadas para el seguimiento a la ejecución de los proyectos del POAI 2025 junto con los responsable y proponentes de los mismos, con miras a identificar situaciones que puedan afectar su ejecución y el cumplimiento de los objetivos previstos. 
</v>
      </c>
      <c r="AC21" s="152" t="str">
        <f>IFERROR(__xludf.DUMMYFUNCTION("""COMPUTED_VALUE"""),"Profesional de apoyo Banco de Proyectos - Oficina de Planeación")</f>
        <v>Profesional de apoyo Banco de Proyectos - Oficina de Planeación</v>
      </c>
      <c r="AD21" s="153" t="str">
        <f>IFERROR(__xludf.DUMMYFUNCTION("""COMPUTED_VALUE"""),"Evidencia")</f>
        <v>Evidencia</v>
      </c>
      <c r="AE21" s="150" t="str">
        <f>IFERROR(__xludf.DUMMYFUNCTION("""COMPUTED_VALUE"""),"Si")</f>
        <v>Si</v>
      </c>
      <c r="AF21" s="152" t="str">
        <f>IFERROR(__xludf.DUMMYFUNCTION("""COMPUTED_VALUE"""),"En proceso")</f>
        <v>En proceso</v>
      </c>
      <c r="AG21" s="32" t="str">
        <f>IFERROR(__xludf.DUMMYFUNCTION("""COMPUTED_VALUE"""),"Al revisar el reporte del monitoreo, se encuentra:
Que durante este periodo de monitoreo no se materializó el riesgo.
Sobre las acciones asociadas a los controles:
Control 1: Se realizó seguimiento financiero al avance mensual de los rubros de inversió"&amp;"n de los proyectos en ejecución. Adicionalmente, el Banco de Proyectos solicitó y verificó el reporte de seguimiento mensual presentado por los proponentes y responsables de cada proyecto.
Control 2: Se realizó capacitación en formulación y seguimiento d"&amp;"e proyectos de inversión los días 30 y 31 de julio, dirigida a dependencias académicas y administrativas, con el fin de consolidar los proyectos que harán parte del POAI 2026.
Control 3: Se revisó la ejecución financiera de los proyectos de la vigencia 2"&amp;"025, con el propósito de recomendar los montos a asignar en la vigencia 2026.
Sobre las acciones asociadas al tratamiento:
Acción 1: Se prevé realizar jornadas de seguimiento a la ejecución de los proyectos del POAI 2025 junto con los responsables y pro"&amp;"ponentes, con el fin de identificar situaciones que puedan afectar su desarrollo y el cumplimiento de los objetivos previstos.")</f>
        <v>Al revisar el reporte del monitoreo, se encuentra:
Que durante este periodo de monitoreo no se materializó el riesgo.
Sobre las acciones asociadas a los controles:
Control 1: Se realizó seguimiento financiero al avance mensual de los rubros de inversión de los proyectos en ejecución. Adicionalmente, el Banco de Proyectos solicitó y verificó el reporte de seguimiento mensual presentado por los proponentes y responsables de cada proyecto.
Control 2: Se realizó capacitación en formulación y seguimiento de proyectos de inversión los días 30 y 31 de julio, dirigida a dependencias académicas y administrativas, con el fin de consolidar los proyectos que harán parte del POAI 2026.
Control 3: Se revisó la ejecución financiera de los proyectos de la vigencia 2025, con el propósito de recomendar los montos a asignar en la vigencia 2026.
Sobre las acciones asociadas al tratamiento:
Acción 1: Se prevé realizar jornadas de seguimiento a la ejecución de los proyectos del POAI 2025 junto con los responsables y proponentes, con el fin de identificar situaciones que puedan afectar su desarrollo y el cumplimiento de los objetivos previstos.</v>
      </c>
      <c r="AH21" s="150" t="str">
        <f>IFERROR(__xludf.DUMMYFUNCTION("""COMPUTED_VALUE"""),"31 de agosto")</f>
        <v>31 de agosto</v>
      </c>
      <c r="AI21" s="32" t="str">
        <f>IFERROR(__xludf.DUMMYFUNCTION("""COMPUTED_VALUE"""),"Si")</f>
        <v>Si</v>
      </c>
      <c r="AJ21" s="32" t="str">
        <f>IFERROR(__xludf.DUMMYFUNCTION("""COMPUTED_VALUE"""),"Si")</f>
        <v>Si</v>
      </c>
      <c r="AK21" s="32" t="str">
        <f>IFERROR(__xludf.DUMMYFUNCTION("""COMPUTED_VALUE"""),"Si")</f>
        <v>Si</v>
      </c>
      <c r="AL21" s="32" t="str">
        <f>IFERROR(__xludf.DUMMYFUNCTION("""COMPUTED_VALUE"""),"Si")</f>
        <v>Si</v>
      </c>
      <c r="AM21" s="32" t="str">
        <f>IFERROR(__xludf.DUMMYFUNCTION("""COMPUTED_VALUE"""),"Si")</f>
        <v>Si</v>
      </c>
      <c r="AN21" s="32" t="str">
        <f>IFERROR(__xludf.DUMMYFUNCTION("""COMPUTED_VALUE"""),"Si")</f>
        <v>Si</v>
      </c>
      <c r="AO21" s="32" t="str">
        <f>IFERROR(__xludf.DUMMYFUNCTION("""COMPUTED_VALUE"""),"Si")</f>
        <v>Si</v>
      </c>
      <c r="AP21" s="32" t="str">
        <f>IFERROR(__xludf.DUMMYFUNCTION("""COMPUTED_VALUE"""),"No aplica")</f>
        <v>No aplica</v>
      </c>
      <c r="AQ21" s="32" t="str">
        <f>IFERROR(__xludf.DUMMYFUNCTION("""COMPUTED_VALUE"""),"No aplica")</f>
        <v>No aplica</v>
      </c>
      <c r="AR21" s="32" t="str">
        <f>IFERROR(__xludf.DUMMYFUNCTION("""COMPUTED_VALUE"""),"No aplica")</f>
        <v>No aplica</v>
      </c>
      <c r="AS21" s="150" t="str">
        <f>IFERROR(__xludf.DUMMYFUNCTION("""COMPUTED_VALUE"""),"Se observa mejora en la calidad de la evidencia reportada, respecto a lo reportado en el primer cuatrimestre.")</f>
        <v>Se observa mejora en la calidad de la evidencia reportada, respecto a lo reportado en el primer cuatrimestre.</v>
      </c>
      <c r="AT21" s="139"/>
    </row>
    <row r="22">
      <c r="A22" s="161"/>
      <c r="B22" s="38"/>
      <c r="C22" s="38"/>
      <c r="D22" s="119"/>
      <c r="E22" s="119"/>
      <c r="F22" s="119"/>
      <c r="G22" s="119"/>
      <c r="H22" s="119"/>
      <c r="I22" s="119"/>
      <c r="J22" s="119"/>
      <c r="K22" s="119"/>
      <c r="L22" s="119"/>
      <c r="M22" s="119"/>
      <c r="N22" s="119"/>
      <c r="O22" s="119"/>
      <c r="P22" s="119"/>
      <c r="Q22" s="119"/>
      <c r="R22" s="173" t="str">
        <f>IFERROR(__xludf.DUMMYFUNCTION("""COMPUTED_VALUE"""),"")</f>
        <v/>
      </c>
      <c r="S22" s="174" t="str">
        <f>IFERROR(__xludf.DUMMYFUNCTION("""COMPUTED_VALUE"""),"")</f>
        <v/>
      </c>
      <c r="T22" s="175" t="str">
        <f>IFERROR(__xludf.DUMMYFUNCTION("""COMPUTED_VALUE"""),"")</f>
        <v/>
      </c>
      <c r="U22" s="175" t="str">
        <f>IFERROR(__xludf.DUMMYFUNCTION("""COMPUTED_VALUE"""),"")</f>
        <v/>
      </c>
      <c r="V22" s="98"/>
      <c r="W22" s="98"/>
      <c r="X22" s="98"/>
      <c r="Y22" s="98"/>
      <c r="Z22" s="150" t="str">
        <f>IFERROR(__xludf.DUMMYFUNCTION("""COMPUTED_VALUE"""),"30 de diciembre")</f>
        <v>30 de diciembre</v>
      </c>
      <c r="AA22" s="151">
        <f>IFERROR(__xludf.DUMMYFUNCTION("""COMPUTED_VALUE"""),45996.0)</f>
        <v>45996</v>
      </c>
      <c r="AB22" s="150" t="str">
        <f>IFERROR(__xludf.DUMMYFUNCTION("""COMPUTED_VALUE"""),"Durante este periodo no se materializó este riesgo.
Acciones aosciadas a los controles del riesgo
C 1. Se realizó el seguimiento financiero mensual de los proyectos de inversión ejecutados en el marco del POAI 2025 atraves de los rubros presupuestales a"&amp;"osciados a los diferentes proyectos de inversión. Del mismo modo se realizó la gestión de solicitud a los gestores de los proyectos del reporte del diligenciamiento de los avances de estos en las herramientas dispuestas para tal fin. Así mismo se realizó "&amp;"la verificación de la información resportada por los proponetes y responsables del proyecto. 
C 2. Dado que la capacitación en formulación y seguimiento de proyectos de inversión fue realizada en el mes de julio, para este periodo no se realizaron capacit"&amp;"aciones. 
C 3. Se realiza la revisión a la ejecución financiera de los poryectos de la vigencia 2025, con el propósito de recomendar los montos a asignar en la vigencia 2026. 
Acciones asociadas al tratamiento
A 1. Se prevé realizar jornadas para el seg"&amp;"uimiento a la ejecución de los proyectos del POAI 2025 junto con los responsable y proponentes de los mismos, con miras a identificar situaciones que puedan afectar su ejecución y el cumplimiento de los objetivos previstos. ")</f>
        <v>Durante este periodo no se materializó este riesgo.
Acciones aosciadas a los controles del riesgo
C 1. Se realizó el seguimiento financiero mensual de los proyectos de inversión ejecutados en el marco del POAI 2025 atraves de los rubros presupuestales aosciados a los diferentes proyectos de inversión. Del mismo modo se realizó la gestión de solicitud a los gestores de los proyectos del reporte del diligenciamiento de los avances de estos en las herramientas dispuestas para tal fin. Así mismo se realizó la verificación de la información resportada por los proponetes y responsables del proyecto. 
C 2. Dado que la capacitación en formulación y seguimiento de proyectos de inversión fue realizada en el mes de julio, para este periodo no se realizaron capacitaciones. 
C 3. Se realiza la revisión a la ejecución financiera de los poryectos de la vigencia 2025, con el propósito de recomendar los montos a asignar en la vigencia 2026. 
Acciones asociadas al tratamiento
A 1. Se prevé realizar jornadas para el seguimiento a la ejecución de los proyectos del POAI 2025 junto con los responsable y proponentes de los mismos, con miras a identificar situaciones que puedan afectar su ejecución y el cumplimiento de los objetivos previstos. </v>
      </c>
      <c r="AC22" s="152" t="str">
        <f>IFERROR(__xludf.DUMMYFUNCTION("""COMPUTED_VALUE"""),"Profesional de apoyo Banco de Proyectos - Oficina de Planeación")</f>
        <v>Profesional de apoyo Banco de Proyectos - Oficina de Planeación</v>
      </c>
      <c r="AD22" s="153" t="str">
        <f>IFERROR(__xludf.DUMMYFUNCTION("""COMPUTED_VALUE"""),"Evidencia")</f>
        <v>Evidencia</v>
      </c>
      <c r="AE22" s="150" t="str">
        <f>IFERROR(__xludf.DUMMYFUNCTION("""COMPUTED_VALUE"""),"Si")</f>
        <v>Si</v>
      </c>
      <c r="AF22" s="152" t="str">
        <f>IFERROR(__xludf.DUMMYFUNCTION("""COMPUTED_VALUE"""),"Ejecutada")</f>
        <v>Ejecutada</v>
      </c>
      <c r="AG22" s="32" t="str">
        <f>IFERROR(__xludf.DUMMYFUNCTION("""COMPUTED_VALUE"""),"Resultado del monitoreo del riesgo
Durante el periodo evaluado, no se materializó el riesgo asociado a la afectación económica y reputacional por el incumplimiento en la ejecución física y financiera de los proyectos de inversión frente al monto aprobado"&amp;", derivado de debilidades en el seguimiento a los proyectos.
Seguimiento a las acciones asociadas a los controles
Control 1:
Se evidencia la ejecución del seguimiento financiero mensual a los proyectos de inversión enmarcados en el POAI 2025, a través d"&amp;"el análisis de los rubros presupuestales asociados a cada proyecto.
Así mismo, se realizó la gestión ante los gestores y responsables de los proyectos para el reporte del diligenciamiento de los avances físicos en las herramientas dispuestas para tal fin,"&amp;" así como la verificación de la información reportada por los proponentes y responsables de los proyectos.
Control 2:
Se informa que la capacitación en formulación y seguimiento de proyectos de inversión fue realizada en el mes de julio; por lo anterior,"&amp;" durante el periodo evaluado no se ejecutaron nuevas capacitaciones, sin que ello afectara la eficacia del control, dado que el personal ya había sido capacitado previamente.
Control 3:
Se evidencia la revisión de la ejecución financiera de los proyectos"&amp;" correspondientes a la vigencia 2025, con el fin de emitir recomendaciones sobre los montos a asignar en la vigencia 2026, especialmente para aquellos proyectos que presentaron baja ejecución.
Acciones asociadas al tratamiento del riesgo
Se proyecta la "&amp;"realización de jornadas de seguimiento a la ejecución de los proyectos del POAI 2025, en articulación con los responsables y proponentes de los mismos, con el propósito de identificar oportunamente situaciones que puedan afectar su ejecución y el cumplimi"&amp;"ento de los objetivos establecidos.")</f>
        <v>Resultado del monitoreo del riesgo
Durante el periodo evaluado, no se materializó el riesgo asociado a la afectación económica y reputacional por el incumplimiento en la ejecución física y financiera de los proyectos de inversión frente al monto aprobado, derivado de debilidades en el seguimiento a los proyectos.
Seguimiento a las acciones asociadas a los controles
Control 1:
Se evidencia la ejecución del seguimiento financiero mensual a los proyectos de inversión enmarcados en el POAI 2025, a través del análisis de los rubros presupuestales asociados a cada proyecto.
Así mismo, se realizó la gestión ante los gestores y responsables de los proyectos para el reporte del diligenciamiento de los avances físicos en las herramientas dispuestas para tal fin, así como la verificación de la información reportada por los proponentes y responsables de los proyectos.
Control 2:
Se informa que la capacitación en formulación y seguimiento de proyectos de inversión fue realizada en el mes de julio; por lo anterior, durante el periodo evaluado no se ejecutaron nuevas capacitaciones, sin que ello afectara la eficacia del control, dado que el personal ya había sido capacitado previamente.
Control 3:
Se evidencia la revisión de la ejecución financiera de los proyectos correspondientes a la vigencia 2025, con el fin de emitir recomendaciones sobre los montos a asignar en la vigencia 2026, especialmente para aquellos proyectos que presentaron baja ejecución.
Acciones asociadas al tratamiento del riesgo
Se proyecta la realización de jornadas de seguimiento a la ejecución de los proyectos del POAI 2025, en articulación con los responsables y proponentes de los mismos, con el propósito de identificar oportunamente situaciones que puedan afectar su ejecución y el cumplimiento de los objetivos establecidos.</v>
      </c>
      <c r="AH22" s="150" t="str">
        <f>IFERROR(__xludf.DUMMYFUNCTION("""COMPUTED_VALUE"""),"31 de diciembre")</f>
        <v>31 de diciembre</v>
      </c>
      <c r="AI22" s="32" t="str">
        <f>IFERROR(__xludf.DUMMYFUNCTION("""COMPUTED_VALUE"""),"Si")</f>
        <v>Si</v>
      </c>
      <c r="AJ22" s="32" t="str">
        <f>IFERROR(__xludf.DUMMYFUNCTION("""COMPUTED_VALUE"""),"Si")</f>
        <v>Si</v>
      </c>
      <c r="AK22" s="32" t="str">
        <f>IFERROR(__xludf.DUMMYFUNCTION("""COMPUTED_VALUE"""),"Si")</f>
        <v>Si</v>
      </c>
      <c r="AL22" s="32" t="str">
        <f>IFERROR(__xludf.DUMMYFUNCTION("""COMPUTED_VALUE"""),"Si")</f>
        <v>Si</v>
      </c>
      <c r="AM22" s="32" t="str">
        <f>IFERROR(__xludf.DUMMYFUNCTION("""COMPUTED_VALUE"""),"Si")</f>
        <v>Si</v>
      </c>
      <c r="AN22" s="32" t="str">
        <f>IFERROR(__xludf.DUMMYFUNCTION("""COMPUTED_VALUE"""),"No")</f>
        <v>No</v>
      </c>
      <c r="AO22" s="32" t="str">
        <f>IFERROR(__xludf.DUMMYFUNCTION("""COMPUTED_VALUE"""),"No aplica")</f>
        <v>No aplica</v>
      </c>
      <c r="AP22" s="32" t="str">
        <f>IFERROR(__xludf.DUMMYFUNCTION("""COMPUTED_VALUE"""),"No aplica")</f>
        <v>No aplica</v>
      </c>
      <c r="AQ22" s="32" t="str">
        <f>IFERROR(__xludf.DUMMYFUNCTION("""COMPUTED_VALUE"""),"No aplica")</f>
        <v>No aplica</v>
      </c>
      <c r="AR22" s="32" t="str">
        <f>IFERROR(__xludf.DUMMYFUNCTION("""COMPUTED_VALUE"""),"No aplica")</f>
        <v>No aplica</v>
      </c>
      <c r="AS22" s="150" t="str">
        <f>IFERROR(__xludf.DUMMYFUNCTION("""COMPUTED_VALUE"""),"Ninguna")</f>
        <v>Ninguna</v>
      </c>
      <c r="AT22" s="139"/>
    </row>
    <row r="23">
      <c r="A23" s="161"/>
      <c r="B23" s="140" t="s">
        <v>219</v>
      </c>
      <c r="C23" s="141" t="str">
        <f>IFERROR(__xludf.DUMMYFUNCTION("IMPORTRANGE(""https://docs.google.com/spreadsheets/d/1dpolrjON1O9jxfEFk690pgGJmuoTO7Tcf864TIT9NVY/edit?gid=2098233099#gid=2098233099"",""Matriz_riesgos!C11:AT16"")"),"Optimizar la comunicación interna y externa, vertical y horizontal de la Universidad de los Llanos, fijando los lineamientos y promoviendo acciones que incidan de manera activa en el fortalecimiento de procesos de identidad, gobernabilidad y convivencia. ")</f>
        <v>Optimizar la comunicación interna y externa, vertical y horizontal de la Universidad de los Llanos, fijando los lineamientos y promoviendo acciones que incidan de manera activa en el fortalecimiento de procesos de identidad, gobernabilidad y convivencia. </v>
      </c>
      <c r="D23" s="144" t="str">
        <f>IFERROR(__xludf.DUMMYFUNCTION("""COMPUTED_VALUE"""),"Afectación reputacional por uso inadecuado de la imagen institucional, debido a debilidades en la aplicación de controles en el uso de la marca y los símbolos institucionales")</f>
        <v>Afectación reputacional por uso inadecuado de la imagen institucional, debido a debilidades en la aplicación de controles en el uso de la marca y los símbolos institucionales</v>
      </c>
      <c r="E23" s="144" t="str">
        <f>IFERROR(__xludf.DUMMYFUNCTION("""COMPUTED_VALUE"""),"Área de Comunicaciones")</f>
        <v>Área de Comunicaciones</v>
      </c>
      <c r="F23" s="144" t="str">
        <f>IFERROR(__xludf.DUMMYFUNCTION("""COMPUTED_VALUE"""),"Gestión")</f>
        <v>Gestión</v>
      </c>
      <c r="G23" s="144" t="str">
        <f>IFERROR(__xludf.DUMMYFUNCTION("""COMPUTED_VALUE"""),"- Insuficiente seguimiento a la implementación y uso de la marca y símbolos institucionales
- Desconocimiento del Manual de Identidad Visual
- Desconocimiento del procedimiento para el uso del logotipo de la Universidad (PD-COM-04)")</f>
        <v>- Insuficiente seguimiento a la implementación y uso de la marca y símbolos institucionales
- Desconocimiento del Manual de Identidad Visual
- Desconocimiento del procedimiento para el uso del logotipo de la Universidad (PD-COM-04)</v>
      </c>
      <c r="H23" s="144" t="str">
        <f>IFERROR(__xludf.DUMMYFUNCTION("""COMPUTED_VALUE"""),"1. Afectación a la imagen institucional
2. Inexistencia de uniformidad de la imagen institucional
3. Beneficio de terceros al hacer uso de la imagen institucional")</f>
        <v>1. Afectación a la imagen institucional
2. Inexistencia de uniformidad de la imagen institucional
3. Beneficio de terceros al hacer uso de la imagen institucional</v>
      </c>
      <c r="I23" s="145" t="str">
        <f>IFERROR(__xludf.DUMMYFUNCTION("""COMPUTED_VALUE"""),"COM_01")</f>
        <v>COM_01</v>
      </c>
      <c r="J23" s="145" t="str">
        <f>IFERROR(__xludf.DUMMYFUNCTION("""COMPUTED_VALUE"""),"Alta")</f>
        <v>Alta</v>
      </c>
      <c r="K23" s="145" t="str">
        <f>IFERROR(__xludf.DUMMYFUNCTION("""COMPUTED_VALUE"""),"Moderado")</f>
        <v>Moderado</v>
      </c>
      <c r="L23" s="145" t="str">
        <f>IFERROR(__xludf.DUMMYFUNCTION("""COMPUTED_VALUE"""),"Alta")</f>
        <v>Alta</v>
      </c>
      <c r="M23" s="144" t="str">
        <f>IFERROR(__xludf.DUMMYFUNCTION("""COMPUTED_VALUE"""),"- El profesional del área de comunicaciones evalúa las solicitudes de uso del logotipo de la Universidad, realizadas a través del formulario, y emite recomendaciones en caso de que se consideren pertinentes.
- La Universidad establece los lineamientos par"&amp;"a el uso de los símbolos institucionales, mediante el manual de identidad visual.
- El área de comunicaciones, cuenta con un formulario para el reporte de mal uso del logo institucional  ")</f>
        <v>- El profesional del área de comunicaciones evalúa las solicitudes de uso del logotipo de la Universidad, realizadas a través del formulario, y emite recomendaciones en caso de que se consideren pertinentes.
- La Universidad establece los lineamientos para el uso de los símbolos institucionales, mediante el manual de identidad visual.
- El área de comunicaciones, cuenta con un formulario para el reporte de mal uso del logo institucional  </v>
      </c>
      <c r="N23" s="145" t="str">
        <f>IFERROR(__xludf.DUMMYFUNCTION("""COMPUTED_VALUE"""),"Baja")</f>
        <v>Baja</v>
      </c>
      <c r="O23" s="145" t="str">
        <f>IFERROR(__xludf.DUMMYFUNCTION("""COMPUTED_VALUE"""),"Moderado")</f>
        <v>Moderado</v>
      </c>
      <c r="P23" s="145" t="str">
        <f>IFERROR(__xludf.DUMMYFUNCTION("""COMPUTED_VALUE"""),"Media")</f>
        <v>Media</v>
      </c>
      <c r="Q23" s="178" t="str">
        <f>IFERROR(__xludf.DUMMYFUNCTION("""COMPUTED_VALUE"""),"Reducir")</f>
        <v>Reducir</v>
      </c>
      <c r="R23" s="158" t="str">
        <f>IFERROR(__xludf.DUMMYFUNCTION("""COMPUTED_VALUE"""),"Realizar sensibilización a supervisores y jefes de oficina, sobre el uso adecuado de la marca institucional")</f>
        <v>Realizar sensibilización a supervisores y jefes de oficina, sobre el uso adecuado de la marca institucional</v>
      </c>
      <c r="S23" s="159" t="str">
        <f>IFERROR(__xludf.DUMMYFUNCTION("""COMPUTED_VALUE"""),"Semestral")</f>
        <v>Semestral</v>
      </c>
      <c r="T23" s="159" t="str">
        <f>IFERROR(__xludf.DUMMYFUNCTION("""COMPUTED_VALUE"""),"Coordinador Área de Comunicaciones")</f>
        <v>Coordinador Área de Comunicaciones</v>
      </c>
      <c r="U23" s="159" t="str">
        <f>IFERROR(__xludf.DUMMYFUNCTION("""COMPUTED_VALUE"""),"Registro fotográfico y/o correos enviados")</f>
        <v>Registro fotográfico y/o correos enviados</v>
      </c>
      <c r="V23" s="169" t="str">
        <f>IFERROR(__xludf.DUMMYFUNCTION("""COMPUTED_VALUE"""),"Investigación de casos reportados o detectados, y determinación de las acciones a realizar")</f>
        <v>Investigación de casos reportados o detectados, y determinación de las acciones a realizar</v>
      </c>
      <c r="W23" s="169" t="str">
        <f>IFERROR(__xludf.DUMMYFUNCTION("""COMPUTED_VALUE"""),"- Reportes de mal uso de la marca
- Registros de seguimiento a redes sociales
- Publicaciones en caso de que se requieran")</f>
        <v>- Reportes de mal uso de la marca
- Registros de seguimiento a redes sociales
- Publicaciones en caso de que se requieran</v>
      </c>
      <c r="X23" s="169" t="str">
        <f>IFERROR(__xludf.DUMMYFUNCTION("""COMPUTED_VALUE"""),"Profesional de apoyo de Comunicaciones")</f>
        <v>Profesional de apoyo de Comunicaciones</v>
      </c>
      <c r="Y23" s="169" t="str">
        <f>IFERROR(__xludf.DUMMYFUNCTION("""COMPUTED_VALUE"""),"15 días hábiles")</f>
        <v>15 días hábiles</v>
      </c>
      <c r="Z23" s="150" t="str">
        <f>IFERROR(__xludf.DUMMYFUNCTION("""COMPUTED_VALUE"""),"30 de abril")</f>
        <v>30 de abril</v>
      </c>
      <c r="AA23" s="151">
        <f>IFERROR(__xludf.DUMMYFUNCTION("""COMPUTED_VALUE"""),45720.0)</f>
        <v>45720</v>
      </c>
      <c r="AB23" s="150" t="str">
        <f>IFERROR(__xludf.DUMMYFUNCTION("""COMPUTED_VALUE"""),"Durante este primer monitoreo NO se materializó el riesgo.
Acciones asociadas a la aplicación de controles de riesgo 
- Afectación a la imagen institucional
-Inexistencia de uniformidad de la imagen institucional 
-Beneficio de terceros al hacer uso de l"&amp;"a imagen institucional  
Avance sobre los controles: (acciones de tratamiento). 
Se llevaron a cabo acciones de tratamiento orientadas a sensibilizar a los supervisores y jefes de oficina sobre el uso adecuado de la marca institucional. Esta actividad se"&amp;" realiza de manera semestral. Como parte de estas acciones, se evidenció la socialización del plan de comunicaciones, en el cual se abordó el tema de la marca institucional ante los diferentes jefes de la Universidad de los Llanos, en donde se tiene como "&amp;"evidencia registro fotografico y correo enviados acerca de la socialización. 
")</f>
        <v>Durante este primer monitoreo NO se materializó el riesgo.
Acciones asociadas a la aplicación de controles de riesgo 
- Afectación a la imagen institucional
-Inexistencia de uniformidad de la imagen institucional 
-Beneficio de terceros al hacer uso de la imagen institucional  
Avance sobre los controles: (acciones de tratamiento). 
Se llevaron a cabo acciones de tratamiento orientadas a sensibilizar a los supervisores y jefes de oficina sobre el uso adecuado de la marca institucional. Esta actividad se realiza de manera semestral. Como parte de estas acciones, se evidenció la socialización del plan de comunicaciones, en el cual se abordó el tema de la marca institucional ante los diferentes jefes de la Universidad de los Llanos, en donde se tiene como evidencia registro fotografico y correo enviados acerca de la socialización. 
</v>
      </c>
      <c r="AC23" s="152" t="str">
        <f>IFERROR(__xludf.DUMMYFUNCTION("""COMPUTED_VALUE"""),"Jorge Fernandez")</f>
        <v>Jorge Fernandez</v>
      </c>
      <c r="AD23" s="153" t="str">
        <f>IFERROR(__xludf.DUMMYFUNCTION("""COMPUTED_VALUE"""),"Evidencia")</f>
        <v>Evidencia</v>
      </c>
      <c r="AE23" s="150" t="str">
        <f>IFERROR(__xludf.DUMMYFUNCTION("""COMPUTED_VALUE"""),"Si")</f>
        <v>Si</v>
      </c>
      <c r="AF23" s="150" t="str">
        <f>IFERROR(__xludf.DUMMYFUNCTION("""COMPUTED_VALUE"""),"En proceso")</f>
        <v>En proceso</v>
      </c>
      <c r="AG23" s="32" t="str">
        <f>IFERROR(__xludf.DUMMYFUNCTION("""COMPUTED_VALUE"""),"Se evidencia reporte sobre la no materialización del riesgo. 
Sobre las acciones asociadas a la aplicación de controles del riesgo: 
Se recomienda redactar las acciones de tratamiento y cargar los debidos soportes que justifiquen: 
Como el area de com"&amp;"unicaciones evalua las solicitudes del uso de logotipo de la universidad por medio del formulario, es necesario que esto se añada a las evidencias. Asi, como tambien es importante mencionar sobre la manera en que se establecen los lineamientos para el uso"&amp;" de simbolos institucionales mediante manual de identidad visual, tampoco se evidencia soporte sobre el formulario del mal uso del logotipo institucional, se recomienda documentar esta información durante esta vigencia en los proximos monitoreos. 
Sobre "&amp;"las acciones asociadas al tratamiento: 
En la carpeta de evidencias se evidencia el registro de correo electronico sobre la sensibilización a los supervisores y jefes de oficina sobre el uso adecuado de la marca institucional, dando cumplimiento a el rep"&amp;"orte del primer semestre. 
")</f>
        <v>Se evidencia reporte sobre la no materialización del riesgo. 
Sobre las acciones asociadas a la aplicación de controles del riesgo: 
Se recomienda redactar las acciones de tratamiento y cargar los debidos soportes que justifiquen: 
Como el area de comunicaciones evalua las solicitudes del uso de logotipo de la universidad por medio del formulario, es necesario que esto se añada a las evidencias. Asi, como tambien es importante mencionar sobre la manera en que se establecen los lineamientos para el uso de simbolos institucionales mediante manual de identidad visual, tampoco se evidencia soporte sobre el formulario del mal uso del logotipo institucional, se recomienda documentar esta información durante esta vigencia en los proximos monitoreos. 
Sobre las acciones asociadas al tratamiento: 
En la carpeta de evidencias se evidencia el registro de correo electronico sobre la sensibilización a los supervisores y jefes de oficina sobre el uso adecuado de la marca institucional, dando cumplimiento a el reporte del primer semestre. 
</v>
      </c>
      <c r="AH23" s="150" t="str">
        <f>IFERROR(__xludf.DUMMYFUNCTION("""COMPUTED_VALUE"""),"30 de abril")</f>
        <v>30 de abril</v>
      </c>
      <c r="AI23" s="32" t="str">
        <f>IFERROR(__xludf.DUMMYFUNCTION("""COMPUTED_VALUE"""),"Si")</f>
        <v>Si</v>
      </c>
      <c r="AJ23" s="32" t="str">
        <f>IFERROR(__xludf.DUMMYFUNCTION("""COMPUTED_VALUE"""),"No")</f>
        <v>No</v>
      </c>
      <c r="AK23" s="32" t="str">
        <f>IFERROR(__xludf.DUMMYFUNCTION("""COMPUTED_VALUE"""),"No")</f>
        <v>No</v>
      </c>
      <c r="AL23" s="32" t="str">
        <f>IFERROR(__xludf.DUMMYFUNCTION("""COMPUTED_VALUE"""),"No aplica")</f>
        <v>No aplica</v>
      </c>
      <c r="AM23" s="32" t="str">
        <f>IFERROR(__xludf.DUMMYFUNCTION("""COMPUTED_VALUE"""),"No")</f>
        <v>No</v>
      </c>
      <c r="AN23" s="32" t="str">
        <f>IFERROR(__xludf.DUMMYFUNCTION("""COMPUTED_VALUE"""),"Si")</f>
        <v>Si</v>
      </c>
      <c r="AO23" s="32" t="str">
        <f>IFERROR(__xludf.DUMMYFUNCTION("""COMPUTED_VALUE"""),"No aplica")</f>
        <v>No aplica</v>
      </c>
      <c r="AP23" s="32" t="str">
        <f>IFERROR(__xludf.DUMMYFUNCTION("""COMPUTED_VALUE"""),"No aplica")</f>
        <v>No aplica</v>
      </c>
      <c r="AQ23" s="32" t="str">
        <f>IFERROR(__xludf.DUMMYFUNCTION("""COMPUTED_VALUE"""),"No aplica")</f>
        <v>No aplica</v>
      </c>
      <c r="AR23" s="32" t="str">
        <f>IFERROR(__xludf.DUMMYFUNCTION("""COMPUTED_VALUE"""),"No aplica")</f>
        <v>No aplica</v>
      </c>
      <c r="AS23" s="150" t="str">
        <f>IFERROR(__xludf.DUMMYFUNCTION("""COMPUTED_VALUE"""),"Hallazgo:
El proceso no aportó evidencias que soporten la ejecución de los controles, durante el periodo evaluado.
Adicionalmente, el proceso reporta como resultado del monitoreo, lo sguiente:
Acciones asociadas a la aplicación de controles de riesgo 
- "&amp;"Afectación a la imagen institucional
-Inexistencia de uniformidad de la imagen institucional 
-Beneficio de terceros al hacer uso de la imagen institucional""
Lo anterior no gurada correspondencia con lo que debería ser el reporte del resultado de la eje"&amp;"cución de los controles y en su lugar se relacionan las consecuencias identificadas con relación al riesgo.
Recomendaciones:
*Fortalecer la descripción del riesgo, considerando la metodología de la Guía para la Administración del Riesgo y el diseño de co"&amp;"ntroles en entidades públicas Versión 6, que propone los elementos para la descripción del riesgo, como son: 
Impacto: las consecuencias que puede ocasionar a la organización la materialización del riesgo.
Causa inmediata: circunstancias o situaciones más"&amp;" evidentes sobre las cuales se presenta el riesgo, las mismas no constituyen la causa principal o base para que se presente el riesgo.
Causa raíz: es la causa principal o básica, corresponden a las razones por la cuales se puede presentar el riesgo, son l"&amp;"a base para la definición de controles en la etapa de valoración del riesgo. Se debe tener en cuenta que para un mismo riesgo pueden existir más de una causa o subcausas que pueden ser analizadas. 
*Fortalecer la orientación y acompañamiento al proceso, "&amp;"desde la Segunda Línea de Defensa, con el fin de asegurar una mejor aplicación de la metodología establecida para la gestión del riesgo.")</f>
        <v>Hallazgo:
El proceso no aportó evidencias que soporten la ejecución de los controles, durante el periodo evaluado.
Adicionalmente, el proceso reporta como resultado del monitoreo, lo sguiente:
Acciones asociadas a la aplicación de controles de riesgo 
- Afectación a la imagen institucional
-Inexistencia de uniformidad de la imagen institucional 
-Beneficio de terceros al hacer uso de la imagen institucional"
Lo anterior no gurada correspondencia con lo que debería ser el reporte del resultado de la ejecución de los controles y en su lugar se relacionan las consecuencias identificadas con relación al riesgo.
Recomendaciones:
*Fortalecer la descripción del riesgo, considerando la metodología de la Guía para la Administración del Riesgo y el diseño de controles en entidades públicas Versión 6, que propone los elementos para la descripción del riesgo, como son: 
Impacto: las consecuencias que puede ocasionar a la organización la materialización del riesgo.
Causa inmediata: circunstancias o situaciones más evidentes sobre las cuales se presenta el riesgo, las mismas no constituyen la causa principal o base para que se presente el riesgo.
Causa raíz: es la causa principal o básica, corresponden a las razones por la cuales se puede presentar el riesgo, son la base para la definición de controles en la etapa de valoración del riesgo. Se debe tener en cuenta que para un mismo riesgo pueden existir más de una causa o subcausas que pueden ser analizadas. 
*Fortalecer la orientación y acompañamiento al proceso, desde la Segunda Línea de Defensa, con el fin de asegurar una mejor aplicación de la metodología establecida para la gestión del riesgo.</v>
      </c>
      <c r="AT23" s="139"/>
    </row>
    <row r="24">
      <c r="A24" s="161"/>
      <c r="B24" s="73"/>
      <c r="C24" s="73"/>
      <c r="D24" s="156"/>
      <c r="E24" s="156"/>
      <c r="F24" s="156"/>
      <c r="G24" s="156"/>
      <c r="H24" s="156"/>
      <c r="I24" s="156"/>
      <c r="J24" s="156"/>
      <c r="K24" s="156"/>
      <c r="L24" s="156"/>
      <c r="M24" s="156"/>
      <c r="N24" s="156"/>
      <c r="O24" s="156"/>
      <c r="P24" s="156"/>
      <c r="Q24" s="157"/>
      <c r="R24" s="158" t="str">
        <f>IFERROR(__xludf.DUMMYFUNCTION("""COMPUTED_VALUE"""),"")</f>
        <v/>
      </c>
      <c r="S24" s="159" t="str">
        <f>IFERROR(__xludf.DUMMYFUNCTION("""COMPUTED_VALUE"""),"")</f>
        <v/>
      </c>
      <c r="T24" s="159" t="str">
        <f>IFERROR(__xludf.DUMMYFUNCTION("""COMPUTED_VALUE"""),"")</f>
        <v/>
      </c>
      <c r="U24" s="159" t="str">
        <f>IFERROR(__xludf.DUMMYFUNCTION("""COMPUTED_VALUE"""),"")</f>
        <v/>
      </c>
      <c r="V24" s="94"/>
      <c r="W24" s="94"/>
      <c r="X24" s="94"/>
      <c r="Y24" s="94"/>
      <c r="Z24" s="150" t="str">
        <f>IFERROR(__xludf.DUMMYFUNCTION("""COMPUTED_VALUE"""),"30 de agosto")</f>
        <v>30 de agosto</v>
      </c>
      <c r="AA24" s="151">
        <f>IFERROR(__xludf.DUMMYFUNCTION("""COMPUTED_VALUE"""),45899.0)</f>
        <v>45899</v>
      </c>
      <c r="AB24" s="150" t="str">
        <f>IFERROR(__xludf.DUMMYFUNCTION("""COMPUTED_VALUE"""),"Durante este segundo monitoreo NO se materializó el riesgo.
Acciones asociadas a la aplicación de controles de riesgo 
- Afectación a la imagen institucional: El Profesional de comunicaciones evalúo las solicitudes de uso del logotipo de la universidad
-"&amp;"Inexistencia de uniformidad de la imagen institucional: Se implementó un manual de identidad visual. Se está haciendo seguimiento a su correcta aplicación.
-Beneficio de terceros al hacer uso de la imagen institucional  
la gestión adecuada de los control"&amp;"es de riesgo en torno a la imagen institucional no solo protege la reputación de la organización, sino que refuerza su coherencia, su legitimidad y su capacidad de comunicar eficazmente con todos sus públicos.
Avance sobre los controles: (acciones de trat"&amp;"amiento). 
Se llevaron a cabo acciones de tratamiento orientadas a sensibilizar a los supervisores y jefes de oficina sobre el uso adecuado de la marca institucional. Esta actividad se realiza de manera semestral. Como parte de estas acciones, se evidenci"&amp;"ó la socialización del plan de comunicaciones, en el cual se abordó el tema de la marca institucional ante los diferentes jefes de la Universidad de los Llanos, en donde se tiene como evidencia registro fotográfico y correo enviados acerca de la socializa"&amp;"ción, lo cual quieres decir que por este semestre ya se cumplió 
")</f>
        <v>Durante este segundo monitoreo NO se materializó el riesgo.
Acciones asociadas a la aplicación de controles de riesgo 
- Afectación a la imagen institucional: El Profesional de comunicaciones evalúo las solicitudes de uso del logotipo de la universidad
-Inexistencia de uniformidad de la imagen institucional: Se implementó un manual de identidad visual. Se está haciendo seguimiento a su correcta aplicación.
-Beneficio de terceros al hacer uso de la imagen institucional  
la gestión adecuada de los controles de riesgo en torno a la imagen institucional no solo protege la reputación de la organización, sino que refuerza su coherencia, su legitimidad y su capacidad de comunicar eficazmente con todos sus públicos.
Avance sobre los controles: (acciones de tratamiento). 
Se llevaron a cabo acciones de tratamiento orientadas a sensibilizar a los supervisores y jefes de oficina sobre el uso adecuado de la marca institucional. Esta actividad se realiza de manera semestral. Como parte de estas acciones, se evidenció la socialización del plan de comunicaciones, en el cual se abordó el tema de la marca institucional ante los diferentes jefes de la Universidad de los Llanos, en donde se tiene como evidencia registro fotográfico y correo enviados acerca de la socialización, lo cual quieres decir que por este semestre ya se cumplió 
</v>
      </c>
      <c r="AC24" s="152" t="str">
        <f>IFERROR(__xludf.DUMMYFUNCTION("""COMPUTED_VALUE"""),"Jorge Fernandez")</f>
        <v>Jorge Fernandez</v>
      </c>
      <c r="AD24" s="153" t="str">
        <f>IFERROR(__xludf.DUMMYFUNCTION("""COMPUTED_VALUE"""),"Evidencia")</f>
        <v>Evidencia</v>
      </c>
      <c r="AE24" s="150" t="str">
        <f>IFERROR(__xludf.DUMMYFUNCTION("""COMPUTED_VALUE"""),"Si")</f>
        <v>Si</v>
      </c>
      <c r="AF24" s="152" t="str">
        <f>IFERROR(__xludf.DUMMYFUNCTION("""COMPUTED_VALUE"""),"En proceso")</f>
        <v>En proceso</v>
      </c>
      <c r="AG24" s="32" t="str">
        <f>IFERROR(__xludf.DUMMYFUNCTION("""COMPUTED_VALUE"""),"Durante este segundo monitoreo no se materializó el riesgo.
Acciones asociadas a los controles del riesgo
El profesional del área de comunicaciones evaluó las solicitudes de uso del logotipo institucional.
Se implementó y dio seguimiento al Manual de I"&amp;"dentidad Visual, verificando su correcta aplicación.
Se realizó gestión de control frente al uso del logotipo y símbolos institucionales para evitar beneficio de terceros.
Acciones asociadas al tratamiento
Se llevó a cabo la sensibilización a superviso"&amp;"res y jefes de oficina sobre el uso adecuado de la marca institucional, actividad que se desarrolla de manera semestral.
Se socializó el Plan de Comunicaciones ante los jefes de la Universidad, incluyendo lineamientos sobre el uso de la marca institucion"&amp;"al.
Como evidencia se cuenta con registro fotográfico y correos enviados, con lo cual se da cumplimiento a la acción de tratamiento en el presente semestre")</f>
        <v>Durante este segundo monitoreo no se materializó el riesgo.
Acciones asociadas a los controles del riesgo
El profesional del área de comunicaciones evaluó las solicitudes de uso del logotipo institucional.
Se implementó y dio seguimiento al Manual de Identidad Visual, verificando su correcta aplicación.
Se realizó gestión de control frente al uso del logotipo y símbolos institucionales para evitar beneficio de terceros.
Acciones asociadas al tratamiento
Se llevó a cabo la sensibilización a supervisores y jefes de oficina sobre el uso adecuado de la marca institucional, actividad que se desarrolla de manera semestral.
Se socializó el Plan de Comunicaciones ante los jefes de la Universidad, incluyendo lineamientos sobre el uso de la marca institucional.
Como evidencia se cuenta con registro fotográfico y correos enviados, con lo cual se da cumplimiento a la acción de tratamiento en el presente semestre</v>
      </c>
      <c r="AH24" s="150" t="str">
        <f>IFERROR(__xludf.DUMMYFUNCTION("""COMPUTED_VALUE"""),"31 de agosto")</f>
        <v>31 de agosto</v>
      </c>
      <c r="AI24" s="32" t="str">
        <f>IFERROR(__xludf.DUMMYFUNCTION("""COMPUTED_VALUE"""),"Si")</f>
        <v>Si</v>
      </c>
      <c r="AJ24" s="32" t="str">
        <f>IFERROR(__xludf.DUMMYFUNCTION("""COMPUTED_VALUE"""),"No")</f>
        <v>No</v>
      </c>
      <c r="AK24" s="32" t="str">
        <f>IFERROR(__xludf.DUMMYFUNCTION("""COMPUTED_VALUE"""),"No")</f>
        <v>No</v>
      </c>
      <c r="AL24" s="32" t="str">
        <f>IFERROR(__xludf.DUMMYFUNCTION("""COMPUTED_VALUE"""),"No aplica")</f>
        <v>No aplica</v>
      </c>
      <c r="AM24" s="32" t="str">
        <f>IFERROR(__xludf.DUMMYFUNCTION("""COMPUTED_VALUE"""),"No")</f>
        <v>No</v>
      </c>
      <c r="AN24" s="32" t="str">
        <f>IFERROR(__xludf.DUMMYFUNCTION("""COMPUTED_VALUE"""),"Si")</f>
        <v>Si</v>
      </c>
      <c r="AO24" s="32" t="str">
        <f>IFERROR(__xludf.DUMMYFUNCTION("""COMPUTED_VALUE"""),"No aplica")</f>
        <v>No aplica</v>
      </c>
      <c r="AP24" s="32" t="str">
        <f>IFERROR(__xludf.DUMMYFUNCTION("""COMPUTED_VALUE"""),"No aplica")</f>
        <v>No aplica</v>
      </c>
      <c r="AQ24" s="32" t="str">
        <f>IFERROR(__xludf.DUMMYFUNCTION("""COMPUTED_VALUE"""),"No aplica")</f>
        <v>No aplica</v>
      </c>
      <c r="AR24" s="32" t="str">
        <f>IFERROR(__xludf.DUMMYFUNCTION("""COMPUTED_VALUE"""),"No aplica")</f>
        <v>No aplica</v>
      </c>
      <c r="AS24" s="150" t="str">
        <f>IFERROR(__xludf.DUMMYFUNCTION("""COMPUTED_VALUE"""),"Se reitera hallazgo de la evaluación del primer cuatrimestre:
El proceso reporta como resultado del monitoreo, lo siguiente:
Acciones asociadas a la aplicación de controles de riesgo 
- Afectación a la imagen institucional
-Inexistencia de uniformidad de "&amp;"la imagen institucional 
-Beneficio de terceros al hacer uso de la imagen institucional""
Lo anterior, no guarda correspondencia con lo que debería ser el reporte del resultado de la ejecución de los controles, toda vez que la información relacionada cor"&amp;"responde a las consecuencias identificadas con relación al riesgo, según lo registrado en la Columna H.
Recomendaciones:
*Fortalecer la descripción del riesgo y la descripción de los controles, considerando la metodología de la Guía para la Administració"&amp;"n del Riesgo y el diseño de controles en entidades públicas Versión 6, que propone los elementos para la descripción del riesgo. 
*Aportar como evidencia soportes de las solicitudes de uso del logo institucional, que contenga el visto bueno del profesiona"&amp;"l de Comunicaciones.
Observación al resultado del monitoreo realizado por la segunda línea de defensa:
*Se recomienda fortalecer la orientación y acompañamiento al proceso, desde la Segunda Línea de Defensa, con el fin de asegurar una mejor aplicación de"&amp;" la metodología establecida para la gestión del riesgo.")</f>
        <v>Se reitera hallazgo de la evaluación del primer cuatrimestre:
El proceso reporta como resultado del monitoreo, lo siguiente:
Acciones asociadas a la aplicación de controles de riesgo 
- Afectación a la imagen institucional
-Inexistencia de uniformidad de la imagen institucional 
-Beneficio de terceros al hacer uso de la imagen institucional"
Lo anterior, no guarda correspondencia con lo que debería ser el reporte del resultado de la ejecución de los controles, toda vez que la información relacionada corresponde a las consecuencias identificadas con relación al riesgo, según lo registrado en la Columna H.
Recomendaciones:
*Fortalecer la descripción del riesgo y la descripción de los controles, considerando la metodología de la Guía para la Administración del Riesgo y el diseño de controles en entidades públicas Versión 6, que propone los elementos para la descripción del riesgo. 
*Aportar como evidencia soportes de las solicitudes de uso del logo institucional, que contenga el visto bueno del profesional de Comunicaciones.
Observación al resultado del monitoreo realizado por la segunda línea de defensa:
*Se recomienda fortalecer la orientación y acompañamiento al proceso, desde la Segunda Línea de Defensa, con el fin de asegurar una mejor aplicación de la metodología establecida para la gestión del riesgo.</v>
      </c>
      <c r="AT24" s="139"/>
    </row>
    <row r="25">
      <c r="A25" s="161"/>
      <c r="B25" s="73"/>
      <c r="C25" s="73"/>
      <c r="D25" s="119"/>
      <c r="E25" s="119"/>
      <c r="F25" s="119"/>
      <c r="G25" s="119"/>
      <c r="H25" s="119"/>
      <c r="I25" s="119"/>
      <c r="J25" s="119"/>
      <c r="K25" s="119"/>
      <c r="L25" s="119"/>
      <c r="M25" s="119"/>
      <c r="N25" s="119"/>
      <c r="O25" s="119"/>
      <c r="P25" s="119"/>
      <c r="Q25" s="162"/>
      <c r="R25" s="163" t="str">
        <f>IFERROR(__xludf.DUMMYFUNCTION("""COMPUTED_VALUE"""),"")</f>
        <v/>
      </c>
      <c r="S25" s="164" t="str">
        <f>IFERROR(__xludf.DUMMYFUNCTION("""COMPUTED_VALUE"""),"")</f>
        <v/>
      </c>
      <c r="T25" s="164" t="str">
        <f>IFERROR(__xludf.DUMMYFUNCTION("""COMPUTED_VALUE"""),"")</f>
        <v/>
      </c>
      <c r="U25" s="164" t="str">
        <f>IFERROR(__xludf.DUMMYFUNCTION("""COMPUTED_VALUE"""),"")</f>
        <v/>
      </c>
      <c r="V25" s="98"/>
      <c r="W25" s="98"/>
      <c r="X25" s="98"/>
      <c r="Y25" s="98"/>
      <c r="Z25" s="150" t="str">
        <f>IFERROR(__xludf.DUMMYFUNCTION("""COMPUTED_VALUE"""),"30 de diciembre")</f>
        <v>30 de diciembre</v>
      </c>
      <c r="AA25" s="179">
        <f>IFERROR(__xludf.DUMMYFUNCTION("""COMPUTED_VALUE"""),45993.0)</f>
        <v>45993</v>
      </c>
      <c r="AB25" s="150" t="str">
        <f>IFERROR(__xludf.DUMMYFUNCTION("""COMPUTED_VALUE"""),"Durante este tercer monitoreo NO se materializó el riesgo.
Acciones asociadas a la aplicación: 
•        Afectación a la imagen Institucional: El profesional del área de comunicaciones evalúo las solicitudes del uso del logotipo de la Universidad, realiza"&amp;"das a través del formulario, y emitió recomendaciones en caso de que se consideren pertinentes. 
•        Inexistencia de uniformidad de la imagen: La Universidad establece los lineamientos para el uso de los símbolos institucionales, mediante el manual d"&amp;"e identidad visual
•        Beneficio de terceros al hacer uso de la imagen Institucional: El área de comunicaciones, cuenta con un formulario para el reporte de mal uso del logo Institucional.
Acciones de tratamiento
Se llevaron a cabo acciones de tratam"&amp;"iento orientadas a sensibilizar a los supervisores y jefes de oficina sobre el uso adecuado de la marca institucional. Esta actividad se realiza de manera semestral. Como parte de estas acciones, se evidenció la socialización del plan de comunicaciones, e"&amp;"n el cual se abordó el tema de la marca institucional ante los diferentes jefes de la Universidad de los Llanos, en donde se tiene como evidencia registro fotográfico y correo enviados acerca de la socialización, lo cual quiere decir que por este semestre"&amp;" ya se cumplió
Durante este semestre no se evidenció reporte de mal uso de la marca, se realiza seguimiento a redes sociales y publicaciones en caso de que requieran. 
")</f>
        <v>Durante este tercer monitoreo NO se materializó el riesgo.
Acciones asociadas a la aplicación: 
•        Afectación a la imagen Institucional: El profesional del área de comunicaciones evalúo las solicitudes del uso del logotipo de la Universidad, realizadas a través del formulario, y emitió recomendaciones en caso de que se consideren pertinentes. 
•        Inexistencia de uniformidad de la imagen: La Universidad establece los lineamientos para el uso de los símbolos institucionales, mediante el manual de identidad visual
•        Beneficio de terceros al hacer uso de la imagen Institucional: El área de comunicaciones, cuenta con un formulario para el reporte de mal uso del logo Institucional.
Acciones de tratamiento
Se llevaron a cabo acciones de tratamiento orientadas a sensibilizar a los supervisores y jefes de oficina sobre el uso adecuado de la marca institucional. Esta actividad se realiza de manera semestral. Como parte de estas acciones, se evidenció la socialización del plan de comunicaciones, en el cual se abordó el tema de la marca institucional ante los diferentes jefes de la Universidad de los Llanos, en donde se tiene como evidencia registro fotográfico y correo enviados acerca de la socialización, lo cual quiere decir que por este semestre ya se cumplió
Durante este semestre no se evidenció reporte de mal uso de la marca, se realiza seguimiento a redes sociales y publicaciones en caso de que requieran. 
</v>
      </c>
      <c r="AC25" s="152" t="str">
        <f>IFERROR(__xludf.DUMMYFUNCTION("""COMPUTED_VALUE"""),"Jorge Fernandez")</f>
        <v>Jorge Fernandez</v>
      </c>
      <c r="AD25" s="153" t="str">
        <f>IFERROR(__xludf.DUMMYFUNCTION("""COMPUTED_VALUE"""),"Evidencia")</f>
        <v>Evidencia</v>
      </c>
      <c r="AE25" s="150" t="str">
        <f>IFERROR(__xludf.DUMMYFUNCTION("""COMPUTED_VALUE"""),"Si")</f>
        <v>Si</v>
      </c>
      <c r="AF25" s="152" t="str">
        <f>IFERROR(__xludf.DUMMYFUNCTION("""COMPUTED_VALUE"""),"Ejecutada")</f>
        <v>Ejecutada</v>
      </c>
      <c r="AG25" s="32" t="str">
        <f>IFERROR(__xludf.DUMMYFUNCTION("""COMPUTED_VALUE"""),"Resultado del monitoreo del riesgo
Durante el periodo correspondiente a este tercer monitoreo, no se materializó el riesgo asociado a la afectación reputacional por el uso inadecuado de la imagen institucional, derivado de debilidades en la aplicación de"&amp;" controles en el uso de la marca y los símbolos institucionales.
Seguimiento a las acciones asociadas a los controles
Control 1:
Se evidencia que el profesional del área de Comunicaciones evaluó las solicitudes de uso del logotipo de la Universidad, las"&amp;" cuales fueron tramitadas a través del formulario establecido. Como resultado de dicha evaluación, se emitieron las recomendaciones pertinentes para garantizar el uso adecuado de la imagen institucional.
Control 2:
Se evidencia que la Universidad cuenta "&amp;"con lineamientos definidos para el uso de los símbolos institucionales, los cuales se encuentran establecidos en el Manual de Identidad Visual, contribuyendo a la uniformidad y correcta aplicación de la imagen institucional.
Control 3:
Se evidencia que e"&amp;"l área de Comunicaciones dispone de un formulario para el reporte de mal uso del logotipo institucional. Durante el periodo evaluado, no se registraron reportes de uso inadecuado de la marca, y se realizó seguimiento permanente a redes sociales y publicac"&amp;"iones institucionales.
Acciones asociadas al tratamiento del riesgo
Durante el periodo evaluado, se ejecutaron acciones de tratamiento orientadas a la sensibilización de supervisores y jefes de oficina respecto al uso adecuado de la marca institucional."&amp;"
Esta actividad se realiza de manera semestral y, para el presente periodo, se evidenció la socialización del Plan de Comunicaciones, en el cual se abordó el tema de la marca institucional ante los diferentes jefes de la Universidad de los Llanos.
Como so"&amp;"portes de estas acciones se cuenta con registro fotográfico y correos electrónicos asociados a la socialización, dando cumplimiento a la actividad programada para el semestre.")</f>
        <v>Resultado del monitoreo del riesgo
Durante el periodo correspondiente a este tercer monitoreo, no se materializó el riesgo asociado a la afectación reputacional por el uso inadecuado de la imagen institucional, derivado de debilidades en la aplicación de controles en el uso de la marca y los símbolos institucionales.
Seguimiento a las acciones asociadas a los controles
Control 1:
Se evidencia que el profesional del área de Comunicaciones evaluó las solicitudes de uso del logotipo de la Universidad, las cuales fueron tramitadas a través del formulario establecido. Como resultado de dicha evaluación, se emitieron las recomendaciones pertinentes para garantizar el uso adecuado de la imagen institucional.
Control 2:
Se evidencia que la Universidad cuenta con lineamientos definidos para el uso de los símbolos institucionales, los cuales se encuentran establecidos en el Manual de Identidad Visual, contribuyendo a la uniformidad y correcta aplicación de la imagen institucional.
Control 3:
Se evidencia que el área de Comunicaciones dispone de un formulario para el reporte de mal uso del logotipo institucional. Durante el periodo evaluado, no se registraron reportes de uso inadecuado de la marca, y se realizó seguimiento permanente a redes sociales y publicaciones institucionales.
Acciones asociadas al tratamiento del riesgo
Durante el periodo evaluado, se ejecutaron acciones de tratamiento orientadas a la sensibilización de supervisores y jefes de oficina respecto al uso adecuado de la marca institucional.
Esta actividad se realiza de manera semestral y, para el presente periodo, se evidenció la socialización del Plan de Comunicaciones, en el cual se abordó el tema de la marca institucional ante los diferentes jefes de la Universidad de los Llanos.
Como soportes de estas acciones se cuenta con registro fotográfico y correos electrónicos asociados a la socialización, dando cumplimiento a la actividad programada para el semestre.</v>
      </c>
      <c r="AH25" s="150" t="str">
        <f>IFERROR(__xludf.DUMMYFUNCTION("""COMPUTED_VALUE"""),"31 de diciembre")</f>
        <v>31 de diciembre</v>
      </c>
      <c r="AI25" s="32" t="str">
        <f>IFERROR(__xludf.DUMMYFUNCTION("""COMPUTED_VALUE"""),"Si")</f>
        <v>Si</v>
      </c>
      <c r="AJ25" s="32" t="str">
        <f>IFERROR(__xludf.DUMMYFUNCTION("""COMPUTED_VALUE"""),"No")</f>
        <v>No</v>
      </c>
      <c r="AK25" s="32" t="str">
        <f>IFERROR(__xludf.DUMMYFUNCTION("""COMPUTED_VALUE"""),"No")</f>
        <v>No</v>
      </c>
      <c r="AL25" s="32" t="str">
        <f>IFERROR(__xludf.DUMMYFUNCTION("""COMPUTED_VALUE"""),"No aplica")</f>
        <v>No aplica</v>
      </c>
      <c r="AM25" s="32" t="str">
        <f>IFERROR(__xludf.DUMMYFUNCTION("""COMPUTED_VALUE"""),"No")</f>
        <v>No</v>
      </c>
      <c r="AN25" s="32" t="str">
        <f>IFERROR(__xludf.DUMMYFUNCTION("""COMPUTED_VALUE"""),"Si")</f>
        <v>Si</v>
      </c>
      <c r="AO25" s="32" t="str">
        <f>IFERROR(__xludf.DUMMYFUNCTION("""COMPUTED_VALUE"""),"No aplica")</f>
        <v>No aplica</v>
      </c>
      <c r="AP25" s="32" t="str">
        <f>IFERROR(__xludf.DUMMYFUNCTION("""COMPUTED_VALUE"""),"No aplica")</f>
        <v>No aplica</v>
      </c>
      <c r="AQ25" s="32" t="str">
        <f>IFERROR(__xludf.DUMMYFUNCTION("""COMPUTED_VALUE"""),"No aplica")</f>
        <v>No aplica</v>
      </c>
      <c r="AR25" s="32" t="str">
        <f>IFERROR(__xludf.DUMMYFUNCTION("""COMPUTED_VALUE"""),"No aplica")</f>
        <v>No aplica</v>
      </c>
      <c r="AS25" s="150" t="str">
        <f>IFERROR(__xludf.DUMMYFUNCTION("""COMPUTED_VALUE"""),"Se reitera hallazgo de la evaluación del primer cuatrimestre:
El proceso reporta como resultado del monitoreo, lo siguiente:
Acciones asociadas a la aplicación de controles de riesgo 
- Afectación a la imagen institucional
-Inexistencia de uniformidad de "&amp;"la imagen institucional 
-Beneficio de terceros al hacer uso de la imagen institucional""
Lo anterior, no guarda correspondencia con lo que debería ser el reporte del resultado de la ejecución de los controles, toda vez que la información relacionada cor"&amp;"responde a las consecuencias identificadas con relación al riesgo, según lo registrado en la Columna H.
Recomendaciones:
*El proceso debe garantizar el cargue de evidencia relacionada con los soportes de las solicitudes de uso del logo institucional, que "&amp;"contenga el visto bueno del profesional de Comunicaciones.
")</f>
        <v>Se reitera hallazgo de la evaluación del primer cuatrimestre:
El proceso reporta como resultado del monitoreo, lo siguiente:
Acciones asociadas a la aplicación de controles de riesgo 
- Afectación a la imagen institucional
-Inexistencia de uniformidad de la imagen institucional 
-Beneficio de terceros al hacer uso de la imagen institucional"
Lo anterior, no guarda correspondencia con lo que debería ser el reporte del resultado de la ejecución de los controles, toda vez que la información relacionada corresponde a las consecuencias identificadas con relación al riesgo, según lo registrado en la Columna H.
Recomendaciones:
*El proceso debe garantizar el cargue de evidencia relacionada con los soportes de las solicitudes de uso del logo institucional, que contenga el visto bueno del profesional de Comunicaciones.
</v>
      </c>
      <c r="AT25" s="139"/>
    </row>
    <row r="26">
      <c r="A26" s="161"/>
      <c r="B26" s="73"/>
      <c r="C26" s="73"/>
      <c r="D26" s="144" t="str">
        <f>IFERROR(__xludf.DUMMYFUNCTION("""COMPUTED_VALUE"""),"Afectación reputacional por uso indebido de los canales, medios e información institucional para favorecer intereses particulares, debido a descentralización de la información al interior de la Universidad")</f>
        <v>Afectación reputacional por uso indebido de los canales, medios e información institucional para favorecer intereses particulares, debido a descentralización de la información al interior de la Universidad</v>
      </c>
      <c r="E26" s="144" t="str">
        <f>IFERROR(__xludf.DUMMYFUNCTION("""COMPUTED_VALUE"""),"Área de Comunicaciones")</f>
        <v>Área de Comunicaciones</v>
      </c>
      <c r="F26" s="144" t="str">
        <f>IFERROR(__xludf.DUMMYFUNCTION("""COMPUTED_VALUE"""),"Gestión")</f>
        <v>Gestión</v>
      </c>
      <c r="G26" s="144" t="str">
        <f>IFERROR(__xludf.DUMMYFUNCTION("""COMPUTED_VALUE"""),"- Las fuentes de información, desconocen el procedimiento para la solicitud de servicios de comunicación institucional (PD-COM-03)
- Las fuentes no entregan de manera oportuna la información necesaria para su difusión
- Ataques informáticos a los canales "&amp;"de comunicación institucionales")</f>
        <v>- Las fuentes de información, desconocen el procedimiento para la solicitud de servicios de comunicación institucional (PD-COM-03)
- Las fuentes no entregan de manera oportuna la información necesaria para su difusión
- Ataques informáticos a los canales de comunicación institucionales</v>
      </c>
      <c r="H26" s="144" t="str">
        <f>IFERROR(__xludf.DUMMYFUNCTION("""COMPUTED_VALUE"""),"1. Desinformación en público interno y externo
2. Afectación a la imagen institucional")</f>
        <v>1. Desinformación en público interno y externo
2. Afectación a la imagen institucional</v>
      </c>
      <c r="I26" s="145" t="str">
        <f>IFERROR(__xludf.DUMMYFUNCTION("""COMPUTED_VALUE"""),"COM_02")</f>
        <v>COM_02</v>
      </c>
      <c r="J26" s="145" t="str">
        <f>IFERROR(__xludf.DUMMYFUNCTION("""COMPUTED_VALUE"""),"Alta")</f>
        <v>Alta</v>
      </c>
      <c r="K26" s="145" t="str">
        <f>IFERROR(__xludf.DUMMYFUNCTION("""COMPUTED_VALUE"""),"Moderado")</f>
        <v>Moderado</v>
      </c>
      <c r="L26" s="145" t="str">
        <f>IFERROR(__xludf.DUMMYFUNCTION("""COMPUTED_VALUE"""),"Alta")</f>
        <v>Alta</v>
      </c>
      <c r="M26" s="144" t="str">
        <f>IFERROR(__xludf.DUMMYFUNCTION("""COMPUTED_VALUE"""),"- Los profesionales del área de comunicaciones gestionan las solicitudes recibidas mediante el formulario de requerimiento de servicios (FO-COM-01)
- El profesional del área de comunicaciones, verifica la ejecución del plan de comunicaciones y medios para"&amp;" cada vigencia
- El área de comunicaciones realiza la gestión pertinente ante la instancia que corresponda, para recuperar el control de los medios de comunicación institucionales
- El área de comunicaciones, emite la comunicación dirigida a la comunidad "&amp;"universitaria y a la opinión pública, con el fin de aclarar las circunstancias - La Universidad implementó la verificación en 2 pasos para las redes sociales institucionales, además de la habilitación de un correo electrónico institucional de recuperación")</f>
        <v>- Los profesionales del área de comunicaciones gestionan las solicitudes recibidas mediante el formulario de requerimiento de servicios (FO-COM-01)
- El profesional del área de comunicaciones, verifica la ejecución del plan de comunicaciones y medios para cada vigencia
- El área de comunicaciones realiza la gestión pertinente ante la instancia que corresponda, para recuperar el control de los medios de comunicación institucionales
- El área de comunicaciones, emite la comunicación dirigida a la comunidad universitaria y a la opinión pública, con el fin de aclarar las circunstancias - La Universidad implementó la verificación en 2 pasos para las redes sociales institucionales, además de la habilitación de un correo electrónico institucional de recuperación</v>
      </c>
      <c r="N26" s="145" t="str">
        <f>IFERROR(__xludf.DUMMYFUNCTION("""COMPUTED_VALUE"""),"Muy baja")</f>
        <v>Muy baja</v>
      </c>
      <c r="O26" s="145" t="str">
        <f>IFERROR(__xludf.DUMMYFUNCTION("""COMPUTED_VALUE"""),"Menor")</f>
        <v>Menor</v>
      </c>
      <c r="P26" s="145" t="str">
        <f>IFERROR(__xludf.DUMMYFUNCTION("""COMPUTED_VALUE"""),"Baja")</f>
        <v>Baja</v>
      </c>
      <c r="Q26" s="166" t="str">
        <f>IFERROR(__xludf.DUMMYFUNCTION("""COMPUTED_VALUE"""),"Reducir")</f>
        <v>Reducir</v>
      </c>
      <c r="R26" s="167" t="str">
        <f>IFERROR(__xludf.DUMMYFUNCTION("""COMPUTED_VALUE"""),"Realizar un documento oficial donde queden identificados los canales institucionales.")</f>
        <v>Realizar un documento oficial donde queden identificados los canales institucionales.</v>
      </c>
      <c r="S26" s="168" t="str">
        <f>IFERROR(__xludf.DUMMYFUNCTION("""COMPUTED_VALUE"""),"Anual")</f>
        <v>Anual</v>
      </c>
      <c r="T26" s="169" t="str">
        <f>IFERROR(__xludf.DUMMYFUNCTION("""COMPUTED_VALUE"""),"Coordinador Área de Comunicaciones")</f>
        <v>Coordinador Área de Comunicaciones</v>
      </c>
      <c r="U26" s="169" t="str">
        <f>IFERROR(__xludf.DUMMYFUNCTION("""COMPUTED_VALUE"""),"Resolución rectoral")</f>
        <v>Resolución rectoral</v>
      </c>
      <c r="V26" s="169" t="str">
        <f>IFERROR(__xludf.DUMMYFUNCTION("""COMPUTED_VALUE"""),"Investigación de casos reportados o detectados, y determinación de las acciones a realizar")</f>
        <v>Investigación de casos reportados o detectados, y determinación de las acciones a realizar</v>
      </c>
      <c r="W26" s="169" t="str">
        <f>IFERROR(__xludf.DUMMYFUNCTION("""COMPUTED_VALUE"""),"- Verificación de la información a divulgarse
- Publicaciones en caso de que se requiera")</f>
        <v>- Verificación de la información a divulgarse
- Publicaciones en caso de que se requiera</v>
      </c>
      <c r="X26" s="169" t="str">
        <f>IFERROR(__xludf.DUMMYFUNCTION("""COMPUTED_VALUE"""),"Profesional de apoyo de Comunicaciones")</f>
        <v>Profesional de apoyo de Comunicaciones</v>
      </c>
      <c r="Y26" s="169" t="str">
        <f>IFERROR(__xludf.DUMMYFUNCTION("""COMPUTED_VALUE"""),"15 días hábiles")</f>
        <v>15 días hábiles</v>
      </c>
      <c r="Z26" s="150" t="str">
        <f>IFERROR(__xludf.DUMMYFUNCTION("""COMPUTED_VALUE"""),"30 de abril")</f>
        <v>30 de abril</v>
      </c>
      <c r="AA26" s="151">
        <f>IFERROR(__xludf.DUMMYFUNCTION("""COMPUTED_VALUE"""),45757.0)</f>
        <v>45757</v>
      </c>
      <c r="AB26" s="150" t="str">
        <f>IFERROR(__xludf.DUMMYFUNCTION("""COMPUTED_VALUE"""),"Durante este primer monitoreo NO se materializó el riesgo.
Acciones asociadas a la aplicación de controles de riesgo 
- Desinformación en público interno y externo 
- Afectacón a la imagen instituciona
Avance sobre los controles:
se implementaron acci"&amp;"ones de tratamiento orientadas a la elaboración de un documento oficial que identifique los canales institucionales y a la actualización del Manual Básico de Redes Institucionales. Se evidencia que dicho manual fue elaborado y aprobado, quedando pendiente"&amp;" su publicación en SIG. Adicionalmente, se elaboró el borrador inicial de una resolución rectoral, con el acompañamiento del abogado de la Secretaría General. 
")</f>
        <v>Durante este primer monitoreo NO se materializó el riesgo.
Acciones asociadas a la aplicación de controles de riesgo 
- Desinformación en público interno y externo 
- Afectacón a la imagen instituciona
Avance sobre los controles:
se implementaron acciones de tratamiento orientadas a la elaboración de un documento oficial que identifique los canales institucionales y a la actualización del Manual Básico de Redes Institucionales. Se evidencia que dicho manual fue elaborado y aprobado, quedando pendiente su publicación en SIG. Adicionalmente, se elaboró el borrador inicial de una resolución rectoral, con el acompañamiento del abogado de la Secretaría General. 
</v>
      </c>
      <c r="AC26" s="152" t="str">
        <f>IFERROR(__xludf.DUMMYFUNCTION("""COMPUTED_VALUE"""),"Jorge Fernandez")</f>
        <v>Jorge Fernandez</v>
      </c>
      <c r="AD26" s="153" t="str">
        <f>IFERROR(__xludf.DUMMYFUNCTION("""COMPUTED_VALUE"""),"Evidencia")</f>
        <v>Evidencia</v>
      </c>
      <c r="AE26" s="150" t="str">
        <f>IFERROR(__xludf.DUMMYFUNCTION("""COMPUTED_VALUE"""),"Si")</f>
        <v>Si</v>
      </c>
      <c r="AF26" s="150" t="str">
        <f>IFERROR(__xludf.DUMMYFUNCTION("""COMPUTED_VALUE"""),"En proceso")</f>
        <v>En proceso</v>
      </c>
      <c r="AG26" s="32" t="str">
        <f>IFERROR(__xludf.DUMMYFUNCTION("""COMPUTED_VALUE"""),"Se evidencia reporte sobre la no materialización del riesgo. 
Sobre las acciones asociadas a controles: 
Se recomienda documentar el estado de los 5 controles existentes, en donde se menciona:
C1: que el area de comunicaciones festiona solicitudes rec"&amp;"ibidas mediante formulario de requerimiento de servicios (FO-COM-01) (en el presente monitoreo no se observa ningun avance sobre este control). 
C2: El profesional del area de comunicaciones, verifica la ejecución del plan de comunicaciones y medios para"&amp;" cada vigencia (En el presente monitoreo no se esta documentando avance sobre este control). 
C3: El area de comunicaciones realiza la gestión pertinente ante la instancia que corresponda, para recuperar el control de los medios de comunicación instituci"&amp;"onales (en el presente monitoreo no se observa evidencia ni reporte sobre este control). 
C4: El area de comunicaciones, emite la comunicación dirigida a la comunidad universitaria y a la opinión pública, con el fin de aclarar las circunstancias. (en el "&amp;"presente monitoreo no se menciona algun avance sobre este control en dado caso de no presentarse igualmente se recomienda mencionar que no se ha presentado alguna circunstancia de materialización del riesgo). 
C5: La Universidad implemento la verificació"&amp;"n en 2 pasos para las redes sociales institucionales, además la habilitación de un correo electrónico institucional de recuperación (Durante este monitoreo no se evidencia reporte alguno sobre este control se recomienda realizarlo en los proximos monitore"&amp;"os antes de cerrar la vigencia). 
Sobre las acciones de tratamiento: 
Acción de tratamiento 1: Realizar un documento oficial donde queden identificados los canales institucionales, evidencia resolución rectoral, (se evidencia la proyección de la resolu"&amp;"ción rectoral, actividad que se encuentra en proceso debido a que se anexa en borrador). Se destaca que es una acción con periodicidad anual, se recomienda culminarla para los proximos monitoreos antes de vencer la vigencia actual. 
Acción de tratamiento"&amp;" 2: Actualizar manual básico de redes sociales: Se evidencia la proyección del documento el cual se encuentra en proceso para ser publicado, actividad en proceso. Se destaca que es una acción con periodicidad anual, se recomienda culminarla para los proxi"&amp;"mos monitoreos antes de vencer la vigencia actual. ")</f>
        <v>Se evidencia reporte sobre la no materialización del riesgo. 
Sobre las acciones asociadas a controles: 
Se recomienda documentar el estado de los 5 controles existentes, en donde se menciona:
C1: que el area de comunicaciones festiona solicitudes recibidas mediante formulario de requerimiento de servicios (FO-COM-01) (en el presente monitoreo no se observa ningun avance sobre este control). 
C2: El profesional del area de comunicaciones, verifica la ejecución del plan de comunicaciones y medios para cada vigencia (En el presente monitoreo no se esta documentando avance sobre este control). 
C3: El area de comunicaciones realiza la gestión pertinente ante la instancia que corresponda, para recuperar el control de los medios de comunicación institucionales (en el presente monitoreo no se observa evidencia ni reporte sobre este control). 
C4: El area de comunicaciones, emite la comunicación dirigida a la comunidad universitaria y a la opinión pública, con el fin de aclarar las circunstancias. (en el presente monitoreo no se menciona algun avance sobre este control en dado caso de no presentarse igualmente se recomienda mencionar que no se ha presentado alguna circunstancia de materialización del riesgo). 
C5: La Universidad implemento la verificación en 2 pasos para las redes sociales institucionales, además la habilitación de un correo electrónico institucional de recuperación (Durante este monitoreo no se evidencia reporte alguno sobre este control se recomienda realizarlo en los proximos monitoreos antes de cerrar la vigencia). 
Sobre las acciones de tratamiento: 
Acción de tratamiento 1: Realizar un documento oficial donde queden identificados los canales institucionales, evidencia resolución rectoral, (se evidencia la proyección de la resolución rectoral, actividad que se encuentra en proceso debido a que se anexa en borrador). Se destaca que es una acción con periodicidad anual, se recomienda culminarla para los proximos monitoreos antes de vencer la vigencia actual. 
Acción de tratamiento 2: Actualizar manual básico de redes sociales: Se evidencia la proyección del documento el cual se encuentra en proceso para ser publicado, actividad en proceso. Se destaca que es una acción con periodicidad anual, se recomienda culminarla para los proximos monitoreos antes de vencer la vigencia actual. </v>
      </c>
      <c r="AH26" s="150" t="str">
        <f>IFERROR(__xludf.DUMMYFUNCTION("""COMPUTED_VALUE"""),"30 de abril")</f>
        <v>30 de abril</v>
      </c>
      <c r="AI26" s="32" t="str">
        <f>IFERROR(__xludf.DUMMYFUNCTION("""COMPUTED_VALUE"""),"Si")</f>
        <v>Si</v>
      </c>
      <c r="AJ26" s="32" t="str">
        <f>IFERROR(__xludf.DUMMYFUNCTION("""COMPUTED_VALUE"""),"Si")</f>
        <v>Si</v>
      </c>
      <c r="AK26" s="32" t="str">
        <f>IFERROR(__xludf.DUMMYFUNCTION("""COMPUTED_VALUE"""),"Si")</f>
        <v>Si</v>
      </c>
      <c r="AL26" s="32" t="str">
        <f>IFERROR(__xludf.DUMMYFUNCTION("""COMPUTED_VALUE"""),"Si")</f>
        <v>Si</v>
      </c>
      <c r="AM26" s="32" t="str">
        <f>IFERROR(__xludf.DUMMYFUNCTION("""COMPUTED_VALUE"""),"No")</f>
        <v>No</v>
      </c>
      <c r="AN26" s="32" t="str">
        <f>IFERROR(__xludf.DUMMYFUNCTION("""COMPUTED_VALUE"""),"No")</f>
        <v>No</v>
      </c>
      <c r="AO26" s="32" t="str">
        <f>IFERROR(__xludf.DUMMYFUNCTION("""COMPUTED_VALUE"""),"No")</f>
        <v>No</v>
      </c>
      <c r="AP26" s="32" t="str">
        <f>IFERROR(__xludf.DUMMYFUNCTION("""COMPUTED_VALUE"""),"No aplica")</f>
        <v>No aplica</v>
      </c>
      <c r="AQ26" s="32" t="str">
        <f>IFERROR(__xludf.DUMMYFUNCTION("""COMPUTED_VALUE"""),"No aplica")</f>
        <v>No aplica</v>
      </c>
      <c r="AR26" s="32" t="str">
        <f>IFERROR(__xludf.DUMMYFUNCTION("""COMPUTED_VALUE"""),"No aplica")</f>
        <v>No aplica</v>
      </c>
      <c r="AS26" s="150" t="str">
        <f>IFERROR(__xludf.DUMMYFUNCTION("""COMPUTED_VALUE"""),"Hallazgo:
El proceso no aportó evidencias que soporten la ejecución de los controles, durante el periodo evaluado.
Adicionalmente, el proceso reporta como resultado del monitoreo, lo sguiente:
Acciones asociadas a la aplicación de controles de riesgo 
- "&amp;"Desinfromación en público interno y externo
-Afectación a la imagen institucional
Lo anterior no gurada correspondencia con lo que debería ser el reporte del resultado de la ejecución de los controles y en su lugar se relacionan las consecuencias identif"&amp;"icadas con relación al riesgo.
Recomendaciones:
*Fortalecer la descripción del riesgo, considerando la metodología de la Guía para la Administración del Riesgo y el diseño de controles en entidades públicas Versión 6, que propone los elementos para la de"&amp;"scripción del riesgo, como son: 
Impacto: las consecuencias que puede ocasionar a la organización la materialización del riesgo.
Causa inmediata: circunstancias o situaciones más evidentes sobre las cuales se presenta el riesgo, las mismas no constituyen "&amp;"la causa principal o base para que se presente el riesgo.
Causa raíz: es la causa principal o básica, corresponden a las razones por la cuales se puede presentar el riesgo, son la base para la definición de controles en la etapa de valoración del riesgo. "&amp;"Se debe tener en cuenta que para un mismo riesgo pueden existir más de una causa o subcausas que pueden ser analizadas. 
*Fortalecer la orientación y acompañamiento al proceso, desde la Segunda Línea de Defensa, con el fin de asegurar una mejor aplicació"&amp;"n de la metodología establecida para la gestión del riesgo.")</f>
        <v>Hallazgo:
El proceso no aportó evidencias que soporten la ejecución de los controles, durante el periodo evaluado.
Adicionalmente, el proceso reporta como resultado del monitoreo, lo sguiente:
Acciones asociadas a la aplicación de controles de riesgo 
- Desinfromación en público interno y externo
-Afectación a la imagen institucional
Lo anterior no gurada correspondencia con lo que debería ser el reporte del resultado de la ejecución de los controles y en su lugar se relacionan las consecuencias identificadas con relación al riesgo.
Recomendaciones:
*Fortalecer la descripción del riesgo, considerando la metodología de la Guía para la Administración del Riesgo y el diseño de controles en entidades públicas Versión 6, que propone los elementos para la descripción del riesgo, como son: 
Impacto: las consecuencias que puede ocasionar a la organización la materialización del riesgo.
Causa inmediata: circunstancias o situaciones más evidentes sobre las cuales se presenta el riesgo, las mismas no constituyen la causa principal o base para que se presente el riesgo.
Causa raíz: es la causa principal o básica, corresponden a las razones por la cuales se puede presentar el riesgo, son la base para la definición de controles en la etapa de valoración del riesgo. Se debe tener en cuenta que para un mismo riesgo pueden existir más de una causa o subcausas que pueden ser analizadas. 
*Fortalecer la orientación y acompañamiento al proceso, desde la Segunda Línea de Defensa, con el fin de asegurar una mejor aplicación de la metodología establecida para la gestión del riesgo.</v>
      </c>
      <c r="AT26" s="139"/>
    </row>
    <row r="27">
      <c r="A27" s="161"/>
      <c r="B27" s="73"/>
      <c r="C27" s="73"/>
      <c r="D27" s="156"/>
      <c r="E27" s="156"/>
      <c r="F27" s="156"/>
      <c r="G27" s="156"/>
      <c r="H27" s="156"/>
      <c r="I27" s="156"/>
      <c r="J27" s="156"/>
      <c r="K27" s="156"/>
      <c r="L27" s="156"/>
      <c r="M27" s="156"/>
      <c r="N27" s="156"/>
      <c r="O27" s="156"/>
      <c r="P27" s="156"/>
      <c r="Q27" s="156"/>
      <c r="R27" s="167" t="str">
        <f>IFERROR(__xludf.DUMMYFUNCTION("""COMPUTED_VALUE"""),"Actualizar manual básico de redes instiucionales ")</f>
        <v>Actualizar manual básico de redes instiucionales </v>
      </c>
      <c r="S27" s="168" t="str">
        <f>IFERROR(__xludf.DUMMYFUNCTION("""COMPUTED_VALUE"""),"Anual")</f>
        <v>Anual</v>
      </c>
      <c r="T27" s="169" t="str">
        <f>IFERROR(__xludf.DUMMYFUNCTION("""COMPUTED_VALUE"""),"Coordinador Área de Comunicaciones")</f>
        <v>Coordinador Área de Comunicaciones</v>
      </c>
      <c r="U27" s="169" t="str">
        <f>IFERROR(__xludf.DUMMYFUNCTION("""COMPUTED_VALUE"""),"Documento en SIG")</f>
        <v>Documento en SIG</v>
      </c>
      <c r="V27" s="94"/>
      <c r="W27" s="94"/>
      <c r="X27" s="94"/>
      <c r="Y27" s="94"/>
      <c r="Z27" s="150" t="str">
        <f>IFERROR(__xludf.DUMMYFUNCTION("""COMPUTED_VALUE"""),"30 de agosto")</f>
        <v>30 de agosto</v>
      </c>
      <c r="AA27" s="172">
        <f>IFERROR(__xludf.DUMMYFUNCTION("""COMPUTED_VALUE"""),45899.0)</f>
        <v>45899</v>
      </c>
      <c r="AB27" s="150" t="str">
        <f>IFERROR(__xludf.DUMMYFUNCTION("""COMPUTED_VALUE"""),"Durante este primer monitoreo NO se materializó el riesgo.
Acciones asociadas a la aplicación de controles de riesgo 
- Desinformación en público interno y externo 
- Afectacón a la imagen instituciona
Avance sobre los controles:
se implementaron acci"&amp;"ones de tratamiento orientadas a la elaboración de un documento oficial que identifique los canales institucionales y a la actualización del Manual Básico de Redes Institucionales. Se evidencia que dicho manual fue elaborado y aprobado, quedando pendiente"&amp;" su publicación en SIG. Adicionalmente, se elaboró el borrador inicial de una resolución rectoral, con el acompañamiento del abogado de la Secretaría General. 
")</f>
        <v>Durante este primer monitoreo NO se materializó el riesgo.
Acciones asociadas a la aplicación de controles de riesgo 
- Desinformación en público interno y externo 
- Afectacón a la imagen instituciona
Avance sobre los controles:
se implementaron acciones de tratamiento orientadas a la elaboración de un documento oficial que identifique los canales institucionales y a la actualización del Manual Básico de Redes Institucionales. Se evidencia que dicho manual fue elaborado y aprobado, quedando pendiente su publicación en SIG. Adicionalmente, se elaboró el borrador inicial de una resolución rectoral, con el acompañamiento del abogado de la Secretaría General. 
</v>
      </c>
      <c r="AC27" s="152" t="str">
        <f>IFERROR(__xludf.DUMMYFUNCTION("""COMPUTED_VALUE"""),"Jorge Fernandez")</f>
        <v>Jorge Fernandez</v>
      </c>
      <c r="AD27" s="153" t="str">
        <f>IFERROR(__xludf.DUMMYFUNCTION("""COMPUTED_VALUE"""),"Evidencia")</f>
        <v>Evidencia</v>
      </c>
      <c r="AE27" s="150" t="str">
        <f>IFERROR(__xludf.DUMMYFUNCTION("""COMPUTED_VALUE"""),"Si")</f>
        <v>Si</v>
      </c>
      <c r="AF27" s="152" t="str">
        <f>IFERROR(__xludf.DUMMYFUNCTION("""COMPUTED_VALUE"""),"En proceso")</f>
        <v>En proceso</v>
      </c>
      <c r="AG27" s="32" t="str">
        <f>IFERROR(__xludf.DUMMYFUNCTION("""COMPUTED_VALUE"""),"Se evidencia reporte sobre la no materialización del riesgo.
Sobre las acciones asociadas a controles:
Control 1: El área de comunicaciones gestionó solicitudes recibidas mediante el formulario de requerimiento de servicios (FO-COM-01).
Control 2: El p"&amp;"rofesional del área de comunicaciones verificó la ejecución del plan de comunicaciones y medios para la vigencia.
Control 3: El área de comunicaciones realizó la gestión pertinente ante la instancia correspondiente para mantener el control de los medios "&amp;"institucionales (en el presente monitoreo no se observa evidencia adicional sobre este control).
Control 4: El área de comunicaciones mantiene la disposición de emitir comunicación dirigida a la comunidad universitaria y a la opinión pública para aclarar"&amp;" circunstancias. (En el presente monitoreo no se reporta avance, dado que no se han presentado situaciones que activen este control).
Control 5: La Universidad mantiene implementada la verificación en dos pasos para las redes sociales institucionales, ad"&amp;"emás de un correo electrónico institucional de recuperación. (Durante este monitoreo no se evidencian reportes adicionales).
Sobre las acciones de tratamiento:
Acción de tratamiento 1: Elaboración de un documento oficial donde se identifiquen los canale"&amp;"s institucionales. Se evidencia la proyección de una resolución rectoral, que cuenta con borrador elaborado con acompañamiento de la Secretaría General y se encuentra en proceso de aprobación.
Acción de tratamiento 2: Actualización del Manual Básico de R"&amp;"edes Institucionales. Se evidencia que el documento fue elaborado y aprobado, quedando pendiente su publicación en el SIG.")</f>
        <v>Se evidencia reporte sobre la no materialización del riesgo.
Sobre las acciones asociadas a controles:
Control 1: El área de comunicaciones gestionó solicitudes recibidas mediante el formulario de requerimiento de servicios (FO-COM-01).
Control 2: El profesional del área de comunicaciones verificó la ejecución del plan de comunicaciones y medios para la vigencia.
Control 3: El área de comunicaciones realizó la gestión pertinente ante la instancia correspondiente para mantener el control de los medios institucionales (en el presente monitoreo no se observa evidencia adicional sobre este control).
Control 4: El área de comunicaciones mantiene la disposición de emitir comunicación dirigida a la comunidad universitaria y a la opinión pública para aclarar circunstancias. (En el presente monitoreo no se reporta avance, dado que no se han presentado situaciones que activen este control).
Control 5: La Universidad mantiene implementada la verificación en dos pasos para las redes sociales institucionales, además de un correo electrónico institucional de recuperación. (Durante este monitoreo no se evidencian reportes adicionales).
Sobre las acciones de tratamiento:
Acción de tratamiento 1: Elaboración de un documento oficial donde se identifiquen los canales institucionales. Se evidencia la proyección de una resolución rectoral, que cuenta con borrador elaborado con acompañamiento de la Secretaría General y se encuentra en proceso de aprobación.
Acción de tratamiento 2: Actualización del Manual Básico de Redes Institucionales. Se evidencia que el documento fue elaborado y aprobado, quedando pendiente su publicación en el SIG.</v>
      </c>
      <c r="AH27" s="150" t="str">
        <f>IFERROR(__xludf.DUMMYFUNCTION("""COMPUTED_VALUE"""),"31 de agosto")</f>
        <v>31 de agosto</v>
      </c>
      <c r="AI27" s="32" t="str">
        <f>IFERROR(__xludf.DUMMYFUNCTION("""COMPUTED_VALUE"""),"Si")</f>
        <v>Si</v>
      </c>
      <c r="AJ27" s="32" t="str">
        <f>IFERROR(__xludf.DUMMYFUNCTION("""COMPUTED_VALUE"""),"Si")</f>
        <v>Si</v>
      </c>
      <c r="AK27" s="32" t="str">
        <f>IFERROR(__xludf.DUMMYFUNCTION("""COMPUTED_VALUE"""),"Si")</f>
        <v>Si</v>
      </c>
      <c r="AL27" s="32" t="str">
        <f>IFERROR(__xludf.DUMMYFUNCTION("""COMPUTED_VALUE"""),"Si")</f>
        <v>Si</v>
      </c>
      <c r="AM27" s="32" t="str">
        <f>IFERROR(__xludf.DUMMYFUNCTION("""COMPUTED_VALUE"""),"No")</f>
        <v>No</v>
      </c>
      <c r="AN27" s="32" t="str">
        <f>IFERROR(__xludf.DUMMYFUNCTION("""COMPUTED_VALUE"""),"No")</f>
        <v>No</v>
      </c>
      <c r="AO27" s="32" t="str">
        <f>IFERROR(__xludf.DUMMYFUNCTION("""COMPUTED_VALUE"""),"No")</f>
        <v>No</v>
      </c>
      <c r="AP27" s="32" t="str">
        <f>IFERROR(__xludf.DUMMYFUNCTION("""COMPUTED_VALUE"""),"No aplica")</f>
        <v>No aplica</v>
      </c>
      <c r="AQ27" s="32" t="str">
        <f>IFERROR(__xludf.DUMMYFUNCTION("""COMPUTED_VALUE"""),"No aplica")</f>
        <v>No aplica</v>
      </c>
      <c r="AR27" s="32" t="str">
        <f>IFERROR(__xludf.DUMMYFUNCTION("""COMPUTED_VALUE"""),"No aplica")</f>
        <v>No aplica</v>
      </c>
      <c r="AS27" s="150" t="str">
        <f>IFERROR(__xludf.DUMMYFUNCTION("""COMPUTED_VALUE"""),"Se reitera hallazgo de la evaluación del primer cuatrimestre::
El proceso no aportó evidencias que soporten la ejecución de los controles, durante el periodo evaluado.
Adicionalmente, el proceso reporta como resultado del monitoreo, lo sguiente:
Acciones"&amp;" asociadas a la aplicación de controles de riesgo 
- Desinfromación en público interno y externo
-Afectación a la imagen institucional
Lo anterior, no guarda correspondencia con lo que debería ser el reporte del resultado de la ejecución de los controles"&amp;", toda vez que la información relacionada corresponde a las consecuencias identificadas con relación al riesgo, según lo registrado en la Columna H.
Recomendaciones:
*Fortalecer la descripción del riesgo y la descripción de los controles, considerando la"&amp;" metodología de la Guía para la Administración del Riesgo y el diseño de controles en entidades públicas Versión 6, que propone los elementos para la descripción del riesgo.
*El proceso debe aportar evidencias de la ejecución de los controles: 
C1: Solic"&amp;"itudes recibidas mediante el formulario de requerimiento de servicios (FO-COM-01).
C2: Reporte o avance del plan de comunicaciones y medios para cada vigencia
C3: Reporte, si se presentó algun caso de recuperación del control de los medios de comunicación"&amp;" institucionales
Lo anterior con el fin de poder verificar y evaluar la efectividad del control establecido.
*Revisar y ajustar la descricpión del C4, con el fin de mostrar con mayor claridad su propósito.
Observación al resultado del monitoreo realiza"&amp;"do por la segunda línea de defensa:
*Se recomienda fortalecer la orientación y acompañamiento al proceso, desde la Segunda Línea de Defensa, con el fin de asegurar una mejor aplicación de la metodología establecida para la gestión del riesgo.")</f>
        <v>Se reitera hallazgo de la evaluación del primer cuatrimestre::
El proceso no aportó evidencias que soporten la ejecución de los controles, durante el periodo evaluado.
Adicionalmente, el proceso reporta como resultado del monitoreo, lo sguiente:
Acciones asociadas a la aplicación de controles de riesgo 
- Desinfromación en público interno y externo
-Afectación a la imagen institucional
Lo anterior, no guarda correspondencia con lo que debería ser el reporte del resultado de la ejecución de los controles, toda vez que la información relacionada corresponde a las consecuencias identificadas con relación al riesgo, según lo registrado en la Columna H.
Recomendaciones:
*Fortalecer la descripción del riesgo y la descripción de los controles, considerando la metodología de la Guía para la Administración del Riesgo y el diseño de controles en entidades públicas Versión 6, que propone los elementos para la descripción del riesgo.
*El proceso debe aportar evidencias de la ejecución de los controles: 
C1: Solicitudes recibidas mediante el formulario de requerimiento de servicios (FO-COM-01).
C2: Reporte o avance del plan de comunicaciones y medios para cada vigencia
C3: Reporte, si se presentó algun caso de recuperación del control de los medios de comunicación institucionales
Lo anterior con el fin de poder verificar y evaluar la efectividad del control establecido.
*Revisar y ajustar la descricpión del C4, con el fin de mostrar con mayor claridad su propósito.
Observación al resultado del monitoreo realizado por la segunda línea de defensa:
*Se recomienda fortalecer la orientación y acompañamiento al proceso, desde la Segunda Línea de Defensa, con el fin de asegurar una mejor aplicación de la metodología establecida para la gestión del riesgo.</v>
      </c>
      <c r="AT27" s="139"/>
    </row>
    <row r="28">
      <c r="A28" s="161"/>
      <c r="B28" s="38"/>
      <c r="C28" s="38"/>
      <c r="D28" s="119"/>
      <c r="E28" s="119"/>
      <c r="F28" s="119"/>
      <c r="G28" s="119"/>
      <c r="H28" s="119"/>
      <c r="I28" s="119"/>
      <c r="J28" s="119"/>
      <c r="K28" s="119"/>
      <c r="L28" s="119"/>
      <c r="M28" s="119"/>
      <c r="N28" s="119"/>
      <c r="O28" s="119"/>
      <c r="P28" s="119"/>
      <c r="Q28" s="119"/>
      <c r="R28" s="173" t="str">
        <f>IFERROR(__xludf.DUMMYFUNCTION("""COMPUTED_VALUE"""),"")</f>
        <v/>
      </c>
      <c r="S28" s="174" t="str">
        <f>IFERROR(__xludf.DUMMYFUNCTION("""COMPUTED_VALUE"""),"")</f>
        <v/>
      </c>
      <c r="T28" s="175"/>
      <c r="U28" s="175"/>
      <c r="V28" s="98"/>
      <c r="W28" s="98"/>
      <c r="X28" s="98"/>
      <c r="Y28" s="98"/>
      <c r="Z28" s="150" t="str">
        <f>IFERROR(__xludf.DUMMYFUNCTION("""COMPUTED_VALUE"""),"30 de diciembre")</f>
        <v>30 de diciembre</v>
      </c>
      <c r="AA28" s="179">
        <f>IFERROR(__xludf.DUMMYFUNCTION("""COMPUTED_VALUE"""),45993.0)</f>
        <v>45993</v>
      </c>
      <c r="AB28" s="150" t="str">
        <f>IFERROR(__xludf.DUMMYFUNCTION("""COMPUTED_VALUE"""),"Durante este Tercer monitoreo NO se materializó el riesgo.
CONTROLES
1.        Desinformación en público interno y externo: Los profesionales del área de comunicaciones gestionan las solicitudes recibidas mediante el link o formulario de requerimientos de"&amp;" servicios (FO-COM-01), teniendo en cuenta a su vez la verificación y ejecución del plan de comunicaciones y medios de cada vigencia; a su vez emite a la comunidad universitaria y a la opinión pública con el fin de aclarar circunstancias.
2.        Afecta"&amp;"ción a la imagen institucional: Los Profesionales de comunicaciones realiza la gestión pertinente ante la instancia que corresponda, para recuperar el control de los medios de comunicación institucionales; la universidad implementó la verificación en 2 pa"&amp;"sos para redes sociales institucionales, habilitación de un correo electrónico institucional de recuperación. 
Acciones de tratamiento
se implementaron acciones de tratamiento orientadas a la elaboración de un documento oficial que identifique los canales"&amp;" institucionales y a la actualización del Manual Básico de Redes Institucionales. Se evidencia que dicho manual fue elaborado y aprobado, quedando pendiente su publicación en SIG. Adicionalmente, ya existe una resolución rectoral No. 800 de 2025, con el a"&amp;"compañamiento del abogado de la Secretaría General.
")</f>
        <v>Durante este Tercer monitoreo NO se materializó el riesgo.
CONTROLES
1.        Desinformación en público interno y externo: Los profesionales del área de comunicaciones gestionan las solicitudes recibidas mediante el link o formulario de requerimientos de servicios (FO-COM-01), teniendo en cuenta a su vez la verificación y ejecución del plan de comunicaciones y medios de cada vigencia; a su vez emite a la comunidad universitaria y a la opinión pública con el fin de aclarar circunstancias.
2.        Afectación a la imagen institucional: Los Profesionales de comunicaciones realiza la gestión pertinente ante la instancia que corresponda, para recuperar el control de los medios de comunicación institucionales; la universidad implementó la verificación en 2 pasos para redes sociales institucionales, habilitación de un correo electrónico institucional de recuperación. 
Acciones de tratamiento
se implementaron acciones de tratamiento orientadas a la elaboración de un documento oficial que identifique los canales institucionales y a la actualización del Manual Básico de Redes Institucionales. Se evidencia que dicho manual fue elaborado y aprobado, quedando pendiente su publicación en SIG. Adicionalmente, ya existe una resolución rectoral No. 800 de 2025, con el acompañamiento del abogado de la Secretaría General.
</v>
      </c>
      <c r="AC28" s="152" t="str">
        <f>IFERROR(__xludf.DUMMYFUNCTION("""COMPUTED_VALUE"""),"Jorge Fernandez")</f>
        <v>Jorge Fernandez</v>
      </c>
      <c r="AD28" s="153" t="str">
        <f>IFERROR(__xludf.DUMMYFUNCTION("""COMPUTED_VALUE"""),"Evidencia")</f>
        <v>Evidencia</v>
      </c>
      <c r="AE28" s="150" t="str">
        <f>IFERROR(__xludf.DUMMYFUNCTION("""COMPUTED_VALUE"""),"Si")</f>
        <v>Si</v>
      </c>
      <c r="AF28" s="152" t="str">
        <f>IFERROR(__xludf.DUMMYFUNCTION("""COMPUTED_VALUE"""),"Ejecutada")</f>
        <v>Ejecutada</v>
      </c>
      <c r="AG28" s="32" t="str">
        <f>IFERROR(__xludf.DUMMYFUNCTION("""COMPUTED_VALUE"""),"Resultado del monitoreo del riesgo
Durante el periodo correspondiente a este tercer monitoreo, no se materializó el riesgo asociado a la desinformación del público interno y externo y a la posible afectación de la imagen institucional derivada de la gest"&amp;"ión de los canales de comunicación.
Seguimiento a las acciones asociadas a los controles
Control 1:
Se evidencia que los profesionales del área de Comunicaciones gestionaron las solicitudes recibidas a través del enlace o formulario de requerimientos de"&amp;" servicios FO-COM-01, considerando la verificación y ejecución del Plan de Comunicaciones y Medios correspondiente a la vigencia.
Así mismo, se evidencia la emisión de comunicaciones dirigidas a la comunidad universitaria y a la opinión pública, con el fi"&amp;"n de aclarar circunstancias y prevenir escenarios de desinformación.
Control 2:
Se evidencia que los profesionales del área de Comunicaciones realizaron la gestión pertinente ante las instancias correspondientes para recuperar y asegurar el control de lo"&amp;"s medios de comunicación institucionales.
Adicionalmente, la Universidad implementó medidas de seguridad como la verificación en dos (2) pasos para las redes sociales institucionales y la habilitación de un correo electrónico institucional de recuperación"&amp;", fortaleciendo el control sobre dichos canales.
Acciones asociadas al tratamiento del riesgo
Durante el periodo evaluado, se implementaron acciones de tratamiento orientadas a la elaboración de un documento oficial que identifica los canales institucio"&amp;"nales de comunicación y a la actualización del Manual Básico de Redes Institucionales.
Se evidencia que dicho manual fue elaborado y aprobado, encontrándose pendiente por tramitar su publicación en el Sistema Integrado de Gestión (SIG).
Adicionalmente, se"&amp;" cuenta con la Resolución Rectoral No. 800 de 2025, elaborada con el acompañamiento del abogado de la Secretaría General, lo cual fortalece el marco normativo y el control institucional sobre el uso y gestión de los canales oficiales.")</f>
        <v>Resultado del monitoreo del riesgo
Durante el periodo correspondiente a este tercer monitoreo, no se materializó el riesgo asociado a la desinformación del público interno y externo y a la posible afectación de la imagen institucional derivada de la gestión de los canales de comunicación.
Seguimiento a las acciones asociadas a los controles
Control 1:
Se evidencia que los profesionales del área de Comunicaciones gestionaron las solicitudes recibidas a través del enlace o formulario de requerimientos de servicios FO-COM-01, considerando la verificación y ejecución del Plan de Comunicaciones y Medios correspondiente a la vigencia.
Así mismo, se evidencia la emisión de comunicaciones dirigidas a la comunidad universitaria y a la opinión pública, con el fin de aclarar circunstancias y prevenir escenarios de desinformación.
Control 2:
Se evidencia que los profesionales del área de Comunicaciones realizaron la gestión pertinente ante las instancias correspondientes para recuperar y asegurar el control de los medios de comunicación institucionales.
Adicionalmente, la Universidad implementó medidas de seguridad como la verificación en dos (2) pasos para las redes sociales institucionales y la habilitación de un correo electrónico institucional de recuperación, fortaleciendo el control sobre dichos canales.
Acciones asociadas al tratamiento del riesgo
Durante el periodo evaluado, se implementaron acciones de tratamiento orientadas a la elaboración de un documento oficial que identifica los canales institucionales de comunicación y a la actualización del Manual Básico de Redes Institucionales.
Se evidencia que dicho manual fue elaborado y aprobado, encontrándose pendiente por tramitar su publicación en el Sistema Integrado de Gestión (SIG).
Adicionalmente, se cuenta con la Resolución Rectoral No. 800 de 2025, elaborada con el acompañamiento del abogado de la Secretaría General, lo cual fortalece el marco normativo y el control institucional sobre el uso y gestión de los canales oficiales.</v>
      </c>
      <c r="AH28" s="150" t="str">
        <f>IFERROR(__xludf.DUMMYFUNCTION("""COMPUTED_VALUE"""),"31 de diciembre")</f>
        <v>31 de diciembre</v>
      </c>
      <c r="AI28" s="32" t="str">
        <f>IFERROR(__xludf.DUMMYFUNCTION("""COMPUTED_VALUE"""),"Si")</f>
        <v>Si</v>
      </c>
      <c r="AJ28" s="32" t="str">
        <f>IFERROR(__xludf.DUMMYFUNCTION("""COMPUTED_VALUE"""),"Si")</f>
        <v>Si</v>
      </c>
      <c r="AK28" s="32" t="str">
        <f>IFERROR(__xludf.DUMMYFUNCTION("""COMPUTED_VALUE"""),"Si")</f>
        <v>Si</v>
      </c>
      <c r="AL28" s="32" t="str">
        <f>IFERROR(__xludf.DUMMYFUNCTION("""COMPUTED_VALUE"""),"Si")</f>
        <v>Si</v>
      </c>
      <c r="AM28" s="32" t="str">
        <f>IFERROR(__xludf.DUMMYFUNCTION("""COMPUTED_VALUE"""),"No")</f>
        <v>No</v>
      </c>
      <c r="AN28" s="32" t="str">
        <f>IFERROR(__xludf.DUMMYFUNCTION("""COMPUTED_VALUE"""),"No")</f>
        <v>No</v>
      </c>
      <c r="AO28" s="32" t="str">
        <f>IFERROR(__xludf.DUMMYFUNCTION("""COMPUTED_VALUE"""),"No")</f>
        <v>No</v>
      </c>
      <c r="AP28" s="32" t="str">
        <f>IFERROR(__xludf.DUMMYFUNCTION("""COMPUTED_VALUE"""),"No aplica")</f>
        <v>No aplica</v>
      </c>
      <c r="AQ28" s="32" t="str">
        <f>IFERROR(__xludf.DUMMYFUNCTION("""COMPUTED_VALUE"""),"No aplica")</f>
        <v>No aplica</v>
      </c>
      <c r="AR28" s="32" t="str">
        <f>IFERROR(__xludf.DUMMYFUNCTION("""COMPUTED_VALUE"""),"No aplica")</f>
        <v>No aplica</v>
      </c>
      <c r="AS28" s="150" t="str">
        <f>IFERROR(__xludf.DUMMYFUNCTION("""COMPUTED_VALUE"""),"Se reitera hallazgo de la evaluación del primer cuatrimestre::
El proceso no aportó evidencias que soporten la ejecución de los controles, durante el periodo evaluado.
Adicionalmente, el proceso reporta como resultado del monitoreo, lo sguiente:
Acciones"&amp;" asociadas a la aplicación de controles de riesgo 
- Desinfromación en público interno y externo
-Afectación a la imagen institucional
Lo anterior, no guarda correspondencia con lo que debería ser el reporte del resultado de la ejecución de los controles"&amp;", toda vez que la información relacionada corresponde a las consecuencias identificadas con relación al riesgo, según lo registrado en la Columna H.
Recomendaciones:
*Fortalecer la descripción del riesgo y la descripción de los controles, considerando la"&amp;" metodología de la Guía para la Administración del Riesgo y el diseño de controles en entidades públicas Versión 6, que propone los elementos para la descripción del riesgo.
*El proceso debe aportar evidencias de la ejecución de los controles: 
C1: Solic"&amp;"itudes recibidas mediante el formulario de requerimiento de servicios (FO-COM-01).
C2: Reporte o avance del plan de comunicaciones y medios para cada vigencia
C3: Reporte, si se presentó algun caso de recuperación del control de los medios de comunicación"&amp;" institucionales
Lo anterior con el fin de poder verificar y evaluar la efectividad del control establecido.
*Revisar y ajustar la descricpión del C4, con el fin de mostrar con mayor claridad su propósito.
Observación al resultado del monitoreo realiza"&amp;"do por la segunda línea de defensa:
*Se recomienda fortalecer la orientación y acompañamiento al proceso, desde la Segunda Línea de Defensa, con el fin de asegurar una mejor aplicación de la metodología establecida para la gestión del riesgo.")</f>
        <v>Se reitera hallazgo de la evaluación del primer cuatrimestre::
El proceso no aportó evidencias que soporten la ejecución de los controles, durante el periodo evaluado.
Adicionalmente, el proceso reporta como resultado del monitoreo, lo sguiente:
Acciones asociadas a la aplicación de controles de riesgo 
- Desinfromación en público interno y externo
-Afectación a la imagen institucional
Lo anterior, no guarda correspondencia con lo que debería ser el reporte del resultado de la ejecución de los controles, toda vez que la información relacionada corresponde a las consecuencias identificadas con relación al riesgo, según lo registrado en la Columna H.
Recomendaciones:
*Fortalecer la descripción del riesgo y la descripción de los controles, considerando la metodología de la Guía para la Administración del Riesgo y el diseño de controles en entidades públicas Versión 6, que propone los elementos para la descripción del riesgo.
*El proceso debe aportar evidencias de la ejecución de los controles: 
C1: Solicitudes recibidas mediante el formulario de requerimiento de servicios (FO-COM-01).
C2: Reporte o avance del plan de comunicaciones y medios para cada vigencia
C3: Reporte, si se presentó algun caso de recuperación del control de los medios de comunicación institucionales
Lo anterior con el fin de poder verificar y evaluar la efectividad del control establecido.
*Revisar y ajustar la descricpión del C4, con el fin de mostrar con mayor claridad su propósito.
Observación al resultado del monitoreo realizado por la segunda línea de defensa:
*Se recomienda fortalecer la orientación y acompañamiento al proceso, desde la Segunda Línea de Defensa, con el fin de asegurar una mejor aplicación de la metodología establecida para la gestión del riesgo.</v>
      </c>
      <c r="AT28" s="139"/>
    </row>
    <row r="29">
      <c r="A29" s="161"/>
      <c r="B29" s="140" t="s">
        <v>220</v>
      </c>
      <c r="C29" s="180" t="str">
        <f>IFERROR(__xludf.DUMMYFUNCTION("IMPORTRANGE(""https://docs.google.com/spreadsheets/d/1ZO1ZkLmzdWHhQNl_w-zs6fFqDhvZisDccQuhZxGDPLw/edit?gid=2098233099#gid=2098233099"",""Matriz_riesgos!C11:AS13"")"),"Asegurar el sostenimiento y fortalecimiento del Sistema Integrado de Gestión de la Universidad de los Llanos mediante el uso de mecanismos que contribuyan a la mejora continua de los procesos. ")</f>
        <v>Asegurar el sostenimiento y fortalecimiento del Sistema Integrado de Gestión de la Universidad de los Llanos mediante el uso de mecanismos que contribuyan a la mejora continua de los procesos. </v>
      </c>
      <c r="D29" s="143" t="str">
        <f>IFERROR(__xludf.DUMMYFUNCTION("""COMPUTED_VALUE"""),"Afectación económica y reputacional por la pérdida de las certificaciones internacionales de los Sistema de Gestión de Calidad y Ambiental de la Universidad debido al incumplimiento de los requisitos legales y normativos aplicables")</f>
        <v>Afectación económica y reputacional por la pérdida de las certificaciones internacionales de los Sistema de Gestión de Calidad y Ambiental de la Universidad debido al incumplimiento de los requisitos legales y normativos aplicables</v>
      </c>
      <c r="E29" s="144" t="str">
        <f>IFERROR(__xludf.DUMMYFUNCTION("""COMPUTED_VALUE"""),"Equipo de Calidad y Ambiental ")</f>
        <v>Equipo de Calidad y Ambiental </v>
      </c>
      <c r="F29" s="144" t="str">
        <f>IFERROR(__xludf.DUMMYFUNCTION("""COMPUTED_VALUE"""),"Gestión")</f>
        <v>Gestión</v>
      </c>
      <c r="G29" s="144" t="str">
        <f>IFERROR(__xludf.DUMMYFUNCTION("""COMPUTED_VALUE"""),"- Disponibilidad insuficiente de recursos (financieros, humanos, técnicos) para el funcionamiento de los Sistemas de Gestión
- Incumplimiento de los requisitos legales y normativos
- Los Sistemas de gestión no se apropian en todos los niveles de la Instit"&amp;"ución
- Ausencia de planificacion y control operacional en los procesos para asegurar el cumplimiento legal o normativo.")</f>
        <v>- Disponibilidad insuficiente de recursos (financieros, humanos, técnicos) para el funcionamiento de los Sistemas de Gestión
- Incumplimiento de los requisitos legales y normativos
- Los Sistemas de gestión no se apropian en todos los niveles de la Institución
- Ausencia de planificacion y control operacional en los procesos para asegurar el cumplimiento legal o normativo.</v>
      </c>
      <c r="H29" s="144" t="str">
        <f>IFERROR(__xludf.DUMMYFUNCTION("""COMPUTED_VALUE"""),"1. Afectación a la imagen Institucional.
2. Detrimentro patrimonial.
3. Incumplimiento de objetivos institucionales.
4. Pérdida de oportunidades de cooperación y convenios interinstitucionales.
5. Impactos negativos derivados del cambio climatico.")</f>
        <v>1. Afectación a la imagen Institucional.
2. Detrimentro patrimonial.
3. Incumplimiento de objetivos institucionales.
4. Pérdida de oportunidades de cooperación y convenios interinstitucionales.
5. Impactos negativos derivados del cambio climatico.</v>
      </c>
      <c r="I29" s="145" t="str">
        <f>IFERROR(__xludf.DUMMYFUNCTION("""COMPUTED_VALUE"""),"GCL_01")</f>
        <v>GCL_01</v>
      </c>
      <c r="J29" s="145" t="str">
        <f>IFERROR(__xludf.DUMMYFUNCTION("""COMPUTED_VALUE"""),"Baja")</f>
        <v>Baja</v>
      </c>
      <c r="K29" s="145" t="str">
        <f>IFERROR(__xludf.DUMMYFUNCTION("""COMPUTED_VALUE"""),"Catastrófico")</f>
        <v>Catastrófico</v>
      </c>
      <c r="L29" s="145" t="str">
        <f>IFERROR(__xludf.DUMMYFUNCTION("""COMPUTED_VALUE"""),"Extrema")</f>
        <v>Extrema</v>
      </c>
      <c r="M29" s="144" t="str">
        <f>IFERROR(__xludf.DUMMYFUNCTION("""COMPUTED_VALUE"""),"- El Consejo Superior Universitario aprueba el presupuesto anual de la Universidad, contemplando la operación de los Sistema de Gestión de la Calidad y Ambiental. 
- Los equipos de trabajo de Gestión de la Calidad y Gestión Ambiental, ejecutan las auditor"&amp;"ías se segunda línea registradas en el plan anual de auditoría interna aprobado por el Comité Institucional de Coordinación de Control Interno, con el fin de determinar la conformidad de los procesos, productos y servicios con los requisitos aplicables.
-"&amp;" La alta dirección verifica cada año la conveniencia, adecuación y eficacia de los Sistemas de Gestión de la Calidad y Ambiental mediante la realización de la Revisión por la Dirección.
- El equipo del Sistema de Gestión Ambiental identifica y hace seguim"&amp;"iento anual al cumplimiento de los requisitos legales aplicables a la Institución, mediante la Matriz de requisitos legales
- Los lideres de proceso con el acompañamiento permanente del equipo de gestión de la calidad verifican el cumplimiento de los requ"&amp;"isitos aplicables para realizar la planificación y control operacional de sus actividades a partir de la implementación del procedimiento de control de la información documentada del SIG (PD-GCL-09).")</f>
        <v>- El Consejo Superior Universitario aprueba el presupuesto anual de la Universidad, contemplando la operación de los Sistema de Gestión de la Calidad y Ambiental. 
- Los equipos de trabajo de Gestión de la Calidad y Gestión Ambiental, ejecutan las auditorías se segunda línea registradas en el plan anual de auditoría interna aprobado por el Comité Institucional de Coordinación de Control Interno, con el fin de determinar la conformidad de los procesos, productos y servicios con los requisitos aplicables.
- La alta dirección verifica cada año la conveniencia, adecuación y eficacia de los Sistemas de Gestión de la Calidad y Ambiental mediante la realización de la Revisión por la Dirección.
- El equipo del Sistema de Gestión Ambiental identifica y hace seguimiento anual al cumplimiento de los requisitos legales aplicables a la Institución, mediante la Matriz de requisitos legales
- Los lideres de proceso con el acompañamiento permanente del equipo de gestión de la calidad verifican el cumplimiento de los requisitos aplicables para realizar la planificación y control operacional de sus actividades a partir de la implementación del procedimiento de control de la información documentada del SIG (PD-GCL-09).</v>
      </c>
      <c r="N29" s="145" t="str">
        <f>IFERROR(__xludf.DUMMYFUNCTION("""COMPUTED_VALUE"""),"Muy baja")</f>
        <v>Muy baja</v>
      </c>
      <c r="O29" s="145" t="str">
        <f>IFERROR(__xludf.DUMMYFUNCTION("""COMPUTED_VALUE"""),"Moderado")</f>
        <v>Moderado</v>
      </c>
      <c r="P29" s="145" t="str">
        <f>IFERROR(__xludf.DUMMYFUNCTION("""COMPUTED_VALUE"""),"Media")</f>
        <v>Media</v>
      </c>
      <c r="Q29" s="178" t="str">
        <f>IFERROR(__xludf.DUMMYFUNCTION("""COMPUTED_VALUE"""),"Reducir")</f>
        <v>Reducir</v>
      </c>
      <c r="R29" s="158" t="str">
        <f>IFERROR(__xludf.DUMMYFUNCTION("""COMPUTED_VALUE"""),"Realizar sensibilización a la comunidad universitaria, mediante los canales de comunicación institucionales, orientada a aumentar la cultura de la calidad y ambiental en la Institución garantizando la toma de conciencia en la mitigación de los efectos neg"&amp;"ativos del cambio climatico.")</f>
        <v>Realizar sensibilización a la comunidad universitaria, mediante los canales de comunicación institucionales, orientada a aumentar la cultura de la calidad y ambiental en la Institución garantizando la toma de conciencia en la mitigación de los efectos negativos del cambio climatico.</v>
      </c>
      <c r="S29" s="159">
        <f>IFERROR(__xludf.DUMMYFUNCTION("""COMPUTED_VALUE"""),46006.0)</f>
        <v>46006</v>
      </c>
      <c r="T29" s="159" t="str">
        <f>IFERROR(__xludf.DUMMYFUNCTION("""COMPUTED_VALUE"""),"Asesora de Planeación")</f>
        <v>Asesora de Planeación</v>
      </c>
      <c r="U29" s="159" t="str">
        <f>IFERROR(__xludf.DUMMYFUNCTION("""COMPUTED_VALUE"""),"Piezas publicitarias publicadas")</f>
        <v>Piezas publicitarias publicadas</v>
      </c>
      <c r="V29" s="169" t="str">
        <f>IFERROR(__xludf.DUMMYFUNCTION("""COMPUTED_VALUE"""),"Presentar informe del estado de los Sistemas de Gestión a la alta dirección, con el fin de que se tomen las decisiones pertinentes para garantizar el sostenimiento y fortalecimiento de los mismos.")</f>
        <v>Presentar informe del estado de los Sistemas de Gestión a la alta dirección, con el fin de que se tomen las decisiones pertinentes para garantizar el sostenimiento y fortalecimiento de los mismos.</v>
      </c>
      <c r="W29" s="169" t="str">
        <f>IFERROR(__xludf.DUMMYFUNCTION("""COMPUTED_VALUE"""),"Informe a la alta dirección.")</f>
        <v>Informe a la alta dirección.</v>
      </c>
      <c r="X29" s="169" t="str">
        <f>IFERROR(__xludf.DUMMYFUNCTION("""COMPUTED_VALUE"""),"Asesor de Planeación")</f>
        <v>Asesor de Planeación</v>
      </c>
      <c r="Y29" s="169" t="str">
        <f>IFERROR(__xludf.DUMMYFUNCTION("""COMPUTED_VALUE"""),"1 mes")</f>
        <v>1 mes</v>
      </c>
      <c r="Z29" s="150" t="str">
        <f>IFERROR(__xludf.DUMMYFUNCTION("""COMPUTED_VALUE"""),"30 de abril")</f>
        <v>30 de abril</v>
      </c>
      <c r="AA29" s="32" t="str">
        <f>IFERROR(__xludf.DUMMYFUNCTION("""COMPUTED_VALUE"""),"Durante diciembre de 2024 y el primer cuatrimestre de 2025")</f>
        <v>Durante diciembre de 2024 y el primer cuatrimestre de 2025</v>
      </c>
      <c r="AB29" s="150" t="str">
        <f>IFERROR(__xludf.DUMMYFUNCTION("""COMPUTED_VALUE"""),"Durante el período de monitoreo NO se materializó el riesgo.
Acciones asociadas a la aplicación de controles del riesgos:
C1- El consejo superior universitario emitió el Acuerdo Superior No. 023 de 2024, ""Por el cual se establece el Presupuesto de Renta"&amp;"s, Ingresos, Recursos de Capital, Gastos e Inversión de la Universidad de los Llanos, para la Vigencia Fiscal de 2025"", presupuesto que incluye los recursos necesarios para garantizar el funcionamiento del SGC y el SGA.
C2- Durante febrero y marzo de 202"&amp;"5 se ejecutó la auditoría interna de segunda línea a los procesos de Gestión de la Calidad y Direccionamiento Estratégico, con el fin de ""Determinar la conformidad de los procesos con los requisitos de las normas ISO 9001:2015 e ISO 14001:2015"".
C3- El "&amp;"07 de marzo se realizó la revisión por la dirección a los Sistemas de Gestión de la Calidad, Ambiental y Seguridad y Salud en el Trabajo correspondiente a la vigencia 2024; en donde se verificó la conveniencia, adecuación y eficacia de dichos Sistemas.
C4"&amp;"- Desde el Sistema de Gestión Ambiental se esta actualizando con las nuevas resoluciones la matriz de requisitos legales (se anexa en la evidencia carpeta ambiental). 
C5- Desde el Sistemea de Gestión de la Calidad se ha realizado el acompañamiento en la "&amp;"gestión de la información documentada de los procesos, de acuerdo a sus solicitudes.
Acciones asociadas al tratamiento del riesgo:
- Se realizó sensibilización por medio de piezas gráficas del cuidado del medio ambiente con el fin de contribuir los efec"&amp;"tos negativos del cambio climático.")</f>
        <v>Durante el período de monitoreo NO se materializó el riesgo.
Acciones asociadas a la aplicación de controles del riesgos:
C1- El consejo superior universitario emitió el Acuerdo Superior No. 023 de 2024, "Por el cual se establece el Presupuesto de Rentas, Ingresos, Recursos de Capital, Gastos e Inversión de la Universidad de los Llanos, para la Vigencia Fiscal de 2025", presupuesto que incluye los recursos necesarios para garantizar el funcionamiento del SGC y el SGA.
C2- Durante febrero y marzo de 2025 se ejecutó la auditoría interna de segunda línea a los procesos de Gestión de la Calidad y Direccionamiento Estratégico, con el fin de "Determinar la conformidad de los procesos con los requisitos de las normas ISO 9001:2015 e ISO 14001:2015".
C3- El 07 de marzo se realizó la revisión por la dirección a los Sistemas de Gestión de la Calidad, Ambiental y Seguridad y Salud en el Trabajo correspondiente a la vigencia 2024; en donde se verificó la conveniencia, adecuación y eficacia de dichos Sistemas.
C4- Desde el Sistema de Gestión Ambiental se esta actualizando con las nuevas resoluciones la matriz de requisitos legales (se anexa en la evidencia carpeta ambiental). 
C5- Desde el Sistemea de Gestión de la Calidad se ha realizado el acompañamiento en la gestión de la información documentada de los procesos, de acuerdo a sus solicitudes.
Acciones asociadas al tratamiento del riesgo:
- Se realizó sensibilización por medio de piezas gráficas del cuidado del medio ambiente con el fin de contribuir los efectos negativos del cambio climático.</v>
      </c>
      <c r="AC29" s="152" t="str">
        <f>IFERROR(__xludf.DUMMYFUNCTION("""COMPUTED_VALUE"""),"Equipo de trabajo del Sistema de Gestión de la Calidad y Ambiental")</f>
        <v>Equipo de trabajo del Sistema de Gestión de la Calidad y Ambiental</v>
      </c>
      <c r="AD29" s="153" t="str">
        <f>IFERROR(__xludf.DUMMYFUNCTION("""COMPUTED_VALUE"""),"Evidencia")</f>
        <v>Evidencia</v>
      </c>
      <c r="AE29" s="150" t="str">
        <f>IFERROR(__xludf.DUMMYFUNCTION("""COMPUTED_VALUE"""),"Si")</f>
        <v>Si</v>
      </c>
      <c r="AF29" s="150" t="str">
        <f>IFERROR(__xludf.DUMMYFUNCTION("""COMPUTED_VALUE"""),"En proceso")</f>
        <v>En proceso</v>
      </c>
      <c r="AG29" s="32" t="str">
        <f>IFERROR(__xludf.DUMMYFUNCTION("""COMPUTED_VALUE"""),"Durante este monitoreo se verifica la documentación oportuna sobre la NO materialización del riesgo. 
Sobre las acciones asociadas a la aplicación de controles de riesgos: 
C1: Se evidencia reporte sobre la aprobación de presupuesto anual de la universid"&amp;"ad por parte del Consejo Superior Universitario, en donde se contempla la operación de los Sistemas de Gestión de la Calidad y Ambiental, se encuentra soporte en las evidencias sobre el Acuerdo superior 023 de 2024. 
C2: Sobre el cumplimiento de los equip"&amp;"os de trabajo de Gestión de la calidad y Gestión ambiental, ejecutan las auditorias de segunda linea registradas en el plan anual de auditoria interna aprobado por el comite insittucional de coordinación de control interno, con el fin de determinar la con"&amp;"formidad de los procesos, productos y servicios con los requisitos aplicables, se evidencia que se dió cumplimiento en el mes de febrero y marzo con la auditoria aplicada al proceso de gestión de la calidad y direccionamiento estrategico, dando cumplimien"&amp;"to al plan anual de auditoria al corte de el presente monitoreo. 
C3: sobre la alta dirección verifica cada año la conveniencia, adecuación y eficacia de los Sistemas de Gestión de la Calidad y Ambiental mediante la realización de la Revisión por la Direc"&amp;"ción, se verifica la evidencia soportada del 07 de marzo con la publicación del informe de revisión por la dirección de los sitemas de gestión de la calidad, ambiental y seguridad y salud en el trabajo vigencia 2024, dando cumplimiento a la actividad esta"&amp;"blecida en el control. 
C4: Sobre el equipo de sistem de gestión ambiental identifica y hace seguimiento semestral al cumplimiento de los requisitos legales aplicables a la institución mediante la matriz de requisitos legales, se observa en la carpeta Mat"&amp;"riz legal la evidencia sobre la matriz legal la cual se encuentra en proceso de actualización. 
C5: Sobre el cumplimiento del acompañamiento a los lideres de proceso por parte del equipo de gestión de la calidad en la verificación del cumplimiento de los "&amp;"requisistos aplicables para realizar la planificación y control operacional de sus actividades a partir de la implementación del proceso de control de la información documentada del SIG (PD-GCL-09), se evidencia por medio de soporte de pantallazo a correo"&amp;" electronico el soporte de atención a los procesos que solicitan actualización documental. 
Acciones asociadas al tratamiento del riesgo: 
Se evidencia soporte sobre sensibilización a traves de la pieza grafica del cuidado del medio ambiente dirigido a l"&amp;"a comunidad universitaria.")</f>
        <v>Durante este monitoreo se verifica la documentación oportuna sobre la NO materialización del riesgo. 
Sobre las acciones asociadas a la aplicación de controles de riesgos: 
C1: Se evidencia reporte sobre la aprobación de presupuesto anual de la universidad por parte del Consejo Superior Universitario, en donde se contempla la operación de los Sistemas de Gestión de la Calidad y Ambiental, se encuentra soporte en las evidencias sobre el Acuerdo superior 023 de 2024. 
C2: Sobre el cumplimiento de los equipos de trabajo de Gestión de la calidad y Gestión ambiental, ejecutan las auditorias de segunda linea registradas en el plan anual de auditoria interna aprobado por el comite insittucional de coordinación de control interno, con el fin de determinar la conformidad de los procesos, productos y servicios con los requisitos aplicables, se evidencia que se dió cumplimiento en el mes de febrero y marzo con la auditoria aplicada al proceso de gestión de la calidad y direccionamiento estrategico, dando cumplimiento al plan anual de auditoria al corte de el presente monitoreo. 
C3: sobre la alta dirección verifica cada año la conveniencia, adecuación y eficacia de los Sistemas de Gestión de la Calidad y Ambiental mediante la realización de la Revisión por la Dirección, se verifica la evidencia soportada del 07 de marzo con la publicación del informe de revisión por la dirección de los sitemas de gestión de la calidad, ambiental y seguridad y salud en el trabajo vigencia 2024, dando cumplimiento a la actividad establecida en el control. 
C4: Sobre el equipo de sistem de gestión ambiental identifica y hace seguimiento semestral al cumplimiento de los requisitos legales aplicables a la institución mediante la matriz de requisitos legales, se observa en la carpeta Matriz legal la evidencia sobre la matriz legal la cual se encuentra en proceso de actualización. 
C5: Sobre el cumplimiento del acompañamiento a los lideres de proceso por parte del equipo de gestión de la calidad en la verificación del cumplimiento de los requisistos aplicables para realizar la planificación y control operacional de sus actividades a partir de la implementación del proceso de control de la información documentada del SIG (PD-GCL-09), se evidencia por medio de soporte de pantallazo a correo electronico el soporte de atención a los procesos que solicitan actualización documental. 
Acciones asociadas al tratamiento del riesgo: 
Se evidencia soporte sobre sensibilización a traves de la pieza grafica del cuidado del medio ambiente dirigido a la comunidad universitaria.</v>
      </c>
      <c r="AH29" s="150" t="str">
        <f>IFERROR(__xludf.DUMMYFUNCTION("""COMPUTED_VALUE"""),"30 de abril")</f>
        <v>30 de abril</v>
      </c>
      <c r="AI29" s="32" t="str">
        <f>IFERROR(__xludf.DUMMYFUNCTION("""COMPUTED_VALUE"""),"Si")</f>
        <v>Si</v>
      </c>
      <c r="AJ29" s="32" t="str">
        <f>IFERROR(__xludf.DUMMYFUNCTION("""COMPUTED_VALUE"""),"Si")</f>
        <v>Si</v>
      </c>
      <c r="AK29" s="32" t="str">
        <f>IFERROR(__xludf.DUMMYFUNCTION("""COMPUTED_VALUE"""),"Si")</f>
        <v>Si</v>
      </c>
      <c r="AL29" s="32" t="str">
        <f>IFERROR(__xludf.DUMMYFUNCTION("""COMPUTED_VALUE"""),"Si")</f>
        <v>Si</v>
      </c>
      <c r="AM29" s="32" t="str">
        <f>IFERROR(__xludf.DUMMYFUNCTION("""COMPUTED_VALUE"""),"Si")</f>
        <v>Si</v>
      </c>
      <c r="AN29" s="32" t="str">
        <f>IFERROR(__xludf.DUMMYFUNCTION("""COMPUTED_VALUE"""),"Si")</f>
        <v>Si</v>
      </c>
      <c r="AO29" s="32" t="str">
        <f>IFERROR(__xludf.DUMMYFUNCTION("""COMPUTED_VALUE"""),"Si")</f>
        <v>Si</v>
      </c>
      <c r="AP29" s="32" t="str">
        <f>IFERROR(__xludf.DUMMYFUNCTION("""COMPUTED_VALUE"""),"No aplica")</f>
        <v>No aplica</v>
      </c>
      <c r="AQ29" s="32" t="str">
        <f>IFERROR(__xludf.DUMMYFUNCTION("""COMPUTED_VALUE"""),"No aplica")</f>
        <v>No aplica</v>
      </c>
      <c r="AR29" s="32" t="str">
        <f>IFERROR(__xludf.DUMMYFUNCTION("""COMPUTED_VALUE"""),"No aplica")</f>
        <v>No aplica</v>
      </c>
      <c r="AS29" s="150" t="str">
        <f>IFERROR(__xludf.DUMMYFUNCTION("""COMPUTED_VALUE"""),"Recomendaciones:
*Mejorar la calidad de la evidencia con relación al control No. 2, toda vez que, se aportó como soporte los registros ""plan de auditoria e informe de auditoria correspondiente a los procesos Gestión de la Calidad y Direccionamiento Estra"&amp;"tégico"", los cuales no registran firma del Asesor de Planeación ni de los Auditados.  Se requiere que la evidencia sea competente, es decir con calidad en relación a su relevancia y confiabilidad y suficiente en términos de cantidad y completitud, que pe"&amp;"rmita demostrar de manera íntegra el hecho.
*Mejorar la idoneidad de la evidencia de ejecución del control No. 5, toda vez que, el pantallazo de la bandeja de correo, no permite por sí solo, determinar el resultado de la verificación del cumplimiento de "&amp;"los requisitos aplicables a partir de la implementación del procedimiento de control de la información documentada del SIG (PD-GCL-09). Se sugiere estabblecer como evidencia una relación de los documentos creados o actualizados como resultado de la ejecuc"&amp;"ión del procedimiento u otro soporte como las actas de reunión generadas a partir de la actividad No. 7 del procedimiento.
*Asegurar que las acciones asociadas al tratamiento, incluyan el Sistema de Gestión de la Calidad, para el periodo evaluado, solo s"&amp;"e reportó evidencia relacionada al Sistema de Gestión Ambiental.
")</f>
        <v>Recomendaciones:
*Mejorar la calidad de la evidencia con relación al control No. 2, toda vez que, se aportó como soporte los registros "plan de auditoria e informe de auditoria correspondiente a los procesos Gestión de la Calidad y Direccionamiento Estratégico", los cuales no registran firma del Asesor de Planeación ni de los Auditados.  Se requiere que la evidencia sea competente, es decir con calidad en relación a su relevancia y confiabilidad y suficiente en términos de cantidad y completitud, que permita demostrar de manera íntegra el hecho.
*Mejorar la idoneidad de la evidencia de ejecución del control No. 5, toda vez que, el pantallazo de la bandeja de correo, no permite por sí solo, determinar el resultado de la verificación del cumplimiento de los requisitos aplicables a partir de la implementación del procedimiento de control de la información documentada del SIG (PD-GCL-09). Se sugiere estabblecer como evidencia una relación de los documentos creados o actualizados como resultado de la ejecución del procedimiento u otro soporte como las actas de reunión generadas a partir de la actividad No. 7 del procedimiento.
*Asegurar que las acciones asociadas al tratamiento, incluyan el Sistema de Gestión de la Calidad, para el periodo evaluado, solo se reportó evidencia relacionada al Sistema de Gestión Ambiental.
</v>
      </c>
      <c r="AT29" s="139"/>
    </row>
    <row r="30">
      <c r="A30" s="161"/>
      <c r="B30" s="73"/>
      <c r="C30" s="73"/>
      <c r="D30" s="94"/>
      <c r="E30" s="156"/>
      <c r="F30" s="156"/>
      <c r="G30" s="156"/>
      <c r="H30" s="156"/>
      <c r="I30" s="156"/>
      <c r="J30" s="156"/>
      <c r="K30" s="156"/>
      <c r="L30" s="156"/>
      <c r="M30" s="156"/>
      <c r="N30" s="156"/>
      <c r="O30" s="156"/>
      <c r="P30" s="156"/>
      <c r="Q30" s="157"/>
      <c r="R30" s="158" t="str">
        <f>IFERROR(__xludf.DUMMYFUNCTION("""COMPUTED_VALUE"""),"")</f>
        <v/>
      </c>
      <c r="S30" s="159" t="str">
        <f>IFERROR(__xludf.DUMMYFUNCTION("""COMPUTED_VALUE"""),"")</f>
        <v/>
      </c>
      <c r="T30" s="170"/>
      <c r="U30" s="170"/>
      <c r="V30" s="94"/>
      <c r="W30" s="94"/>
      <c r="X30" s="94"/>
      <c r="Y30" s="94"/>
      <c r="Z30" s="150" t="str">
        <f>IFERROR(__xludf.DUMMYFUNCTION("""COMPUTED_VALUE"""),"30 de agosto")</f>
        <v>30 de agosto</v>
      </c>
      <c r="AA30" s="32" t="str">
        <f>IFERROR(__xludf.DUMMYFUNCTION("""COMPUTED_VALUE"""),"Mayo - Agosto 2025")</f>
        <v>Mayo - Agosto 2025</v>
      </c>
      <c r="AB30" s="150" t="str">
        <f>IFERROR(__xludf.DUMMYFUNCTION("""COMPUTED_VALUE"""),"Durante el período de monitoreo NO se materializó el riesgo.
Acciones asociadas a la aplicación de controles del riesgos:
C1- Se ejecuta solamente una vez cada año,  con la expedición del acto administrativo (Acuerdo Superior No. 023 de 2024, ""Por el cu"&amp;"al se establece el Presupuesto de Rentas, Ingresos, Recursos de Capital, Gastos e Inversión de la Universidad de los Llanos, para la Vigencia Fiscal de 2025"").
C2- Durante Mayo y Agosto se ejecutaron las auditorías internas de segunda línea a los proceso"&amp;"s de Investigación, Docencia (Facultad de Ciencias Humanas y de la Educación), Docencia (Centro de idiomas), Autoevaluación Institucional, Comunicación Institucional, Gestión Documental, con el fin de ""Determinar la conformidad de los procesos con los re"&amp;"quisitos de las normas ISO 9001:2015 e ISO 14001:2015"".
C3- Este control solamente se ejecuta una vez en cada vigencia, y se ejecutó durante el primer cuatrimestre del año.
C4- Este control solamente se ejecuta una vez en cada vigencia, y se ejecutó dura"&amp;"nte el primer cuatrimestre del año.
C5- Desde el Sistemea de Gestión de la Calidad se ha realizado el acompañamiento en la gestión de la información documentada de los procesos, de acuerdo a sus solicitudes.
Acciones asociadas al tratamiento del riesgo:"&amp;"
- Se realizó sensibilización por medio de piezas gráficas del cuidado del medio ambiente con el fin de contribuir los efectos negativos del cambio climático.")</f>
        <v>Durante el período de monitoreo NO se materializó el riesgo.
Acciones asociadas a la aplicación de controles del riesgos:
C1- Se ejecuta solamente una vez cada año,  con la expedición del acto administrativo (Acuerdo Superior No. 023 de 2024, "Por el cual se establece el Presupuesto de Rentas, Ingresos, Recursos de Capital, Gastos e Inversión de la Universidad de los Llanos, para la Vigencia Fiscal de 2025").
C2- Durante Mayo y Agosto se ejecutaron las auditorías internas de segunda línea a los procesos de Investigación, Docencia (Facultad de Ciencias Humanas y de la Educación), Docencia (Centro de idiomas), Autoevaluación Institucional, Comunicación Institucional, Gestión Documental, con el fin de "Determinar la conformidad de los procesos con los requisitos de las normas ISO 9001:2015 e ISO 14001:2015".
C3- Este control solamente se ejecuta una vez en cada vigencia, y se ejecutó durante el primer cuatrimestre del año.
C4- Este control solamente se ejecuta una vez en cada vigencia, y se ejecutó durante el primer cuatrimestre del año.
C5- Desde el Sistemea de Gestión de la Calidad se ha realizado el acompañamiento en la gestión de la información documentada de los procesos, de acuerdo a sus solicitudes.
Acciones asociadas al tratamiento del riesgo:
- Se realizó sensibilización por medio de piezas gráficas del cuidado del medio ambiente con el fin de contribuir los efectos negativos del cambio climático.</v>
      </c>
      <c r="AC30" s="152" t="str">
        <f>IFERROR(__xludf.DUMMYFUNCTION("""COMPUTED_VALUE"""),"Equipo de trabajo del Sistema de Gestión de la Calidad y Ambiental")</f>
        <v>Equipo de trabajo del Sistema de Gestión de la Calidad y Ambiental</v>
      </c>
      <c r="AD30" s="153" t="str">
        <f>IFERROR(__xludf.DUMMYFUNCTION("""COMPUTED_VALUE"""),"Evidencia")</f>
        <v>Evidencia</v>
      </c>
      <c r="AE30" s="150" t="str">
        <f>IFERROR(__xludf.DUMMYFUNCTION("""COMPUTED_VALUE"""),"Si")</f>
        <v>Si</v>
      </c>
      <c r="AF30" s="152" t="str">
        <f>IFERROR(__xludf.DUMMYFUNCTION("""COMPUTED_VALUE"""),"En proceso")</f>
        <v>En proceso</v>
      </c>
      <c r="AG30" s="32" t="str">
        <f>IFERROR(__xludf.DUMMYFUNCTION("""COMPUTED_VALUE"""),"Se evidencia reporte sobre la no materialización del riesgo.
Sobre las acciones asociadas a controles:
Control 1: Se ejecutó con la expedición del Acuerdo Superior No. 023 de 2024, “Por el cual se establece el Presupuesto de Rentas, Ingresos, Recursos de"&amp;" Capital, Gastos e Inversión de la Universidad de los Llanos, para la Vigencia Fiscal de 2025” (control con ejecución anual).
Control 2: Durante febrero y marzo de 2025 se realizaron auditorías internas de segunda línea a los procesos de Investigación, D"&amp;"ocencia (Facultad de Ciencias Humanas y de la Educación), Docencia (Centro de Idiomas), Autoevaluación Institucional, Comunicación Institucional y Gestión Documental, con el fin de determinar la conformidad frente a los requisitos de las normas ISO 9001:2"&amp;"015 e ISO 14001:2015.
Control 3: Se ejecutó durante el primer cuatrimestre del año, dado que su periodicidad corresponde a una vez por vigencia.
Control 4: Se ejecutó durante el primer cuatrimestre del año, al ser un control de ejecución anual.
Control"&amp;" 5: Desde el Sistema de Gestión de la Calidad se realizó acompañamiento en la gestión de la información documentada de los procesos, atendiendo las solicitudes recibidas.
Sobre las acciones de tratamiento:
Acción de tratamiento 1: Se adelantó sensibiliza"&amp;"ción mediante piezas gráficas sobre el cuidado del medio ambiente, orientadas a contribuir en la mitigación de los efectos negativos del cambio climático.")</f>
        <v>Se evidencia reporte sobre la no materialización del riesgo.
Sobre las acciones asociadas a controles:
Control 1: Se ejecutó con la expedición del Acuerdo Superior No. 023 de 2024, “Por el cual se establece el Presupuesto de Rentas, Ingresos, Recursos de Capital, Gastos e Inversión de la Universidad de los Llanos, para la Vigencia Fiscal de 2025” (control con ejecución anual).
Control 2: Durante febrero y marzo de 2025 se realizaron auditorías internas de segunda línea a los procesos de Investigación, Docencia (Facultad de Ciencias Humanas y de la Educación), Docencia (Centro de Idiomas), Autoevaluación Institucional, Comunicación Institucional y Gestión Documental, con el fin de determinar la conformidad frente a los requisitos de las normas ISO 9001:2015 e ISO 14001:2015.
Control 3: Se ejecutó durante el primer cuatrimestre del año, dado que su periodicidad corresponde a una vez por vigencia.
Control 4: Se ejecutó durante el primer cuatrimestre del año, al ser un control de ejecución anual.
Control 5: Desde el Sistema de Gestión de la Calidad se realizó acompañamiento en la gestión de la información documentada de los procesos, atendiendo las solicitudes recibidas.
Sobre las acciones de tratamiento:
Acción de tratamiento 1: Se adelantó sensibilización mediante piezas gráficas sobre el cuidado del medio ambiente, orientadas a contribuir en la mitigación de los efectos negativos del cambio climático.</v>
      </c>
      <c r="AH30" s="150" t="str">
        <f>IFERROR(__xludf.DUMMYFUNCTION("""COMPUTED_VALUE"""),"31 de agosto")</f>
        <v>31 de agosto</v>
      </c>
      <c r="AI30" s="32" t="str">
        <f>IFERROR(__xludf.DUMMYFUNCTION("""COMPUTED_VALUE"""),"Si")</f>
        <v>Si</v>
      </c>
      <c r="AJ30" s="32" t="str">
        <f>IFERROR(__xludf.DUMMYFUNCTION("""COMPUTED_VALUE"""),"Si")</f>
        <v>Si</v>
      </c>
      <c r="AK30" s="32" t="str">
        <f>IFERROR(__xludf.DUMMYFUNCTION("""COMPUTED_VALUE"""),"Si")</f>
        <v>Si</v>
      </c>
      <c r="AL30" s="32" t="str">
        <f>IFERROR(__xludf.DUMMYFUNCTION("""COMPUTED_VALUE"""),"Si")</f>
        <v>Si</v>
      </c>
      <c r="AM30" s="32" t="str">
        <f>IFERROR(__xludf.DUMMYFUNCTION("""COMPUTED_VALUE"""),"Si")</f>
        <v>Si</v>
      </c>
      <c r="AN30" s="32" t="str">
        <f>IFERROR(__xludf.DUMMYFUNCTION("""COMPUTED_VALUE"""),"Si")</f>
        <v>Si</v>
      </c>
      <c r="AO30" s="32" t="str">
        <f>IFERROR(__xludf.DUMMYFUNCTION("""COMPUTED_VALUE"""),"Si")</f>
        <v>Si</v>
      </c>
      <c r="AP30" s="32" t="str">
        <f>IFERROR(__xludf.DUMMYFUNCTION("""COMPUTED_VALUE"""),"No aplica")</f>
        <v>No aplica</v>
      </c>
      <c r="AQ30" s="32" t="str">
        <f>IFERROR(__xludf.DUMMYFUNCTION("""COMPUTED_VALUE"""),"No aplica")</f>
        <v>No aplica</v>
      </c>
      <c r="AR30" s="32" t="str">
        <f>IFERROR(__xludf.DUMMYFUNCTION("""COMPUTED_VALUE"""),"No aplica")</f>
        <v>No aplica</v>
      </c>
      <c r="AS30" s="150" t="str">
        <f>IFERROR(__xludf.DUMMYFUNCTION("""COMPUTED_VALUE"""),"
Observación al resultado del reporte y monitoreo realizado por la primera y segunda línea de defensa: 
*Garantizar la completitud de las firmas de los documentos finales de auditoria, en los registros de auditoria al proceso de Investigaciones, no se evi"&amp;"dencian las firmas del área auditada en el plan de auditoria, informe de auditoria y actas de apertura y cierre. Así mismo, en los registros de auditoria del proceso de Comunicaciones no se evidenció firma del Jefe de Planeación y del reposnable del área "&amp;"auditada en los registros de plan de auditoria, carta de representación y el informe de auditoria.
Observación al resultado del reporte y monitoreo realizado por la primera y segunda línea de defensa: 
*El monitoreo debe tener en cuenta la aplicación de"&amp;" los controles en el periodo evaluado, en el presente caso se analizaron las auditorias realizadas en el febrero y marzo, cuando el periodo en evaluación es de mayo a agosto.
")</f>
        <v>
Observación al resultado del reporte y monitoreo realizado por la primera y segunda línea de defensa: 
*Garantizar la completitud de las firmas de los documentos finales de auditoria, en los registros de auditoria al proceso de Investigaciones, no se evidencian las firmas del área auditada en el plan de auditoria, informe de auditoria y actas de apertura y cierre. Así mismo, en los registros de auditoria del proceso de Comunicaciones no se evidenció firma del Jefe de Planeación y del reposnable del área auditada en los registros de plan de auditoria, carta de representación y el informe de auditoria.
Observación al resultado del reporte y monitoreo realizado por la primera y segunda línea de defensa: 
*El monitoreo debe tener en cuenta la aplicación de los controles en el periodo evaluado, en el presente caso se analizaron las auditorias realizadas en el febrero y marzo, cuando el periodo en evaluación es de mayo a agosto.
</v>
      </c>
      <c r="AT30" s="139"/>
    </row>
    <row r="31">
      <c r="A31" s="161"/>
      <c r="B31" s="38"/>
      <c r="C31" s="38"/>
      <c r="D31" s="98"/>
      <c r="E31" s="119"/>
      <c r="F31" s="119"/>
      <c r="G31" s="119"/>
      <c r="H31" s="119"/>
      <c r="I31" s="119"/>
      <c r="J31" s="119"/>
      <c r="K31" s="119"/>
      <c r="L31" s="119"/>
      <c r="M31" s="119"/>
      <c r="N31" s="119"/>
      <c r="O31" s="119"/>
      <c r="P31" s="119"/>
      <c r="Q31" s="162"/>
      <c r="R31" s="163" t="str">
        <f>IFERROR(__xludf.DUMMYFUNCTION("""COMPUTED_VALUE"""),"")</f>
        <v/>
      </c>
      <c r="S31" s="164" t="str">
        <f>IFERROR(__xludf.DUMMYFUNCTION("""COMPUTED_VALUE"""),"")</f>
        <v/>
      </c>
      <c r="T31" s="176"/>
      <c r="U31" s="176"/>
      <c r="V31" s="98"/>
      <c r="W31" s="98"/>
      <c r="X31" s="98"/>
      <c r="Y31" s="98"/>
      <c r="Z31" s="150" t="str">
        <f>IFERROR(__xludf.DUMMYFUNCTION("""COMPUTED_VALUE"""),"30 de diciembre")</f>
        <v>30 de diciembre</v>
      </c>
      <c r="AA31" s="181">
        <f>IFERROR(__xludf.DUMMYFUNCTION("""COMPUTED_VALUE"""),45996.0)</f>
        <v>45996</v>
      </c>
      <c r="AB31" s="150" t="str">
        <f>IFERROR(__xludf.DUMMYFUNCTION("""COMPUTED_VALUE"""),"Durante el período de monitoreo NO se materializó el riesgo.
Acciones asociadas a la aplicación de controles del riesgos:
C1- Se ejecuta solamente una vez cada año,  con la expedición del acto administrativo (Acuerdo Superior No. 023 de 2024, ""Por el cu"&amp;"al se establece el Presupuesto de Rentas, Ingresos, Recursos de Capital, Gastos e Inversión de la Universidad de los Llanos, para la Vigencia Fiscal de 2025"").
C2- En el período de septembre a noviembre se ejecutaron las auditorías internas de segunda lí"&amp;"nea a los procesos de Gestión de Bienes y Servicios (Almacén) y Gestión de Apoyo a la Academia (Laboratorios y Centro Clínico Veterinario), con el fin de ""Determinar la conformidad de los procesos con los requisitos de las normas ISO 9001:2015 e ISO 1400"&amp;"1:2015"".
C3- Este control solamente se ejecuta una vez en cada vigencia, y se ejecutó durante el primer cuatrimestre del año.
C4- Este control solamente se ejecuta una vez en cada vigencia, y se ejecutó durante el primer cuatrimestre del año.
C5- Desde e"&amp;"l Sistemea de Gestión de la Calidad se ha realizado el acompañamiento en la gestión de la información documentada de los procesos, de acuerdo a sus solicitudes.
Acciones asociadas al tratamiento del riesgo:
- Se realizó sensibilización por medio de piez"&amp;"as gráficas del cuidado del medio ambiente con el fin de contribuir los efectos negativos del cambio climático.")</f>
        <v>Durante el período de monitoreo NO se materializó el riesgo.
Acciones asociadas a la aplicación de controles del riesgos:
C1- Se ejecuta solamente una vez cada año,  con la expedición del acto administrativo (Acuerdo Superior No. 023 de 2024, "Por el cual se establece el Presupuesto de Rentas, Ingresos, Recursos de Capital, Gastos e Inversión de la Universidad de los Llanos, para la Vigencia Fiscal de 2025").
C2- En el período de septembre a noviembre se ejecutaron las auditorías internas de segunda línea a los procesos de Gestión de Bienes y Servicios (Almacén) y Gestión de Apoyo a la Academia (Laboratorios y Centro Clínico Veterinario), con el fin de "Determinar la conformidad de los procesos con los requisitos de las normas ISO 9001:2015 e ISO 14001:2015".
C3- Este control solamente se ejecuta una vez en cada vigencia, y se ejecutó durante el primer cuatrimestre del año.
C4- Este control solamente se ejecuta una vez en cada vigencia, y se ejecutó durante el primer cuatrimestre del año.
C5- Desde el Sistemea de Gestión de la Calidad se ha realizado el acompañamiento en la gestión de la información documentada de los procesos, de acuerdo a sus solicitudes.
Acciones asociadas al tratamiento del riesgo:
- Se realizó sensibilización por medio de piezas gráficas del cuidado del medio ambiente con el fin de contribuir los efectos negativos del cambio climático.</v>
      </c>
      <c r="AC31" s="152" t="str">
        <f>IFERROR(__xludf.DUMMYFUNCTION("""COMPUTED_VALUE"""),"Equipo de trabajo del Sistema de Gestión de la Calidad y Ambiental")</f>
        <v>Equipo de trabajo del Sistema de Gestión de la Calidad y Ambiental</v>
      </c>
      <c r="AD31" s="153" t="str">
        <f>IFERROR(__xludf.DUMMYFUNCTION("""COMPUTED_VALUE"""),"Evidencia")</f>
        <v>Evidencia</v>
      </c>
      <c r="AE31" s="150" t="str">
        <f>IFERROR(__xludf.DUMMYFUNCTION("""COMPUTED_VALUE"""),"Si")</f>
        <v>Si</v>
      </c>
      <c r="AF31" s="152" t="str">
        <f>IFERROR(__xludf.DUMMYFUNCTION("""COMPUTED_VALUE"""),"Ejecutada")</f>
        <v>Ejecutada</v>
      </c>
      <c r="AG31" s="32" t="str">
        <f>IFERROR(__xludf.DUMMYFUNCTION("""COMPUTED_VALUE"""),"Estado del riesgo
Se evidencia reporte sobre la no materialización del riesgo durante el período de monitoreo.
Acciones asociadas a la aplicación de controles del riesgo
Control 1:
Se ejecutó conforme a lo establecido, mediante la expedición del Acuerd"&amp;"o Superior No. 023 de 2024, “Por el cual se establece el Presupuesto de Rentas, Ingresos, Recursos de Capital, Gastos e Inversión de la Universidad de los Llanos, para la Vigencia Fiscal de 2025”. Este control tiene una periodicidad anual.
Control 2:
Dur"&amp;"ante el período comprendido entre septiembre y noviembre, se realizaron auditorías internas de segunda línea a los procesos de Gestión de Bienes y Servicios (Almacén) y Gestión de Apoyo a la Academia (Laboratorios y Centro Clínico Veterinario), con el fin"&amp;" de determinar la conformidad de los procesos frente a los requisitos de las normas ISO 9001:2015 e ISO 14001:2015.
Control 3:
Este control se ejecuta una vez por vigencia, y fue aplicado durante el primer cuatrimestre del año, conforme a su periodicidad"&amp;" establecida.
Control 4:
Se ejecutó durante el primer cuatrimestre del año, dado que corresponde a un control de ejecución anual.
Control 5:
Desde el Sistema de Gestión de la Calidad se realizó acompañamiento permanente en la gestión de la información d"&amp;"ocumentada de los procesos, atendiendo las solicitudes formuladas por las dependencias.
Acciones asociadas al tratamiento del riesgo
Acción de tratamiento:
Se adelantaron actividades de sensibilización mediante piezas gráficas sobre el cuidado del medio"&amp;" ambiente, orientadas a contribuir a la mitigación de los efectos negativos del cambio climático.")</f>
        <v>Estado del riesgo
Se evidencia reporte sobre la no materialización del riesgo durante el período de monitoreo.
Acciones asociadas a la aplicación de controles del riesgo
Control 1:
Se ejecutó conforme a lo establecido, mediante la expedición del Acuerdo Superior No. 023 de 2024, “Por el cual se establece el Presupuesto de Rentas, Ingresos, Recursos de Capital, Gastos e Inversión de la Universidad de los Llanos, para la Vigencia Fiscal de 2025”. Este control tiene una periodicidad anual.
Control 2:
Durante el período comprendido entre septiembre y noviembre, se realizaron auditorías internas de segunda línea a los procesos de Gestión de Bienes y Servicios (Almacén) y Gestión de Apoyo a la Academia (Laboratorios y Centro Clínico Veterinario), con el fin de determinar la conformidad de los procesos frente a los requisitos de las normas ISO 9001:2015 e ISO 14001:2015.
Control 3:
Este control se ejecuta una vez por vigencia, y fue aplicado durante el primer cuatrimestre del año, conforme a su periodicidad establecida.
Control 4:
Se ejecutó durante el primer cuatrimestre del año, dado que corresponde a un control de ejecución anual.
Control 5:
Desde el Sistema de Gestión de la Calidad se realizó acompañamiento permanente en la gestión de la información documentada de los procesos, atendiendo las solicitudes formuladas por las dependencias.
Acciones asociadas al tratamiento del riesgo
Acción de tratamiento:
Se adelantaron actividades de sensibilización mediante piezas gráficas sobre el cuidado del medio ambiente, orientadas a contribuir a la mitigación de los efectos negativos del cambio climático.</v>
      </c>
      <c r="AH31" s="150" t="str">
        <f>IFERROR(__xludf.DUMMYFUNCTION("""COMPUTED_VALUE"""),"31 de diciembre")</f>
        <v>31 de diciembre</v>
      </c>
      <c r="AI31" s="32" t="str">
        <f>IFERROR(__xludf.DUMMYFUNCTION("""COMPUTED_VALUE"""),"Si")</f>
        <v>Si</v>
      </c>
      <c r="AJ31" s="32" t="str">
        <f>IFERROR(__xludf.DUMMYFUNCTION("""COMPUTED_VALUE"""),"Si")</f>
        <v>Si</v>
      </c>
      <c r="AK31" s="32" t="str">
        <f>IFERROR(__xludf.DUMMYFUNCTION("""COMPUTED_VALUE"""),"Si")</f>
        <v>Si</v>
      </c>
      <c r="AL31" s="32" t="str">
        <f>IFERROR(__xludf.DUMMYFUNCTION("""COMPUTED_VALUE"""),"Si")</f>
        <v>Si</v>
      </c>
      <c r="AM31" s="32" t="str">
        <f>IFERROR(__xludf.DUMMYFUNCTION("""COMPUTED_VALUE"""),"Si")</f>
        <v>Si</v>
      </c>
      <c r="AN31" s="32" t="str">
        <f>IFERROR(__xludf.DUMMYFUNCTION("""COMPUTED_VALUE"""),"Si")</f>
        <v>Si</v>
      </c>
      <c r="AO31" s="32" t="str">
        <f>IFERROR(__xludf.DUMMYFUNCTION("""COMPUTED_VALUE"""),"Si")</f>
        <v>Si</v>
      </c>
      <c r="AP31" s="32" t="str">
        <f>IFERROR(__xludf.DUMMYFUNCTION("""COMPUTED_VALUE"""),"No aplica")</f>
        <v>No aplica</v>
      </c>
      <c r="AQ31" s="32" t="str">
        <f>IFERROR(__xludf.DUMMYFUNCTION("""COMPUTED_VALUE"""),"No aplica")</f>
        <v>No aplica</v>
      </c>
      <c r="AR31" s="32" t="str">
        <f>IFERROR(__xludf.DUMMYFUNCTION("""COMPUTED_VALUE"""),"No aplica")</f>
        <v>No aplica</v>
      </c>
      <c r="AS31" s="150" t="str">
        <f>IFERROR(__xludf.DUMMYFUNCTION("""COMPUTED_VALUE"""),"Se evidencia mejora en el diligenciamiento de los registros que soportan los controles implementados.")</f>
        <v>Se evidencia mejora en el diligenciamiento de los registros que soportan los controles implementados.</v>
      </c>
      <c r="AT31" s="139"/>
    </row>
    <row r="32">
      <c r="A32" s="161"/>
      <c r="B32" s="140" t="s">
        <v>221</v>
      </c>
      <c r="C32" s="141" t="str">
        <f>IFERROR(__xludf.DUMMYFUNCTION("IMPORTRANGE(""https://docs.google.com/spreadsheets/d/1T8UzxcQpMTEf2Wn4mnnu285UC57W3cDwz4Qyo4D3q8I/edit?gid=2098233099#gid=2098233099"",""Matriz_riesgos!C11:AS19"")"),"Incorporar la dimensión internacional e intercultural del conocimiento en los espacios universitarios mediante la movilidad para la formación de la comunidad universitaria, estableciendo seguimiento a los convenios, redes y alianzas interinstitucionales d"&amp;"e cooperación, diseño-ejecución de proyectos colaborativos en investigación y desarrollo, participación en sociedades del conocimiento y la institucionalización de la internacionalización en Unillanos. ")</f>
        <v>Incorporar la dimensión internacional e intercultural del conocimiento en los espacios universitarios mediante la movilidad para la formación de la comunidad universitaria, estableciendo seguimiento a los convenios, redes y alianzas interinstitucionales de cooperación, diseño-ejecución de proyectos colaborativos en investigación y desarrollo, participación en sociedades del conocimiento y la institucionalización de la internacionalización en Unillanos. </v>
      </c>
      <c r="D32" s="143" t="str">
        <f>IFERROR(__xludf.DUMMYFUNCTION("""COMPUTED_VALUE"""),"Afectación reputacional por el incumplimiento de los compromisos adquiridos en los convenios suscritos con entidades nacionales e internacionales debido a la falta de seguimiento por parte de internacionalizacion y demoras en el tramite interno para la su"&amp;"scripción de convenios en la institución.")</f>
        <v>Afectación reputacional por el incumplimiento de los compromisos adquiridos en los convenios suscritos con entidades nacionales e internacionales debido a la falta de seguimiento por parte de internacionalizacion y demoras en el tramite interno para la suscripción de convenios en la institución.</v>
      </c>
      <c r="E32" s="144" t="str">
        <f>IFERROR(__xludf.DUMMYFUNCTION("""COMPUTED_VALUE"""),"Oficina de Internacionalización y Relaciones Interinstitucionales")</f>
        <v>Oficina de Internacionalización y Relaciones Interinstitucionales</v>
      </c>
      <c r="F32" s="144" t="str">
        <f>IFERROR(__xludf.DUMMYFUNCTION("""COMPUTED_VALUE"""),"Gestión")</f>
        <v>Gestión</v>
      </c>
      <c r="G32" s="144" t="str">
        <f>IFERROR(__xludf.DUMMYFUNCTION("""COMPUTED_VALUE"""),"- Demora en el trámite interno para la suscripción de convenios.
-Falta de seguimiento a los convenios por parte de la oficina de internacionalización")</f>
        <v>- Demora en el trámite interno para la suscripción de convenios.
-Falta de seguimiento a los convenios por parte de la oficina de internacionalización</v>
      </c>
      <c r="H32" s="144" t="str">
        <f>IFERROR(__xludf.DUMMYFUNCTION("""COMPUTED_VALUE"""),"1) Pérdida de las relaciones interinstitucionales.
2) Detrimento de la imagen institucional. 
3) Incumplimiento de los objetivos planteados.
4)Insatisfacción de la comunidad Unillanista.
5) Disminución de la proyección internacional en la institucion.
6) "&amp;"Perdida de oportunidades para realizar trabajos conjuntos que permitan la retroalimentación en la docencia e investigación")</f>
        <v>1) Pérdida de las relaciones interinstitucionales.
2) Detrimento de la imagen institucional. 
3) Incumplimiento de los objetivos planteados.
4)Insatisfacción de la comunidad Unillanista.
5) Disminución de la proyección internacional en la institucion.
6) Perdida de oportunidades para realizar trabajos conjuntos que permitan la retroalimentación en la docencia e investigación</v>
      </c>
      <c r="I32" s="145" t="str">
        <f>IFERROR(__xludf.DUMMYFUNCTION("""COMPUTED_VALUE"""),"GIT_01")</f>
        <v>GIT_01</v>
      </c>
      <c r="J32" s="145" t="str">
        <f>IFERROR(__xludf.DUMMYFUNCTION("""COMPUTED_VALUE"""),"Media")</f>
        <v>Media</v>
      </c>
      <c r="K32" s="145" t="str">
        <f>IFERROR(__xludf.DUMMYFUNCTION("""COMPUTED_VALUE"""),"Moderado")</f>
        <v>Moderado</v>
      </c>
      <c r="L32" s="145" t="str">
        <f>IFERROR(__xludf.DUMMYFUNCTION("""COMPUTED_VALUE"""),"Alta")</f>
        <v>Alta</v>
      </c>
      <c r="M32" s="144" t="str">
        <f>IFERROR(__xludf.DUMMYFUNCTION("""COMPUTED_VALUE"""),"- Los profesionales de apoyo y la coordinación de OIRI al inicio de cada mes verifican los tramites internos para la gestión de convenios mediante matriz parametrizada en excel, con el fin de evidenciar que los convenios se encuentren suscritos en los tie"&amp;"mpos esperados.  ")</f>
        <v>- Los profesionales de apoyo y la coordinación de OIRI al inicio de cada mes verifican los tramites internos para la gestión de convenios mediante matriz parametrizada en excel, con el fin de evidenciar que los convenios se encuentren suscritos en los tiempos esperados.  </v>
      </c>
      <c r="N32" s="145" t="str">
        <f>IFERROR(__xludf.DUMMYFUNCTION("""COMPUTED_VALUE"""),"Baja")</f>
        <v>Baja</v>
      </c>
      <c r="O32" s="145" t="str">
        <f>IFERROR(__xludf.DUMMYFUNCTION("""COMPUTED_VALUE"""),"Moderado")</f>
        <v>Moderado</v>
      </c>
      <c r="P32" s="145" t="str">
        <f>IFERROR(__xludf.DUMMYFUNCTION("""COMPUTED_VALUE"""),"Media")</f>
        <v>Media</v>
      </c>
      <c r="Q32" s="166" t="str">
        <f>IFERROR(__xludf.DUMMYFUNCTION("""COMPUTED_VALUE"""),"Reducir")</f>
        <v>Reducir</v>
      </c>
      <c r="R32" s="167" t="str">
        <f>IFERROR(__xludf.DUMMYFUNCTION("""COMPUTED_VALUE"""),"- Realizar seguimiento a la gestión de convenios y entregar a la dirección de curriculo los informes de seguimiento de convenios.")</f>
        <v>- Realizar seguimiento a la gestión de convenios y entregar a la dirección de curriculo los informes de seguimiento de convenios.</v>
      </c>
      <c r="S32" s="168" t="str">
        <f>IFERROR(__xludf.DUMMYFUNCTION("""COMPUTED_VALUE"""),"Mensual")</f>
        <v>Mensual</v>
      </c>
      <c r="T32" s="168" t="str">
        <f>IFERROR(__xludf.DUMMYFUNCTION("""COMPUTED_VALUE"""),"Lider OIRI")</f>
        <v>Lider OIRI</v>
      </c>
      <c r="U32" s="168" t="str">
        <f>IFERROR(__xludf.DUMMYFUNCTION("""COMPUTED_VALUE"""),"Informe mensual de cada convenio")</f>
        <v>Informe mensual de cada convenio</v>
      </c>
      <c r="V32" s="169" t="str">
        <f>IFERROR(__xludf.DUMMYFUNCTION("""COMPUTED_VALUE"""),"Informar a la institución aliada los motivos de la demora en los tramites del convenio y acordar una nueva fecha.")</f>
        <v>Informar a la institución aliada los motivos de la demora en los tramites del convenio y acordar una nueva fecha.</v>
      </c>
      <c r="W32" s="169" t="str">
        <f>IFERROR(__xludf.DUMMYFUNCTION("""COMPUTED_VALUE"""),"Correos enviados a las instituciones aliadas")</f>
        <v>Correos enviados a las instituciones aliadas</v>
      </c>
      <c r="X32" s="169" t="str">
        <f>IFERROR(__xludf.DUMMYFUNCTION("""COMPUTED_VALUE"""),"Líder OIRI")</f>
        <v>Líder OIRI</v>
      </c>
      <c r="Y32" s="169" t="str">
        <f>IFERROR(__xludf.DUMMYFUNCTION("""COMPUTED_VALUE"""),"Cada vez que se vence el convenio")</f>
        <v>Cada vez que se vence el convenio</v>
      </c>
      <c r="Z32" s="150" t="str">
        <f>IFERROR(__xludf.DUMMYFUNCTION("""COMPUTED_VALUE"""),"30 de abril")</f>
        <v>30 de abril</v>
      </c>
      <c r="AA32" s="32" t="str">
        <f>IFERROR(__xludf.DUMMYFUNCTION("""COMPUTED_VALUE"""),"Febrero- Marzo -Abril ")</f>
        <v>Febrero- Marzo -Abril </v>
      </c>
      <c r="AB32" s="182" t="str">
        <f>IFERROR(__xludf.DUMMYFUNCTION("""COMPUTED_VALUE"""),"Durante este monitoreo No se materializó el riesgo.
Acciones asociadas al tratamiento del riesgo:
Acciones realizadas: Seguimiento a 28 convenios vigentes.   Actividad 1: Se realizó la elaboración y presentación de los informes de seguimiento mensualmen"&amp;"te correspondientes a los 28 convenios en los meses de Febrero, marzo y abril, en cumplimiento con la Resolución Superior No. 1029. Estos informes se basaron en los avances y actividades establecidas en la matriz de convenios, y fueron preparados detallan"&amp;"do el cumplimiento de los compromisos, logros, dificultades y propuestas de solución de cada uno de los convenios.  Una vez elaborados, se notificó al supervisor para su revisión y firma al final de cada mes (Febrero, marzo y abril), asegurando que el pro"&amp;"ceso se realizara dentro de los plazos establecidos. Los informes fueron entregados al supervisor de manera formal por medio del drive https://drive.google.com/drive/folders/1BJVLrGTk1Z3ogvEqX_4k96pSA4_Q-Ndn?usp=sharing relacionado cada carpeta y mesde ca"&amp;"da informe, y se realizó el debido seguimiento para asegurar que fueran revisados y firmados.A lo largo de este proceso, se mantuvo actualizada la matriz de convenios, la cual permitió consolidar el estado de avance de cada convenio. De esta forma, se gar"&amp;"antizó el cumplimiento de los procedimientos establecidos por la normativa vigente y la correcta ejecución de las actividades, asegurando que todos los informes de seguimiento fueran entregados puntualmente y con la debida validación por parte del supervi"&amp;"sor. 
Avance sobre los controles existentes: 
Se elabora matriz de seguimiento de convenios, la cual se diligencia de manera mensual, con el fin de llevar el control sobre la elaboracion de los informes de los convenios vigentes, se incluye el enlace del"&amp;" documento correspondiente al mes vigente. Esto nos permite llevar un control claro y organizado a cada uno de los convenios vigentes. ")</f>
        <v>Durante este monitoreo No se materializó el riesgo.
Acciones asociadas al tratamiento del riesgo:
Acciones realizadas: Seguimiento a 28 convenios vigentes.   Actividad 1: Se realizó la elaboración y presentación de los informes de seguimiento mensualmente correspondientes a los 28 convenios en los meses de Febrero, marzo y abril, en cumplimiento con la Resolución Superior No. 1029. Estos informes se basaron en los avances y actividades establecidas en la matriz de convenios, y fueron preparados detallando el cumplimiento de los compromisos, logros, dificultades y propuestas de solución de cada uno de los convenios.  Una vez elaborados, se notificó al supervisor para su revisión y firma al final de cada mes (Febrero, marzo y abril), asegurando que el proceso se realizara dentro de los plazos establecidos. Los informes fueron entregados al supervisor de manera formal por medio del drive https://drive.google.com/drive/folders/1BJVLrGTk1Z3ogvEqX_4k96pSA4_Q-Ndn?usp=sharing relacionado cada carpeta y mesde cada informe, y se realizó el debido seguimiento para asegurar que fueran revisados y firmados.A lo largo de este proceso, se mantuvo actualizada la matriz de convenios, la cual permitió consolidar el estado de avance de cada convenio. De esta forma, se garantizó el cumplimiento de los procedimientos establecidos por la normativa vigente y la correcta ejecución de las actividades, asegurando que todos los informes de seguimiento fueran entregados puntualmente y con la debida validación por parte del supervisor. 
Avance sobre los controles existentes: 
Se elabora matriz de seguimiento de convenios, la cual se diligencia de manera mensual, con el fin de llevar el control sobre la elaboracion de los informes de los convenios vigentes, se incluye el enlace del documento correspondiente al mes vigente. Esto nos permite llevar un control claro y organizado a cada uno de los convenios vigentes. </v>
      </c>
      <c r="AC32" s="152" t="str">
        <f>IFERROR(__xludf.DUMMYFUNCTION("""COMPUTED_VALUE"""),"Profesional de Apoyo proceso de movilidad / Lider OIRI ")</f>
        <v>Profesional de Apoyo proceso de movilidad / Lider OIRI </v>
      </c>
      <c r="AD32" s="153" t="str">
        <f>IFERROR(__xludf.DUMMYFUNCTION("""COMPUTED_VALUE"""),"Evidencia")</f>
        <v>Evidencia</v>
      </c>
      <c r="AE32" s="150" t="str">
        <f>IFERROR(__xludf.DUMMYFUNCTION("""COMPUTED_VALUE"""),"Si")</f>
        <v>Si</v>
      </c>
      <c r="AF32" s="150" t="str">
        <f>IFERROR(__xludf.DUMMYFUNCTION("""COMPUTED_VALUE"""),"En proceso")</f>
        <v>En proceso</v>
      </c>
      <c r="AG32" s="32" t="str">
        <f>IFERROR(__xludf.DUMMYFUNCTION("""COMPUTED_VALUE"""),"Durante este monitoreo se evidencia reporte por parte del proceso sobre la NO materialización del riesgo. 
Sobre las acciones asociadas al tratamiento del riesgo: 
Se evidencia el seguimiento a la gestión de convenios por medio del informe mensual de c"&amp;"ada convenio la dependencia reporta que se realizó a 28 convenios en los meses de febrero, marzo y abril. Se revisa la evidencia y se cuenta con el acceso al seguimiento de los convenios, dando cumplimiento al primer avance de este monitoreo. 
Sobre el "&amp;"avance de los controles existentes: 
Se evidencia matriz de seguimiento de convenios, la cual se diligencia de manera mensual, dando cumplimeinto al control establecido en donde establece que los profesionales de apoyo y la coordinación de OIRI al inicio"&amp;" de cada mes verifica los tramites internos para la gestión de convenios mediante la matriz relacionada sobre el avance de los convenios, se evidencia reporte oportuno de el control existente. ")</f>
        <v>Durante este monitoreo se evidencia reporte por parte del proceso sobre la NO materialización del riesgo. 
Sobre las acciones asociadas al tratamiento del riesgo: 
Se evidencia el seguimiento a la gestión de convenios por medio del informe mensual de cada convenio la dependencia reporta que se realizó a 28 convenios en los meses de febrero, marzo y abril. Se revisa la evidencia y se cuenta con el acceso al seguimiento de los convenios, dando cumplimiento al primer avance de este monitoreo. 
Sobre el avance de los controles existentes: 
Se evidencia matriz de seguimiento de convenios, la cual se diligencia de manera mensual, dando cumplimeinto al control establecido en donde establece que los profesionales de apoyo y la coordinación de OIRI al inicio de cada mes verifica los tramites internos para la gestión de convenios mediante la matriz relacionada sobre el avance de los convenios, se evidencia reporte oportuno de el control existente. </v>
      </c>
      <c r="AH32" s="150" t="str">
        <f>IFERROR(__xludf.DUMMYFUNCTION("""COMPUTED_VALUE"""),"30 de abril")</f>
        <v>30 de abril</v>
      </c>
      <c r="AI32" s="32" t="str">
        <f>IFERROR(__xludf.DUMMYFUNCTION("""COMPUTED_VALUE"""),"Si")</f>
        <v>Si</v>
      </c>
      <c r="AJ32" s="32" t="str">
        <f>IFERROR(__xludf.DUMMYFUNCTION("""COMPUTED_VALUE"""),"Si")</f>
        <v>Si</v>
      </c>
      <c r="AK32" s="32" t="str">
        <f>IFERROR(__xludf.DUMMYFUNCTION("""COMPUTED_VALUE"""),"Si")</f>
        <v>Si</v>
      </c>
      <c r="AL32" s="32" t="str">
        <f>IFERROR(__xludf.DUMMYFUNCTION("""COMPUTED_VALUE"""),"Si")</f>
        <v>Si</v>
      </c>
      <c r="AM32" s="32" t="str">
        <f>IFERROR(__xludf.DUMMYFUNCTION("""COMPUTED_VALUE"""),"Si")</f>
        <v>Si</v>
      </c>
      <c r="AN32" s="32" t="str">
        <f>IFERROR(__xludf.DUMMYFUNCTION("""COMPUTED_VALUE"""),"Si")</f>
        <v>Si</v>
      </c>
      <c r="AO32" s="32" t="str">
        <f>IFERROR(__xludf.DUMMYFUNCTION("""COMPUTED_VALUE"""),"Si")</f>
        <v>Si</v>
      </c>
      <c r="AP32" s="32" t="str">
        <f>IFERROR(__xludf.DUMMYFUNCTION("""COMPUTED_VALUE"""),"No aplica")</f>
        <v>No aplica</v>
      </c>
      <c r="AQ32" s="32" t="str">
        <f>IFERROR(__xludf.DUMMYFUNCTION("""COMPUTED_VALUE"""),"No aplica")</f>
        <v>No aplica</v>
      </c>
      <c r="AR32" s="32" t="str">
        <f>IFERROR(__xludf.DUMMYFUNCTION("""COMPUTED_VALUE"""),"No aplica")</f>
        <v>No aplica</v>
      </c>
      <c r="AS32" s="150" t="str">
        <f>IFERROR(__xludf.DUMMYFUNCTION("""COMPUTED_VALUE"""),"Recomendaciones:
*Unificar el criterio para asignar el porcentaje de avance en los registros FORMATO INFORME DE AVANCE DE CONVENIO FO-JUR-29, toda vez que, en unos informes se registra 100% de avance para actividades no realizadas, mientras que en otros i"&amp;"nformes, el porcentaje de avance para las actividades no realizadas se registra como 0%.")</f>
        <v>Recomendaciones:
*Unificar el criterio para asignar el porcentaje de avance en los registros FORMATO INFORME DE AVANCE DE CONVENIO FO-JUR-29, toda vez que, en unos informes se registra 100% de avance para actividades no realizadas, mientras que en otros informes, el porcentaje de avance para las actividades no realizadas se registra como 0%.</v>
      </c>
      <c r="AT32" s="139"/>
    </row>
    <row r="33">
      <c r="A33" s="161"/>
      <c r="B33" s="73"/>
      <c r="C33" s="73"/>
      <c r="D33" s="94"/>
      <c r="E33" s="156"/>
      <c r="F33" s="156"/>
      <c r="G33" s="156"/>
      <c r="H33" s="156"/>
      <c r="I33" s="156"/>
      <c r="J33" s="156"/>
      <c r="K33" s="156"/>
      <c r="L33" s="156"/>
      <c r="M33" s="156"/>
      <c r="N33" s="156"/>
      <c r="O33" s="156"/>
      <c r="P33" s="156"/>
      <c r="Q33" s="156"/>
      <c r="R33" s="167" t="str">
        <f>IFERROR(__xludf.DUMMYFUNCTION("""COMPUTED_VALUE"""),"")</f>
        <v/>
      </c>
      <c r="S33" s="168" t="str">
        <f>IFERROR(__xludf.DUMMYFUNCTION("""COMPUTED_VALUE"""),"")</f>
        <v/>
      </c>
      <c r="T33" s="169"/>
      <c r="U33" s="169"/>
      <c r="V33" s="94"/>
      <c r="W33" s="94"/>
      <c r="X33" s="94"/>
      <c r="Y33" s="94"/>
      <c r="Z33" s="150" t="str">
        <f>IFERROR(__xludf.DUMMYFUNCTION("""COMPUTED_VALUE"""),"30 de agosto")</f>
        <v>30 de agosto</v>
      </c>
      <c r="AA33" s="32" t="str">
        <f>IFERROR(__xludf.DUMMYFUNCTION("""COMPUTED_VALUE"""),"Mayo-Junio-Julio")</f>
        <v>Mayo-Junio-Julio</v>
      </c>
      <c r="AB33" s="182" t="str">
        <f>IFERROR(__xludf.DUMMYFUNCTION("""COMPUTED_VALUE"""),"Durante este monitoreo No se materializó el riesgo.
Acciones asociadas al tratamiento del riesgo:
Acciones realizadas: Seguimiento a 28 convenios vigentes.   Actividad 1: Se realizó la elaboración y presentación de los informes de seguimiento mensualmen"&amp;"te correspondientes a los 28 convenios en los meses de Mayo,Junio, Julio, en cumplimiento con la Resolución Superior No. 1029. Estos informes se basaron en los avances y actividades establecidas en la matriz de convenios, y fueron preparados detallando el"&amp;" cumplimiento de los compromisos, logros, dificultades y propuestas de solución de cada uno de los convenios.  Una vez elaborados, se notificó al supervisor para su revisión y firma al final de cada mes (Mayo,Junio, Julio), asegurando que el proceso se re"&amp;"alizara dentro de los plazos establecidos. Los informes fueron entregados al supervisor de manera formal por medio del drive https://drive.google.com/drive/folders/1BJVLrGTk1Z3ogvEqX_4k96pSA4_Q-Ndn?usp=sharing relacionado cada carpeta y mesde cada informe"&amp;", y se realizó el debido seguimiento para asegurar que fueran revisados y firmados.A lo largo de este proceso, se mantuvo actualizada la matriz de convenios, la cual permitió consolidar el estado de avance de cada convenio. De esta forma, se garantizó el "&amp;"cumplimiento de los procedimientos establecidos por la normativa vigente y la correcta ejecución de las actividades, asegurando que todos los informes de seguimiento fueran entregados puntualmente y con la debida validación por parte del supervisor. 
Ava"&amp;"nce sobre los controles existentes: 
Se elabora matriz de seguimiento de convenios, la cual se diligencia de manera mensual, con el fin de llevar el control sobre la elaboracion de los informes de los convenios vigentes, se incluye el enlace del documento"&amp;" correspondiente al mes vigente. Esto nos permite llevar un control claro y organizado a cada uno de los convenios vigentes. ")</f>
        <v>Durante este monitoreo No se materializó el riesgo.
Acciones asociadas al tratamiento del riesgo:
Acciones realizadas: Seguimiento a 28 convenios vigentes.   Actividad 1: Se realizó la elaboración y presentación de los informes de seguimiento mensualmente correspondientes a los 28 convenios en los meses de Mayo,Junio, Julio, en cumplimiento con la Resolución Superior No. 1029. Estos informes se basaron en los avances y actividades establecidas en la matriz de convenios, y fueron preparados detallando el cumplimiento de los compromisos, logros, dificultades y propuestas de solución de cada uno de los convenios.  Una vez elaborados, se notificó al supervisor para su revisión y firma al final de cada mes (Mayo,Junio, Julio), asegurando que el proceso se realizara dentro de los plazos establecidos. Los informes fueron entregados al supervisor de manera formal por medio del drive https://drive.google.com/drive/folders/1BJVLrGTk1Z3ogvEqX_4k96pSA4_Q-Ndn?usp=sharing relacionado cada carpeta y mesde cada informe, y se realizó el debido seguimiento para asegurar que fueran revisados y firmados.A lo largo de este proceso, se mantuvo actualizada la matriz de convenios, la cual permitió consolidar el estado de avance de cada convenio. De esta forma, se garantizó el cumplimiento de los procedimientos establecidos por la normativa vigente y la correcta ejecución de las actividades, asegurando que todos los informes de seguimiento fueran entregados puntualmente y con la debida validación por parte del supervisor. 
Avance sobre los controles existentes: 
Se elabora matriz de seguimiento de convenios, la cual se diligencia de manera mensual, con el fin de llevar el control sobre la elaboracion de los informes de los convenios vigentes, se incluye el enlace del documento correspondiente al mes vigente. Esto nos permite llevar un control claro y organizado a cada uno de los convenios vigentes. </v>
      </c>
      <c r="AC33" s="152" t="str">
        <f>IFERROR(__xludf.DUMMYFUNCTION("""COMPUTED_VALUE"""),"Profesional de Apoyo proceso de movilidad / Lider OIRI ")</f>
        <v>Profesional de Apoyo proceso de movilidad / Lider OIRI </v>
      </c>
      <c r="AD33" s="153" t="str">
        <f>IFERROR(__xludf.DUMMYFUNCTION("""COMPUTED_VALUE"""),"Evidencia")</f>
        <v>Evidencia</v>
      </c>
      <c r="AE33" s="150" t="str">
        <f>IFERROR(__xludf.DUMMYFUNCTION("""COMPUTED_VALUE"""),"Si")</f>
        <v>Si</v>
      </c>
      <c r="AF33" s="152" t="str">
        <f>IFERROR(__xludf.DUMMYFUNCTION("""COMPUTED_VALUE"""),"En proceso")</f>
        <v>En proceso</v>
      </c>
      <c r="AG33" s="32" t="str">
        <f>IFERROR(__xludf.DUMMYFUNCTION("""COMPUTED_VALUE"""),"Se evidencia reporte sobre la no materialización del riesgo.
Sobre las acciones asociadas a controles:
Control 1: Los profesionales de apoyo y la coordinación de la OIRI realizaron la verificación mensual de los trámites internos para la gestión de conv"&amp;"enios, a través de la matriz parametrizada en Excel, con el fin de evidenciar que los convenios se encuentren suscritos dentro de los tiempos esperados.
Sobre las acciones de tratamiento:
Acción de tratamiento 1: Se adelantó el seguimiento a 28 convenio"&amp;"s vigentes, elaborando y presentando informes mensuales en los meses de mayo, junio y julio, en cumplimiento de la Resolución Superior No. 1029.
Estos informes se sustentaron en los avances de la matriz de convenios e incluyeron compromisos, logros, dific"&amp;"ultades y propuestas de mejora. Posteriormente, fueron remitidos a los supervisores para su revisión y firma dentro de los plazos establecidos, consolidando la evidencia en el drive institucional habilitado para tal fin.")</f>
        <v>Se evidencia reporte sobre la no materialización del riesgo.
Sobre las acciones asociadas a controles:
Control 1: Los profesionales de apoyo y la coordinación de la OIRI realizaron la verificación mensual de los trámites internos para la gestión de convenios, a través de la matriz parametrizada en Excel, con el fin de evidenciar que los convenios se encuentren suscritos dentro de los tiempos esperados.
Sobre las acciones de tratamiento:
Acción de tratamiento 1: Se adelantó el seguimiento a 28 convenios vigentes, elaborando y presentando informes mensuales en los meses de mayo, junio y julio, en cumplimiento de la Resolución Superior No. 1029.
Estos informes se sustentaron en los avances de la matriz de convenios e incluyeron compromisos, logros, dificultades y propuestas de mejora. Posteriormente, fueron remitidos a los supervisores para su revisión y firma dentro de los plazos establecidos, consolidando la evidencia en el drive institucional habilitado para tal fin.</v>
      </c>
      <c r="AH33" s="150" t="str">
        <f>IFERROR(__xludf.DUMMYFUNCTION("""COMPUTED_VALUE"""),"31 de agosto")</f>
        <v>31 de agosto</v>
      </c>
      <c r="AI33" s="32" t="str">
        <f>IFERROR(__xludf.DUMMYFUNCTION("""COMPUTED_VALUE"""),"Si")</f>
        <v>Si</v>
      </c>
      <c r="AJ33" s="32" t="str">
        <f>IFERROR(__xludf.DUMMYFUNCTION("""COMPUTED_VALUE"""),"Si")</f>
        <v>Si</v>
      </c>
      <c r="AK33" s="32" t="str">
        <f>IFERROR(__xludf.DUMMYFUNCTION("""COMPUTED_VALUE"""),"Si")</f>
        <v>Si</v>
      </c>
      <c r="AL33" s="32" t="str">
        <f>IFERROR(__xludf.DUMMYFUNCTION("""COMPUTED_VALUE"""),"Si")</f>
        <v>Si</v>
      </c>
      <c r="AM33" s="32" t="str">
        <f>IFERROR(__xludf.DUMMYFUNCTION("""COMPUTED_VALUE"""),"Si")</f>
        <v>Si</v>
      </c>
      <c r="AN33" s="32" t="str">
        <f>IFERROR(__xludf.DUMMYFUNCTION("""COMPUTED_VALUE"""),"Si")</f>
        <v>Si</v>
      </c>
      <c r="AO33" s="32" t="str">
        <f>IFERROR(__xludf.DUMMYFUNCTION("""COMPUTED_VALUE"""),"Si")</f>
        <v>Si</v>
      </c>
      <c r="AP33" s="32" t="str">
        <f>IFERROR(__xludf.DUMMYFUNCTION("""COMPUTED_VALUE"""),"No aplica")</f>
        <v>No aplica</v>
      </c>
      <c r="AQ33" s="32" t="str">
        <f>IFERROR(__xludf.DUMMYFUNCTION("""COMPUTED_VALUE"""),"No aplica")</f>
        <v>No aplica</v>
      </c>
      <c r="AR33" s="32" t="str">
        <f>IFERROR(__xludf.DUMMYFUNCTION("""COMPUTED_VALUE"""),"No aplica")</f>
        <v>No aplica</v>
      </c>
      <c r="AS33" s="150" t="str">
        <f>IFERROR(__xludf.DUMMYFUNCTION("""COMPUTED_VALUE"""),"Se revisió muestra aleatoria de los informes de seguimiento a los convenios vigentes, evidenciando mejora en la aplicación del criterio del porcentaje de avance.
Observación:
Si bien es cierto que, se aportaron los informes de seguimiento hasta el mes de"&amp;" julio de 2025, en la matriz de seguimiento 2025, sólo se evidencia el registro hasta el mes de mayo, se recomienda la actualización oportuna de esta matriz una vez finalizado cada periodo de seguimiento.")</f>
        <v>Se revisió muestra aleatoria de los informes de seguimiento a los convenios vigentes, evidenciando mejora en la aplicación del criterio del porcentaje de avance.
Observación:
Si bien es cierto que, se aportaron los informes de seguimiento hasta el mes de julio de 2025, en la matriz de seguimiento 2025, sólo se evidencia el registro hasta el mes de mayo, se recomienda la actualización oportuna de esta matriz una vez finalizado cada periodo de seguimiento.</v>
      </c>
      <c r="AT33" s="139"/>
    </row>
    <row r="34">
      <c r="A34" s="161"/>
      <c r="B34" s="73"/>
      <c r="C34" s="73"/>
      <c r="D34" s="98"/>
      <c r="E34" s="119"/>
      <c r="F34" s="119"/>
      <c r="G34" s="119"/>
      <c r="H34" s="119"/>
      <c r="I34" s="119"/>
      <c r="J34" s="119"/>
      <c r="K34" s="119"/>
      <c r="L34" s="119"/>
      <c r="M34" s="119"/>
      <c r="N34" s="119"/>
      <c r="O34" s="119"/>
      <c r="P34" s="119"/>
      <c r="Q34" s="119"/>
      <c r="R34" s="173" t="str">
        <f>IFERROR(__xludf.DUMMYFUNCTION("""COMPUTED_VALUE"""),"")</f>
        <v/>
      </c>
      <c r="S34" s="174" t="str">
        <f>IFERROR(__xludf.DUMMYFUNCTION("""COMPUTED_VALUE"""),"")</f>
        <v/>
      </c>
      <c r="T34" s="175"/>
      <c r="U34" s="175"/>
      <c r="V34" s="98"/>
      <c r="W34" s="98"/>
      <c r="X34" s="98"/>
      <c r="Y34" s="98"/>
      <c r="Z34" s="150" t="str">
        <f>IFERROR(__xludf.DUMMYFUNCTION("""COMPUTED_VALUE"""),"30 de diciembre")</f>
        <v>30 de diciembre</v>
      </c>
      <c r="AA34" s="32"/>
      <c r="AB34" s="182" t="str">
        <f>IFERROR(__xludf.DUMMYFUNCTION("""COMPUTED_VALUE"""),"Durante este monitoreo No se materializó el riesgo.
Acciones asociadas al tratamiento del riesgo:
Acciones realizadas: Seguimiento a 28 convenios vigentes.   Actividad 1: Se realizó la elaboración y presentación de los informes de seguimiento mensualmen"&amp;"te correspondientes a los 27 convenios en los meses de agosto, septiembre, octubre y noviembre en cumplimiento con la Resolución Superior No. 1029. Estos informes se basaron en los avances y actividades establecidas en la matriz de convenios, y fueron pre"&amp;"parados detallando el cumplimiento de los compromisos, logros, dificultades y propuestas de solución de cada uno de los convenios.  Una vez elaborados, se notificó al supervisor para su revisión y firma al final de cada mes (agosto, septiembre, octubre y "&amp;"noviembre), asegurando que el proceso se realizara dentro de los plazos establecidos. Los informes fueron entregados al supervisor de manera formal por medio del drive https://drive.google.com/drive/folders/1BJVLrGTk1Z3ogvEqX_4k96pSA4_Q-Ndn?usp=sharing re"&amp;"lacionado cada carpeta y mesde cada informe, y se realizó el debido seguimiento para asegurar que fueran revisados y firmados.A lo largo de este proceso, se mantuvo actualizada la matriz de convenios, la cual permitió consolidar el estado de avance de cad"&amp;"a convenio. De esta forma, se garantizó el cumplimiento de los procedimientos establecidos por la normativa vigente y la correcta ejecución de las actividades, asegurando que todos los informes de seguimiento fueran entregados puntualmente y con la debida"&amp;" validación por parte del supervisor. 
Avance sobre los controles existentes: 
Se elabora matriz de seguimiento de convenios, la cual se diligencia de manera mensual, con el fin de llevar el control sobre la elaboracion de los informes de los convenios v"&amp;"igentes, se incluye el enlace del documento correspondiente al mes vigente. Esto nos permite llevar un control claro y organizado a cada uno de los convenios vigentes. ")</f>
        <v>Durante este monitoreo No se materializó el riesgo.
Acciones asociadas al tratamiento del riesgo:
Acciones realizadas: Seguimiento a 28 convenios vigentes.   Actividad 1: Se realizó la elaboración y presentación de los informes de seguimiento mensualmente correspondientes a los 27 convenios en los meses de agosto, septiembre, octubre y noviembre en cumplimiento con la Resolución Superior No. 1029. Estos informes se basaron en los avances y actividades establecidas en la matriz de convenios, y fueron preparados detallando el cumplimiento de los compromisos, logros, dificultades y propuestas de solución de cada uno de los convenios.  Una vez elaborados, se notificó al supervisor para su revisión y firma al final de cada mes (agosto, septiembre, octubre y noviembre), asegurando que el proceso se realizara dentro de los plazos establecidos. Los informes fueron entregados al supervisor de manera formal por medio del drive https://drive.google.com/drive/folders/1BJVLrGTk1Z3ogvEqX_4k96pSA4_Q-Ndn?usp=sharing relacionado cada carpeta y mesde cada informe, y se realizó el debido seguimiento para asegurar que fueran revisados y firmados.A lo largo de este proceso, se mantuvo actualizada la matriz de convenios, la cual permitió consolidar el estado de avance de cada convenio. De esta forma, se garantizó el cumplimiento de los procedimientos establecidos por la normativa vigente y la correcta ejecución de las actividades, asegurando que todos los informes de seguimiento fueran entregados puntualmente y con la debida validación por parte del supervisor. 
Avance sobre los controles existentes: 
Se elabora matriz de seguimiento de convenios, la cual se diligencia de manera mensual, con el fin de llevar el control sobre la elaboracion de los informes de los convenios vigentes, se incluye el enlace del documento correspondiente al mes vigente. Esto nos permite llevar un control claro y organizado a cada uno de los convenios vigentes. </v>
      </c>
      <c r="AC34" s="152" t="str">
        <f>IFERROR(__xludf.DUMMYFUNCTION("""COMPUTED_VALUE"""),"Profesional de Apoyo proceso de movilidad / Lider OIRI ")</f>
        <v>Profesional de Apoyo proceso de movilidad / Lider OIRI </v>
      </c>
      <c r="AD34" s="153" t="str">
        <f>IFERROR(__xludf.DUMMYFUNCTION("""COMPUTED_VALUE"""),"Evidencia")</f>
        <v>Evidencia</v>
      </c>
      <c r="AE34" s="150" t="str">
        <f>IFERROR(__xludf.DUMMYFUNCTION("""COMPUTED_VALUE"""),"Si")</f>
        <v>Si</v>
      </c>
      <c r="AF34" s="152" t="str">
        <f>IFERROR(__xludf.DUMMYFUNCTION("""COMPUTED_VALUE"""),"Ejecutada")</f>
        <v>Ejecutada</v>
      </c>
      <c r="AG34" s="32" t="str">
        <f>IFERROR(__xludf.DUMMYFUNCTION("""COMPUTED_VALUE"""),"-Durante este periodo no se materializó el riesgo.
-Se realizó seguimiento a los 28 convenios vigentes, elaborando y presentando mensualmente los informes correspondientes a agosto, septiembre, octubre y noviembre, en cumplimiento de la Resolución Superi"&amp;"or 1029. Los informes fueron enviados al supervisor para su revisión y validación, manteniendo actualizada la matriz de convenios como soporte del avance y cumplimiento de compromisos.
-Se diligenció mensualmente la matriz de seguimiento de convenios, pe"&amp;"rmitiendo un control organizado del estado de cada convenio y la entrega oportuna de los informes.                                                                                                                                                             "&amp;"                                                                                       -Se recomienda continuar con el seguimiento mensual y la actualización oportuna de la matriz de convenios, dado que ha demostrado favorecer la organización y el cumplim"&amp;"iento oportuno de los informes.                                                                                                                                                                                                                                "&amp;"            ")</f>
        <v>-Durante este periodo no se materializó el riesgo.
-Se realizó seguimiento a los 28 convenios vigentes, elaborando y presentando mensualmente los informes correspondientes a agosto, septiembre, octubre y noviembre, en cumplimiento de la Resolución Superior 1029. Los informes fueron enviados al supervisor para su revisión y validación, manteniendo actualizada la matriz de convenios como soporte del avance y cumplimiento de compromisos.
-Se diligenció mensualmente la matriz de seguimiento de convenios, permitiendo un control organizado del estado de cada convenio y la entrega oportuna de los informes.                                                                                                                                                                                                                                                    -Se recomienda continuar con el seguimiento mensual y la actualización oportuna de la matriz de convenios, dado que ha demostrado favorecer la organización y el cumplimiento oportuno de los informes.                                                                                                                                                                                                                                            </v>
      </c>
      <c r="AH34" s="150" t="str">
        <f>IFERROR(__xludf.DUMMYFUNCTION("""COMPUTED_VALUE"""),"31 de diciembre")</f>
        <v>31 de diciembre</v>
      </c>
      <c r="AI34" s="32" t="str">
        <f>IFERROR(__xludf.DUMMYFUNCTION("""COMPUTED_VALUE"""),"Si")</f>
        <v>Si</v>
      </c>
      <c r="AJ34" s="32" t="str">
        <f>IFERROR(__xludf.DUMMYFUNCTION("""COMPUTED_VALUE"""),"Si")</f>
        <v>Si</v>
      </c>
      <c r="AK34" s="32" t="str">
        <f>IFERROR(__xludf.DUMMYFUNCTION("""COMPUTED_VALUE"""),"Si")</f>
        <v>Si</v>
      </c>
      <c r="AL34" s="32" t="str">
        <f>IFERROR(__xludf.DUMMYFUNCTION("""COMPUTED_VALUE"""),"Si")</f>
        <v>Si</v>
      </c>
      <c r="AM34" s="32" t="str">
        <f>IFERROR(__xludf.DUMMYFUNCTION("""COMPUTED_VALUE"""),"Si")</f>
        <v>Si</v>
      </c>
      <c r="AN34" s="32" t="str">
        <f>IFERROR(__xludf.DUMMYFUNCTION("""COMPUTED_VALUE"""),"Si")</f>
        <v>Si</v>
      </c>
      <c r="AO34" s="32" t="str">
        <f>IFERROR(__xludf.DUMMYFUNCTION("""COMPUTED_VALUE"""),"Si")</f>
        <v>Si</v>
      </c>
      <c r="AP34" s="32" t="str">
        <f>IFERROR(__xludf.DUMMYFUNCTION("""COMPUTED_VALUE"""),"No aplica")</f>
        <v>No aplica</v>
      </c>
      <c r="AQ34" s="32" t="str">
        <f>IFERROR(__xludf.DUMMYFUNCTION("""COMPUTED_VALUE"""),"No aplica")</f>
        <v>No aplica</v>
      </c>
      <c r="AR34" s="32" t="str">
        <f>IFERROR(__xludf.DUMMYFUNCTION("""COMPUTED_VALUE"""),"No aplica")</f>
        <v>No aplica</v>
      </c>
      <c r="AS34" s="150" t="str">
        <f>IFERROR(__xludf.DUMMYFUNCTION("""COMPUTED_VALUE"""),"Ninguna")</f>
        <v>Ninguna</v>
      </c>
      <c r="AT34" s="139"/>
    </row>
    <row r="35">
      <c r="A35" s="161"/>
      <c r="B35" s="73"/>
      <c r="C35" s="73"/>
      <c r="D35" s="144" t="str">
        <f>IFERROR(__xludf.DUMMYFUNCTION("""COMPUTED_VALUE"""),"Afectación reputacional por el incumplimiento de los compromisos adquiridos por estudiantes y docentes en la movilidad académica debido a la falta de seguimiento en la entrega de los informes de movilidad por parte de los estudiantes y docentes.")</f>
        <v>Afectación reputacional por el incumplimiento de los compromisos adquiridos por estudiantes y docentes en la movilidad académica debido a la falta de seguimiento en la entrega de los informes de movilidad por parte de los estudiantes y docentes.</v>
      </c>
      <c r="E35" s="144" t="str">
        <f>IFERROR(__xludf.DUMMYFUNCTION("""COMPUTED_VALUE"""),"Oficina de Internacionalización y Relaciones Interinstitucionales")</f>
        <v>Oficina de Internacionalización y Relaciones Interinstitucionales</v>
      </c>
      <c r="F35" s="144" t="str">
        <f>IFERROR(__xludf.DUMMYFUNCTION("""COMPUTED_VALUE"""),"Gestión")</f>
        <v>Gestión</v>
      </c>
      <c r="G35" s="144" t="str">
        <f>IFERROR(__xludf.DUMMYFUNCTION("""COMPUTED_VALUE"""),"- Falta de seguimiento en la entrega de los informes de movilidad por parte de los estudiantes y docentes
- Falta de interes en el cumplimiento de los compromisos de movilidad por parte de los estudiantes y docentes")</f>
        <v>- Falta de seguimiento en la entrega de los informes de movilidad por parte de los estudiantes y docentes
- Falta de interes en el cumplimiento de los compromisos de movilidad por parte de los estudiantes y docentes</v>
      </c>
      <c r="H35" s="144" t="str">
        <f>IFERROR(__xludf.DUMMYFUNCTION("""COMPUTED_VALUE"""),"1) Incumplimiento de la normatividad interna por parte de quienes realizan movilidad académica.
2) Incumplimiento al procedimiento movilidad saliente nacional e internacional.
3) Perdida de credibilidad en la información reportada por el proceso.
4) Retra"&amp;"so en el proceso.")</f>
        <v>1) Incumplimiento de la normatividad interna por parte de quienes realizan movilidad académica.
2) Incumplimiento al procedimiento movilidad saliente nacional e internacional.
3) Perdida de credibilidad en la información reportada por el proceso.
4) Retraso en el proceso.</v>
      </c>
      <c r="I35" s="145" t="str">
        <f>IFERROR(__xludf.DUMMYFUNCTION("""COMPUTED_VALUE"""),"GIT_02")</f>
        <v>GIT_02</v>
      </c>
      <c r="J35" s="145" t="str">
        <f>IFERROR(__xludf.DUMMYFUNCTION("""COMPUTED_VALUE"""),"Alta")</f>
        <v>Alta</v>
      </c>
      <c r="K35" s="145" t="str">
        <f>IFERROR(__xludf.DUMMYFUNCTION("""COMPUTED_VALUE"""),"Moderado")</f>
        <v>Moderado</v>
      </c>
      <c r="L35" s="145" t="str">
        <f>IFERROR(__xludf.DUMMYFUNCTION("""COMPUTED_VALUE"""),"Alta")</f>
        <v>Alta</v>
      </c>
      <c r="M35" s="144" t="str">
        <f>IFERROR(__xludf.DUMMYFUNCTION("""COMPUTED_VALUE"""),"- El Coordinador de OIRI y los profesionales de apoyo verifican que la información suministrada por los estudiantes y docentes corresponda a los requisitos de acuerdo al tipo de movilidad, a través del cotejo con el acuerdo académico y procedimiento de mo"&amp;"vilidad saliente nacional e internacional donde están los requisitos y la revisa con la información suministrada por los estudiantes y docentes. ")</f>
        <v>- El Coordinador de OIRI y los profesionales de apoyo verifican que la información suministrada por los estudiantes y docentes corresponda a los requisitos de acuerdo al tipo de movilidad, a través del cotejo con el acuerdo académico y procedimiento de movilidad saliente nacional e internacional donde están los requisitos y la revisa con la información suministrada por los estudiantes y docentes. </v>
      </c>
      <c r="N35" s="145" t="str">
        <f>IFERROR(__xludf.DUMMYFUNCTION("""COMPUTED_VALUE"""),"Media")</f>
        <v>Media</v>
      </c>
      <c r="O35" s="145" t="str">
        <f>IFERROR(__xludf.DUMMYFUNCTION("""COMPUTED_VALUE"""),"Moderado")</f>
        <v>Moderado</v>
      </c>
      <c r="P35" s="145" t="str">
        <f>IFERROR(__xludf.DUMMYFUNCTION("""COMPUTED_VALUE"""),"Alta")</f>
        <v>Alta</v>
      </c>
      <c r="Q35" s="178" t="str">
        <f>IFERROR(__xludf.DUMMYFUNCTION("""COMPUTED_VALUE"""),"Reducir")</f>
        <v>Reducir</v>
      </c>
      <c r="R35" s="158" t="str">
        <f>IFERROR(__xludf.DUMMYFUNCTION("""COMPUTED_VALUE"""),"- Divulgación a la comunidad estudiantil y docente sobre los compromisos a cumplir durante la movilidad academica.")</f>
        <v>- Divulgación a la comunidad estudiantil y docente sobre los compromisos a cumplir durante la movilidad academica.</v>
      </c>
      <c r="S35" s="159" t="str">
        <f>IFERROR(__xludf.DUMMYFUNCTION("""COMPUTED_VALUE"""),"Anual")</f>
        <v>Anual</v>
      </c>
      <c r="T35" s="170" t="str">
        <f>IFERROR(__xludf.DUMMYFUNCTION("""COMPUTED_VALUE"""),"Líder OIRI")</f>
        <v>Líder OIRI</v>
      </c>
      <c r="U35" s="170" t="str">
        <f>IFERROR(__xludf.DUMMYFUNCTION("""COMPUTED_VALUE"""),"Acta o carta de compromiso")</f>
        <v>Acta o carta de compromiso</v>
      </c>
      <c r="V35" s="169" t="str">
        <f>IFERROR(__xludf.DUMMYFUNCTION("""COMPUTED_VALUE"""),"Informar al comite de relaciones nacionales e internacionales sobre los estudiantes y docentes que incumplieron los requisitos de la convocatoria y de movilidad")</f>
        <v>Informar al comite de relaciones nacionales e internacionales sobre los estudiantes y docentes que incumplieron los requisitos de la convocatoria y de movilidad</v>
      </c>
      <c r="W35" s="169" t="str">
        <f>IFERROR(__xludf.DUMMYFUNCTION("""COMPUTED_VALUE"""),"Acta de comite")</f>
        <v>Acta de comite</v>
      </c>
      <c r="X35" s="169" t="str">
        <f>IFERROR(__xludf.DUMMYFUNCTION("""COMPUTED_VALUE"""),"Líder OIRI")</f>
        <v>Líder OIRI</v>
      </c>
      <c r="Y35" s="169" t="str">
        <f>IFERROR(__xludf.DUMMYFUNCTION("""COMPUTED_VALUE"""),"Cada vez que se requiera informar")</f>
        <v>Cada vez que se requiera informar</v>
      </c>
      <c r="Z35" s="150" t="str">
        <f>IFERROR(__xludf.DUMMYFUNCTION("""COMPUTED_VALUE"""),"30 de abril")</f>
        <v>30 de abril</v>
      </c>
      <c r="AA35" s="32" t="str">
        <f>IFERROR(__xludf.DUMMYFUNCTION("""COMPUTED_VALUE"""),"Febrero- Marzo -Abril ")</f>
        <v>Febrero- Marzo -Abril </v>
      </c>
      <c r="AB35" s="150" t="str">
        <f>IFERROR(__xludf.DUMMYFUNCTION("""COMPUTED_VALUE"""),"Durante este monitoreo NO se materializó el riesgo: 
Acciones asociadas al tratamiento: 
Acciones realizadas – Movilidad de larga estancia
Actividad 1: Seguimiento a la  finalización de procesos de movilidad saliente – Segundo semestre 2024 
Se realizó"&amp;" seguimiento a 42 procesos de movilidad saliente correspondientes al segundo semestre de 2024. Como parte de esta actividad, se revisaron las carpetas individuales de los estudiantes, identificando soportes pendientes necesarios para el cierre formal de c"&amp;"ada proceso. Se verificó la recepción de las notas académicas y de los informes finales de experiencia. La documentación fue localizada a través de tres canales: copias disponibles en la plataforma MOVEON, registros del correo institucional de movilidad y"&amp;" solicitudes directas a los estudiantes. Toda la información se encuentra consolidada en el cuadro de movilidad 2024 y en las respectivas carpetas digitales individuales.
Observación: Se reporta este seguimiento de movilidades del periodo anterior debido "&amp;"a que la terminación de las movilidades se dio en el mes de Diciembre de 2024, la entrega de informes finales y el reporte de notas se realiza iniciando el semestre 2025-1. 
Actividad 2: Seguimiento a estudiantes seleccionados para movilidad saliente – P"&amp;"rimer semestre 2025
Se dio continuidad al proceso de acompañamiento a los 21 estudiantes seleccionados para movilidad académica saliente durante el primer semestre de 2025. Se consolidó la documentación correspondiente en sus expedientes individuales, ges"&amp;"tionando la recolección de documentos pendientes. Esta información está organizada en el cuadro de movilidad 2025 y en carpetas digitales individualizadas por estudiante. Los estudiantes en su totalidad firman las respectivas cartas de compromiso. 
Activ"&amp;"idad 3: Revisión y actualización de procedimientos institucionales
Con el objetivo de fortalecer los mecanismos de seguimiento y control, se realizó la revisión y actualización de los procedimientos institucionales:
PD-GIT-08: Procedimiento de Movilidad "&amp;"Saliente Nacional e Internacional (v06)
PD-GIT-04: Procedimiento de Movilidad Académica Entrante Presencial Nacional e Internacional (v05)
Los ajustes realizados responden a la necesidad de alinear los procedimientos con la realidad operativa del proceso "&amp;"y establecer controles más eficaces para asegurar la entrega oportuna de documentación y el cumplimiento de responsabilidades por parte de los actores involucrados.
-Socialización de actualizaciones con programas académicos: Se notificó por medio de corr"&amp;"eo electrónico a los programas académicos sobre las actualizaciones realizadas en los procedimientos mencionados, garantizando su conocimiento y aplicación en los procesos futuros.
Avance sobre los controles existentes:
- El Profesional de Apoyo a carg"&amp;"o del proceso de movilidad académica de larga estancia verifica que la información suministrada por los estudiantes corresponda a los requisitos establecidos en la convocatoria de acuerdo con el procedimiento PD-GIT-08 PROCEDIMIENTO MOVILIDAD SALIENTE NAC"&amp;"IONAL E INTERNACIONAL. Esta verificación se realiza mediante el cotejo de los soportes documentales contenidos en carpetas digitales individuales por estudiante, las cuales se almacenan en el Drive institucional y se registran en el formato FO-GIT-01 ""Co"&amp;"ntrol de Documentos para Estudiantes Salientes"".")</f>
        <v>Durante este monitoreo NO se materializó el riesgo: 
Acciones asociadas al tratamiento: 
Acciones realizadas – Movilidad de larga estancia
Actividad 1: Seguimiento a la  finalización de procesos de movilidad saliente – Segundo semestre 2024 
Se realizó seguimiento a 42 procesos de movilidad saliente correspondientes al segundo semestre de 2024. Como parte de esta actividad, se revisaron las carpetas individuales de los estudiantes, identificando soportes pendientes necesarios para el cierre formal de cada proceso. Se verificó la recepción de las notas académicas y de los informes finales de experiencia. La documentación fue localizada a través de tres canales: copias disponibles en la plataforma MOVEON, registros del correo institucional de movilidad y solicitudes directas a los estudiantes. Toda la información se encuentra consolidada en el cuadro de movilidad 2024 y en las respectivas carpetas digitales individuales.
Observación: Se reporta este seguimiento de movilidades del periodo anterior debido a que la terminación de las movilidades se dio en el mes de Diciembre de 2024, la entrega de informes finales y el reporte de notas se realiza iniciando el semestre 2025-1. 
Actividad 2: Seguimiento a estudiantes seleccionados para movilidad saliente – Primer semestre 2025
Se dio continuidad al proceso de acompañamiento a los 21 estudiantes seleccionados para movilidad académica saliente durante el primer semestre de 2025. Se consolidó la documentación correspondiente en sus expedientes individuales, gestionando la recolección de documentos pendientes. Esta información está organizada en el cuadro de movilidad 2025 y en carpetas digitales individualizadas por estudiante. Los estudiantes en su totalidad firman las respectivas cartas de compromiso. 
Actividad 3: Revisión y actualización de procedimientos institucionales
Con el objetivo de fortalecer los mecanismos de seguimiento y control, se realizó la revisión y actualización de los procedimientos institucionales:
PD-GIT-08: Procedimiento de Movilidad Saliente Nacional e Internacional (v06)
PD-GIT-04: Procedimiento de Movilidad Académica Entrante Presencial Nacional e Internacional (v05)
Los ajustes realizados responden a la necesidad de alinear los procedimientos con la realidad operativa del proceso y establecer controles más eficaces para asegurar la entrega oportuna de documentación y el cumplimiento de responsabilidades por parte de los actores involucrados.
-Socialización de actualizaciones con programas académicos: Se notificó por medio de correo electrónico a los programas académicos sobre las actualizaciones realizadas en los procedimientos mencionados, garantizando su conocimiento y aplicación en los procesos futuros.
Avance sobre los controles existentes:
- El Profesional de Apoyo a cargo del proceso de movilidad académica de larga estancia verifica que la información suministrada por los estudiantes corresponda a los requisitos establecidos en la convocatoria de acuerdo con el procedimiento PD-GIT-08 PROCEDIMIENTO MOVILIDAD SALIENTE NACIONAL E INTERNACIONAL. Esta verificación se realiza mediante el cotejo de los soportes documentales contenidos en carpetas digitales individuales por estudiante, las cuales se almacenan en el Drive institucional y se registran en el formato FO-GIT-01 "Control de Documentos para Estudiantes Salientes".</v>
      </c>
      <c r="AC35" s="152" t="str">
        <f>IFERROR(__xludf.DUMMYFUNCTION("""COMPUTED_VALUE"""),"Profesional de Apoyo proceso de movilidad / Lider OIRI ")</f>
        <v>Profesional de Apoyo proceso de movilidad / Lider OIRI </v>
      </c>
      <c r="AD35" s="153" t="str">
        <f>IFERROR(__xludf.DUMMYFUNCTION("""COMPUTED_VALUE"""),"Evidencia")</f>
        <v>Evidencia</v>
      </c>
      <c r="AE35" s="150" t="str">
        <f>IFERROR(__xludf.DUMMYFUNCTION("""COMPUTED_VALUE"""),"Si")</f>
        <v>Si</v>
      </c>
      <c r="AF35" s="150" t="str">
        <f>IFERROR(__xludf.DUMMYFUNCTION("""COMPUTED_VALUE"""),"En proceso")</f>
        <v>En proceso</v>
      </c>
      <c r="AG35" s="32" t="str">
        <f>IFERROR(__xludf.DUMMYFUNCTION("""COMPUTED_VALUE"""),"Durante este monitoreo se evidencia reporte por parte del proceso sobre la NO materialización del riesgo. 
Sobre las acciones asociadas al tratamiento del riesgo: 
Se evidencia el repore oportuno dentro de las evidencias sobre la divulgación a la comun"&amp;"idad estudiantil y docente sobre los compromisos a cumplir durante la movilidad académica a traves de 3 actividades, 1) seguimiento a la finalización de movilidad saliente 2024, 2) seguimiento estudiantes movilidad saliente primer semestre 2025, 3) Revisi"&amp;"ón y actualización de procedimientos institucionales, se evidencia el uso de los procedimientos PD-GIT-08 ""PROCEDIMIENTO DE MOVILIDAD SALIENTE NACIONAL E INTERNACIONAL, PD-GIT-04 ""PROCEDIMIENTO DE MOVILIDAD ACADÉMICA ENTRANTE PRESENCIAL NACIONAL E INTER"&amp;"NACIONAL.
Se verifican las evidencias y se justifica el primer avance de este monitoreo. 
Se evidencia el reporte del control de verificación de información suministrada por los estudiantes y docentes conrrespondiente a los requisitos de acuerdo al tipo"&amp;" de movilidad, por medio de acuerdo academico y al PD-GIT-08 procedimiento de movilidad saliente nacional e internacional, en donde establecen los requisitos y se revisa la información suministrada por estudiantes y docentes.
Se revisan las evidencias do"&amp;"nde tambien se soporta el registro en el formato FO-GIT-01 control de documentos para estudianrtes salientes, dando cumplimiento al primer avance de este monitoreo. ")</f>
        <v>Durante este monitoreo se evidencia reporte por parte del proceso sobre la NO materialización del riesgo. 
Sobre las acciones asociadas al tratamiento del riesgo: 
Se evidencia el repore oportuno dentro de las evidencias sobre la divulgación a la comunidad estudiantil y docente sobre los compromisos a cumplir durante la movilidad académica a traves de 3 actividades, 1) seguimiento a la finalización de movilidad saliente 2024, 2) seguimiento estudiantes movilidad saliente primer semestre 2025, 3) Revisión y actualización de procedimientos institucionales, se evidencia el uso de los procedimientos PD-GIT-08 "PROCEDIMIENTO DE MOVILIDAD SALIENTE NACIONAL E INTERNACIONAL, PD-GIT-04 "PROCEDIMIENTO DE MOVILIDAD ACADÉMICA ENTRANTE PRESENCIAL NACIONAL E INTERNACIONAL.
Se verifican las evidencias y se justifica el primer avance de este monitoreo. 
Se evidencia el reporte del control de verificación de información suministrada por los estudiantes y docentes conrrespondiente a los requisitos de acuerdo al tipo de movilidad, por medio de acuerdo academico y al PD-GIT-08 procedimiento de movilidad saliente nacional e internacional, en donde establecen los requisitos y se revisa la información suministrada por estudiantes y docentes.
Se revisan las evidencias donde tambien se soporta el registro en el formato FO-GIT-01 control de documentos para estudianrtes salientes, dando cumplimiento al primer avance de este monitoreo. </v>
      </c>
      <c r="AH35" s="150" t="str">
        <f>IFERROR(__xludf.DUMMYFUNCTION("""COMPUTED_VALUE"""),"30 de abril")</f>
        <v>30 de abril</v>
      </c>
      <c r="AI35" s="32" t="str">
        <f>IFERROR(__xludf.DUMMYFUNCTION("""COMPUTED_VALUE"""),"Si")</f>
        <v>Si</v>
      </c>
      <c r="AJ35" s="32" t="str">
        <f>IFERROR(__xludf.DUMMYFUNCTION("""COMPUTED_VALUE"""),"Si")</f>
        <v>Si</v>
      </c>
      <c r="AK35" s="32" t="str">
        <f>IFERROR(__xludf.DUMMYFUNCTION("""COMPUTED_VALUE"""),"Si")</f>
        <v>Si</v>
      </c>
      <c r="AL35" s="32" t="str">
        <f>IFERROR(__xludf.DUMMYFUNCTION("""COMPUTED_VALUE"""),"Si")</f>
        <v>Si</v>
      </c>
      <c r="AM35" s="32" t="str">
        <f>IFERROR(__xludf.DUMMYFUNCTION("""COMPUTED_VALUE"""),"Si")</f>
        <v>Si</v>
      </c>
      <c r="AN35" s="32" t="str">
        <f>IFERROR(__xludf.DUMMYFUNCTION("""COMPUTED_VALUE"""),"Si")</f>
        <v>Si</v>
      </c>
      <c r="AO35" s="32" t="str">
        <f>IFERROR(__xludf.DUMMYFUNCTION("""COMPUTED_VALUE"""),"Si")</f>
        <v>Si</v>
      </c>
      <c r="AP35" s="32" t="str">
        <f>IFERROR(__xludf.DUMMYFUNCTION("""COMPUTED_VALUE"""),"No aplica")</f>
        <v>No aplica</v>
      </c>
      <c r="AQ35" s="32" t="str">
        <f>IFERROR(__xludf.DUMMYFUNCTION("""COMPUTED_VALUE"""),"No aplica")</f>
        <v>No aplica</v>
      </c>
      <c r="AR35" s="32" t="str">
        <f>IFERROR(__xludf.DUMMYFUNCTION("""COMPUTED_VALUE"""),"No aplica")</f>
        <v>No aplica</v>
      </c>
      <c r="AS35" s="150" t="str">
        <f>IFERROR(__xludf.DUMMYFUNCTION("""COMPUTED_VALUE"""),"Ninguna")</f>
        <v>Ninguna</v>
      </c>
      <c r="AT35" s="139"/>
    </row>
    <row r="36">
      <c r="A36" s="161"/>
      <c r="B36" s="73"/>
      <c r="C36" s="73"/>
      <c r="D36" s="156"/>
      <c r="E36" s="156"/>
      <c r="F36" s="156"/>
      <c r="G36" s="156"/>
      <c r="H36" s="156"/>
      <c r="I36" s="156"/>
      <c r="J36" s="156"/>
      <c r="K36" s="156"/>
      <c r="L36" s="156"/>
      <c r="M36" s="156"/>
      <c r="N36" s="156"/>
      <c r="O36" s="156"/>
      <c r="P36" s="156"/>
      <c r="Q36" s="157"/>
      <c r="R36" s="158" t="str">
        <f>IFERROR(__xludf.DUMMYFUNCTION("""COMPUTED_VALUE"""),"")</f>
        <v/>
      </c>
      <c r="S36" s="159" t="str">
        <f>IFERROR(__xludf.DUMMYFUNCTION("""COMPUTED_VALUE"""),"")</f>
        <v/>
      </c>
      <c r="T36" s="170"/>
      <c r="U36" s="170"/>
      <c r="V36" s="94"/>
      <c r="W36" s="94"/>
      <c r="X36" s="94"/>
      <c r="Y36" s="94"/>
      <c r="Z36" s="150" t="str">
        <f>IFERROR(__xludf.DUMMYFUNCTION("""COMPUTED_VALUE"""),"30 de agosto")</f>
        <v>30 de agosto</v>
      </c>
      <c r="AA36" s="32" t="str">
        <f>IFERROR(__xludf.DUMMYFUNCTION("""COMPUTED_VALUE"""),"Mayo-Junio-Julio")</f>
        <v>Mayo-Junio-Julio</v>
      </c>
      <c r="AB36" s="150" t="str">
        <f>IFERROR(__xludf.DUMMYFUNCTION("""COMPUTED_VALUE"""),"Durante este monitoreo NO se materializó el riesgo.
Acciones asociadas al tratamiento:
Acciones realizadas – Movilidad de larga estancia
-Actividad 1: Seguimiento a la finalización de procesos de movilidad saliente – Primer Periodo Académico de 2025:
"&amp;"Se realizó seguimiento a los 19 procesos de movilidad saliente correspondientes al primer periodo del 2025. Como parte de esta actividad, se revisaron los expedientes individuales de los estudiantes, identificando soportes pendientes necesarios para el ci"&amp;"erre formal de cada proceso. Se verificó la recepción de las notas académicas e informes finales de experiencia de movilidad nacional e internacional. A corte del mes de agosto, los procesos de movilidad del 2025-1 han finalizado en su totalidad.  Toda la"&amp;" información se encuentra consolidada en el cuadro de movilidad 2025 y en los respectivos expedientes digitales de cada estudiante.
Observación: Se reporta este seguimiento de movilidades del periodo anterior debido a que la terminación de las movilidade"&amp;"s se dio entre los meses de junio, julio y agosto de 2025. La entrega de informes finales y el reporte de notas se realiza iniciando el semestre 2025-2, por esta razón, a corte del mes de agosto, se han finalizado en su totalidad las movilidades de 2025-1"&amp;".
-Actividad 2: Seguimiento a estudiantes seleccionados para movilidad saliente – Segundo periodo académico de 2025:
Se dio continuidad al proceso de acompañamiento a los 24 estudiantes seleccionados para movilidad académica saliente en intercambios, pr"&amp;"ácticas y pasantías durante el segundo periodo académico de 2025, de los cuales, sólo 15 estudiantes ya iniciaron su movilidad y los restantes, inician en el mes de septiembre. Se consolidó la documentación correspondiente en sus expedientes digitales ind"&amp;"ividuales y gestionando la recolección de documentos pendientes. Esta información está organizada en el cuadro de movilidad 2025 y en los expedientes digitales individualizadas por estudiante.  Se han enviado correo a los estudiantes solicitando la docume"&amp;"ntación pendiente para dejar al día los expedientes digitales (cartas de compromiso, soporte de la inscripción de cursos inscritos en el 2025-2 y fechas en las que tuvieron la cita con PREU para valoración psicológica, con el fin de solicitar los soportes"&amp;" al PREU).
Avance sobre los controles existentes:
- El Profesional de Apoyo a cargo del proceso de movilidad académica de larga estancia verifica que la información suministrada por los estudiantes corresponda a los requisitos establecidos en la convocat"&amp;"oria de acuerdo con el procedimiento PD-GIT-08 PROCEDIMIENTO MOVILIDAD SALIENTE NACIONAL E INTERNACIONAL. Esta verificación se realiza mediante el cotejo de los soportes documentales contenidos en carpetas digitales individuales por estudiante, las cuales"&amp;" se almacenan en el Drive institucional y se registran en el formato FO-GIT-01 ""Control de Documentos para Estudiantes Salientes"".
")</f>
        <v>Durante este monitoreo NO se materializó el riesgo.
Acciones asociadas al tratamiento:
Acciones realizadas – Movilidad de larga estancia
-Actividad 1: Seguimiento a la finalización de procesos de movilidad saliente – Primer Periodo Académico de 2025:
Se realizó seguimiento a los 19 procesos de movilidad saliente correspondientes al primer periodo del 2025. Como parte de esta actividad, se revisaron los expedientes individuales de los estudiantes, identificando soportes pendientes necesarios para el cierre formal de cada proceso. Se verificó la recepción de las notas académicas e informes finales de experiencia de movilidad nacional e internacional. A corte del mes de agosto, los procesos de movilidad del 2025-1 han finalizado en su totalidad.  Toda la información se encuentra consolidada en el cuadro de movilidad 2025 y en los respectivos expedientes digitales de cada estudiante.
Observación: Se reporta este seguimiento de movilidades del periodo anterior debido a que la terminación de las movilidades se dio entre los meses de junio, julio y agosto de 2025. La entrega de informes finales y el reporte de notas se realiza iniciando el semestre 2025-2, por esta razón, a corte del mes de agosto, se han finalizado en su totalidad las movilidades de 2025-1.
-Actividad 2: Seguimiento a estudiantes seleccionados para movilidad saliente – Segundo periodo académico de 2025:
Se dio continuidad al proceso de acompañamiento a los 24 estudiantes seleccionados para movilidad académica saliente en intercambios, prácticas y pasantías durante el segundo periodo académico de 2025, de los cuales, sólo 15 estudiantes ya iniciaron su movilidad y los restantes, inician en el mes de septiembre. Se consolidó la documentación correspondiente en sus expedientes digitales individuales y gestionando la recolección de documentos pendientes. Esta información está organizada en el cuadro de movilidad 2025 y en los expedientes digitales individualizadas por estudiante.  Se han enviado correo a los estudiantes solicitando la documentación pendiente para dejar al día los expedientes digitales (cartas de compromiso, soporte de la inscripción de cursos inscritos en el 2025-2 y fechas en las que tuvieron la cita con PREU para valoración psicológica, con el fin de solicitar los soportes al PREU).
Avance sobre los controles existentes:
- El Profesional de Apoyo a cargo del proceso de movilidad académica de larga estancia verifica que la información suministrada por los estudiantes corresponda a los requisitos establecidos en la convocatoria de acuerdo con el procedimiento PD-GIT-08 PROCEDIMIENTO MOVILIDAD SALIENTE NACIONAL E INTERNACIONAL. Esta verificación se realiza mediante el cotejo de los soportes documentales contenidos en carpetas digitales individuales por estudiante, las cuales se almacenan en el Drive institucional y se registran en el formato FO-GIT-01 "Control de Documentos para Estudiantes Salientes".
</v>
      </c>
      <c r="AC36" s="152" t="str">
        <f>IFERROR(__xludf.DUMMYFUNCTION("""COMPUTED_VALUE"""),"Profesional de Apoyo proceso de movilidad / Lider OIRI ")</f>
        <v>Profesional de Apoyo proceso de movilidad / Lider OIRI </v>
      </c>
      <c r="AD36" s="153" t="str">
        <f>IFERROR(__xludf.DUMMYFUNCTION("""COMPUTED_VALUE"""),"Evidencia")</f>
        <v>Evidencia</v>
      </c>
      <c r="AE36" s="150" t="str">
        <f>IFERROR(__xludf.DUMMYFUNCTION("""COMPUTED_VALUE"""),"Si")</f>
        <v>Si</v>
      </c>
      <c r="AF36" s="152" t="str">
        <f>IFERROR(__xludf.DUMMYFUNCTION("""COMPUTED_VALUE"""),"En proceso")</f>
        <v>En proceso</v>
      </c>
      <c r="AG36" s="32" t="str">
        <f>IFERROR(__xludf.DUMMYFUNCTION("""COMPUTED_VALUE"""),"Se evidencia reporte sobre la no materialización del riesgo.
Sobre las acciones asociadas a controles:
Control 1: El Coordinador de OIRI y los profesionales de apoyo verificaron que la información suministrada por los estudiantes y docentes corresponda "&amp;"a los requisitos definidos en el procedimiento de movilidad saliente nacional e internacional, cotejándola con los acuerdos académicos. Esta verificación se realizó a través de expedientes digitales individuales y el registro en el formato FO-GIT-01 ""Con"&amp;"trol de Documentos para Estudiantes Salientes"".
Sobre las acciones de tratamiento:
Acción de tratamiento 1: Se adelantó la divulgación y seguimiento a los compromisos de movilidad académica, consolidando los reportes de estudiantes de larga estancia:
"&amp;"En el primer periodo académico de 2025 se realizó el cierre de 19 procesos de movilidad saliente, verificando notas académicas e informes finales, quedando la información consolidada en el cuadro de movilidad 2025 y expedientes digitales.
En el segundo p"&amp;"eriodo académico de 2025 se realizó acompañamiento a 24 estudiantes seleccionados, de los cuales 15 ya iniciaron movilidad y 9 inician en septiembre. Se organizó la documentación en expedientes digitales individuales y se solicitó a los estudiantes soport"&amp;"es pendientes (cartas de compromiso, inscripción de cursos y soportes del PREU).")</f>
        <v>Se evidencia reporte sobre la no materialización del riesgo.
Sobre las acciones asociadas a controles:
Control 1: El Coordinador de OIRI y los profesionales de apoyo verificaron que la información suministrada por los estudiantes y docentes corresponda a los requisitos definidos en el procedimiento de movilidad saliente nacional e internacional, cotejándola con los acuerdos académicos. Esta verificación se realizó a través de expedientes digitales individuales y el registro en el formato FO-GIT-01 "Control de Documentos para Estudiantes Salientes".
Sobre las acciones de tratamiento:
Acción de tratamiento 1: Se adelantó la divulgación y seguimiento a los compromisos de movilidad académica, consolidando los reportes de estudiantes de larga estancia:
En el primer periodo académico de 2025 se realizó el cierre de 19 procesos de movilidad saliente, verificando notas académicas e informes finales, quedando la información consolidada en el cuadro de movilidad 2025 y expedientes digitales.
En el segundo periodo académico de 2025 se realizó acompañamiento a 24 estudiantes seleccionados, de los cuales 15 ya iniciaron movilidad y 9 inician en septiembre. Se organizó la documentación en expedientes digitales individuales y se solicitó a los estudiantes soportes pendientes (cartas de compromiso, inscripción de cursos y soportes del PREU).</v>
      </c>
      <c r="AH36" s="150" t="str">
        <f>IFERROR(__xludf.DUMMYFUNCTION("""COMPUTED_VALUE"""),"31 de agosto")</f>
        <v>31 de agosto</v>
      </c>
      <c r="AI36" s="32" t="str">
        <f>IFERROR(__xludf.DUMMYFUNCTION("""COMPUTED_VALUE"""),"Si")</f>
        <v>Si</v>
      </c>
      <c r="AJ36" s="32" t="str">
        <f>IFERROR(__xludf.DUMMYFUNCTION("""COMPUTED_VALUE"""),"Si")</f>
        <v>Si</v>
      </c>
      <c r="AK36" s="32" t="str">
        <f>IFERROR(__xludf.DUMMYFUNCTION("""COMPUTED_VALUE"""),"Si")</f>
        <v>Si</v>
      </c>
      <c r="AL36" s="32" t="str">
        <f>IFERROR(__xludf.DUMMYFUNCTION("""COMPUTED_VALUE"""),"Si")</f>
        <v>Si</v>
      </c>
      <c r="AM36" s="32" t="str">
        <f>IFERROR(__xludf.DUMMYFUNCTION("""COMPUTED_VALUE"""),"Si")</f>
        <v>Si</v>
      </c>
      <c r="AN36" s="32" t="str">
        <f>IFERROR(__xludf.DUMMYFUNCTION("""COMPUTED_VALUE"""),"Si")</f>
        <v>Si</v>
      </c>
      <c r="AO36" s="32" t="str">
        <f>IFERROR(__xludf.DUMMYFUNCTION("""COMPUTED_VALUE"""),"Si")</f>
        <v>Si</v>
      </c>
      <c r="AP36" s="32" t="str">
        <f>IFERROR(__xludf.DUMMYFUNCTION("""COMPUTED_VALUE"""),"No aplica")</f>
        <v>No aplica</v>
      </c>
      <c r="AQ36" s="32" t="str">
        <f>IFERROR(__xludf.DUMMYFUNCTION("""COMPUTED_VALUE"""),"No aplica")</f>
        <v>No aplica</v>
      </c>
      <c r="AR36" s="32" t="str">
        <f>IFERROR(__xludf.DUMMYFUNCTION("""COMPUTED_VALUE"""),"No aplica")</f>
        <v>No aplica</v>
      </c>
      <c r="AS36" s="150" t="str">
        <f>IFERROR(__xludf.DUMMYFUNCTION("""COMPUTED_VALUE"""),"Ninguna")</f>
        <v>Ninguna</v>
      </c>
      <c r="AT36" s="139"/>
    </row>
    <row r="37">
      <c r="A37" s="161"/>
      <c r="B37" s="73"/>
      <c r="C37" s="73"/>
      <c r="D37" s="119"/>
      <c r="E37" s="119"/>
      <c r="F37" s="119"/>
      <c r="G37" s="119"/>
      <c r="H37" s="119"/>
      <c r="I37" s="119"/>
      <c r="J37" s="119"/>
      <c r="K37" s="119"/>
      <c r="L37" s="119"/>
      <c r="M37" s="119"/>
      <c r="N37" s="119"/>
      <c r="O37" s="119"/>
      <c r="P37" s="119"/>
      <c r="Q37" s="162"/>
      <c r="R37" s="163" t="str">
        <f>IFERROR(__xludf.DUMMYFUNCTION("""COMPUTED_VALUE"""),"")</f>
        <v/>
      </c>
      <c r="S37" s="164" t="str">
        <f>IFERROR(__xludf.DUMMYFUNCTION("""COMPUTED_VALUE"""),"")</f>
        <v/>
      </c>
      <c r="T37" s="176"/>
      <c r="U37" s="176"/>
      <c r="V37" s="98"/>
      <c r="W37" s="98"/>
      <c r="X37" s="98"/>
      <c r="Y37" s="98"/>
      <c r="Z37" s="150" t="str">
        <f>IFERROR(__xludf.DUMMYFUNCTION("""COMPUTED_VALUE"""),"30 de diciembre")</f>
        <v>30 de diciembre</v>
      </c>
      <c r="AA37" s="32"/>
      <c r="AB37" s="150" t="str">
        <f>IFERROR(__xludf.DUMMYFUNCTION("""COMPUTED_VALUE"""),"Durante este monitoreo NO se materializó el riesgo.
Acciones asociadas al tratamiento:
Acciones realizadas – Movilidad de larga estancia
-Actividad 1: Seguimiento a la finalización de procesos de movilidad saliente – segundo Periodo Académico de 2025:
"&amp;"
Se realizó seguimiento a los 25 procesos de movilidad saliente correspondientes al segundo periodo del 2025. Como parte de esta actividad, se revisaron los expedientes digitales de cada uno de los estudiantes, identificando los documentos pendientes, los"&amp;" cuales fueron solicitados junto con los Informes Finales de Movilidad y los Certificados de Notas Finales expedidos por las instituciones destino. Toda la información se encuentra consolidada en el cuadro de movilidad 2025-2 y en los respectivos expedien"&amp;"tes digitales de cada estudiante.
Observación: Al corte del presente periodo, los estudiantes no han finalizado sus movilidades. Es decir, que el cierre de los procesos de movilidad 2025-2, se cierran entre enero y febrero de 2026.
Avance sobre los con"&amp;"troles existentes:
La Profesional de Apoyo a cargo del proceso de movilidad académica de larga estancia, a través de los formatos de listas de chequeo FO-GIT-01 para las movilidades internacionales y FO-GIT-18 para movilidades nacionales, verifica la entr"&amp;"ega de cada uno de los compromisos, los cuales se podrán evidenciar en las carpetas de cada estudiante, las cuales se almacenan en el Drive institucional.")</f>
        <v>Durante este monitoreo NO se materializó el riesgo.
Acciones asociadas al tratamiento:
Acciones realizadas – Movilidad de larga estancia
-Actividad 1: Seguimiento a la finalización de procesos de movilidad saliente – segundo Periodo Académico de 2025:
Se realizó seguimiento a los 25 procesos de movilidad saliente correspondientes al segundo periodo del 2025. Como parte de esta actividad, se revisaron los expedientes digitales de cada uno de los estudiantes, identificando los documentos pendientes, los cuales fueron solicitados junto con los Informes Finales de Movilidad y los Certificados de Notas Finales expedidos por las instituciones destino. Toda la información se encuentra consolidada en el cuadro de movilidad 2025-2 y en los respectivos expedientes digitales de cada estudiante.
Observación: Al corte del presente periodo, los estudiantes no han finalizado sus movilidades. Es decir, que el cierre de los procesos de movilidad 2025-2, se cierran entre enero y febrero de 2026.
Avance sobre los controles existentes:
La Profesional de Apoyo a cargo del proceso de movilidad académica de larga estancia, a través de los formatos de listas de chequeo FO-GIT-01 para las movilidades internacionales y FO-GIT-18 para movilidades nacionales, verifica la entrega de cada uno de los compromisos, los cuales se podrán evidenciar en las carpetas de cada estudiante, las cuales se almacenan en el Drive institucional.</v>
      </c>
      <c r="AC37" s="152" t="str">
        <f>IFERROR(__xludf.DUMMYFUNCTION("""COMPUTED_VALUE"""),"Profesional de Apoyo proceso de movilidad / Lider OIRI ")</f>
        <v>Profesional de Apoyo proceso de movilidad / Lider OIRI </v>
      </c>
      <c r="AD37" s="153" t="str">
        <f>IFERROR(__xludf.DUMMYFUNCTION("""COMPUTED_VALUE"""),"Evidencia")</f>
        <v>Evidencia</v>
      </c>
      <c r="AE37" s="150" t="str">
        <f>IFERROR(__xludf.DUMMYFUNCTION("""COMPUTED_VALUE"""),"Si")</f>
        <v>Si</v>
      </c>
      <c r="AF37" s="152" t="str">
        <f>IFERROR(__xludf.DUMMYFUNCTION("""COMPUTED_VALUE"""),"En proceso")</f>
        <v>En proceso</v>
      </c>
      <c r="AG37" s="32" t="str">
        <f>IFERROR(__xludf.DUMMYFUNCTION("""COMPUTED_VALUE"""),"-Durante este monitoreo no se materializó el riesgo.
-Acciones asociadas al tratamiento del riesgo:
Se realizó seguimiento a los 25 procesos de movilidad saliente del segundo periodo académico 2025, revisando expedientes digitales, documentos pendientes,"&amp;" informes finales y certificados de notas. Los procesos se cerrarán entre enero y febrero de 2026, conforme al calendario de cada movilidad.
-Avance sobre los controles existentes:
La profesional responsable aplica los controles mediante los formatos FO-"&amp;"GIT-01 (movilidades internacionales) y FO-GIT-18 (movilidades nacionales). Además, se cuenta con actas y cartas de compromiso que evidencian la divulgación de los compromisos a los estudiantes y docentes, cumpliendo así con la acción de mejora establecida"&amp;".                                                                                                                                           - Se recomienda continuar con la práctica de generar y conservar las cartas de compromiso, dado que facilitan la tr"&amp;"azabilidad de los compromisos de movilidad y refuerzan el cumplimiento de los controles establecidos.")</f>
        <v>-Durante este monitoreo no se materializó el riesgo.
-Acciones asociadas al tratamiento del riesgo:
Se realizó seguimiento a los 25 procesos de movilidad saliente del segundo periodo académico 2025, revisando expedientes digitales, documentos pendientes, informes finales y certificados de notas. Los procesos se cerrarán entre enero y febrero de 2026, conforme al calendario de cada movilidad.
-Avance sobre los controles existentes:
La profesional responsable aplica los controles mediante los formatos FO-GIT-01 (movilidades internacionales) y FO-GIT-18 (movilidades nacionales). Además, se cuenta con actas y cartas de compromiso que evidencian la divulgación de los compromisos a los estudiantes y docentes, cumpliendo así con la acción de mejora establecida.                                                                                                                                           - Se recomienda continuar con la práctica de generar y conservar las cartas de compromiso, dado que facilitan la trazabilidad de los compromisos de movilidad y refuerzan el cumplimiento de los controles establecidos.</v>
      </c>
      <c r="AH37" s="150" t="str">
        <f>IFERROR(__xludf.DUMMYFUNCTION("""COMPUTED_VALUE"""),"31 de diciembre")</f>
        <v>31 de diciembre</v>
      </c>
      <c r="AI37" s="32" t="str">
        <f>IFERROR(__xludf.DUMMYFUNCTION("""COMPUTED_VALUE"""),"Si")</f>
        <v>Si</v>
      </c>
      <c r="AJ37" s="32" t="str">
        <f>IFERROR(__xludf.DUMMYFUNCTION("""COMPUTED_VALUE"""),"Si")</f>
        <v>Si</v>
      </c>
      <c r="AK37" s="32" t="str">
        <f>IFERROR(__xludf.DUMMYFUNCTION("""COMPUTED_VALUE"""),"Si")</f>
        <v>Si</v>
      </c>
      <c r="AL37" s="32" t="str">
        <f>IFERROR(__xludf.DUMMYFUNCTION("""COMPUTED_VALUE"""),"Si")</f>
        <v>Si</v>
      </c>
      <c r="AM37" s="32" t="str">
        <f>IFERROR(__xludf.DUMMYFUNCTION("""COMPUTED_VALUE"""),"Si")</f>
        <v>Si</v>
      </c>
      <c r="AN37" s="32" t="str">
        <f>IFERROR(__xludf.DUMMYFUNCTION("""COMPUTED_VALUE"""),"Si")</f>
        <v>Si</v>
      </c>
      <c r="AO37" s="32" t="str">
        <f>IFERROR(__xludf.DUMMYFUNCTION("""COMPUTED_VALUE"""),"Si")</f>
        <v>Si</v>
      </c>
      <c r="AP37" s="32" t="str">
        <f>IFERROR(__xludf.DUMMYFUNCTION("""COMPUTED_VALUE"""),"No aplica")</f>
        <v>No aplica</v>
      </c>
      <c r="AQ37" s="32" t="str">
        <f>IFERROR(__xludf.DUMMYFUNCTION("""COMPUTED_VALUE"""),"No aplica")</f>
        <v>No aplica</v>
      </c>
      <c r="AR37" s="32" t="str">
        <f>IFERROR(__xludf.DUMMYFUNCTION("""COMPUTED_VALUE"""),"No aplica")</f>
        <v>No aplica</v>
      </c>
      <c r="AS37" s="150" t="str">
        <f>IFERROR(__xludf.DUMMYFUNCTION("""COMPUTED_VALUE"""),"Ninguna")</f>
        <v>Ninguna</v>
      </c>
      <c r="AT37" s="139"/>
    </row>
    <row r="38">
      <c r="A38" s="161"/>
      <c r="B38" s="73"/>
      <c r="C38" s="73"/>
      <c r="D38" s="144" t="str">
        <f>IFERROR(__xludf.DUMMYFUNCTION("""COMPUTED_VALUE"""),"Afectación reputacional por disminución de la movilidad saliente de estudiantes de intercambio académico debido a los cambios en el contexto de la Universidad que generan cese de actividades académicas y la falta de divulgación de las oportunidades de mov"&amp;"ilidad.")</f>
        <v>Afectación reputacional por disminución de la movilidad saliente de estudiantes de intercambio académico debido a los cambios en el contexto de la Universidad que generan cese de actividades académicas y la falta de divulgación de las oportunidades de movilidad.</v>
      </c>
      <c r="E38" s="144" t="str">
        <f>IFERROR(__xludf.DUMMYFUNCTION("""COMPUTED_VALUE"""),"Oficina de Internacionalización y Relaciones Interinstitucionales")</f>
        <v>Oficina de Internacionalización y Relaciones Interinstitucionales</v>
      </c>
      <c r="F38" s="144" t="str">
        <f>IFERROR(__xludf.DUMMYFUNCTION("""COMPUTED_VALUE"""),"Gestión")</f>
        <v>Gestión</v>
      </c>
      <c r="G38" s="144" t="str">
        <f>IFERROR(__xludf.DUMMYFUNCTION("""COMPUTED_VALUE"""),"
- Cambios en el contexto de la Universidad que genera cese de actividades académicas 
- Falta de divulgación en los programas y oportunidades de movilidad
")</f>
        <v>
- Cambios en el contexto de la Universidad que genera cese de actividades académicas 
- Falta de divulgación en los programas y oportunidades de movilidad
</v>
      </c>
      <c r="H38" s="144" t="str">
        <f>IFERROR(__xludf.DUMMYFUNCTION("""COMPUTED_VALUE"""),"1) Afectación en los indicadores de movilidad de los programas de pregrado 
2) Afectacion de los intercambios para los estudiantes de noveno y decimo semestre
3) No se logra el intercambio académico y cultural esperado para fortalecer la formación e inves"&amp;"tigación en la Institución
4) Los estudiantes desaprovechen las oportunidades de crecimiento personal, académico y profesional en contextos multiculturales")</f>
        <v>1) Afectación en los indicadores de movilidad de los programas de pregrado 
2) Afectacion de los intercambios para los estudiantes de noveno y decimo semestre
3) No se logra el intercambio académico y cultural esperado para fortalecer la formación e investigación en la Institución
4) Los estudiantes desaprovechen las oportunidades de crecimiento personal, académico y profesional en contextos multiculturales</v>
      </c>
      <c r="I38" s="145" t="str">
        <f>IFERROR(__xludf.DUMMYFUNCTION("""COMPUTED_VALUE"""),"GIT_03")</f>
        <v>GIT_03</v>
      </c>
      <c r="J38" s="145" t="str">
        <f>IFERROR(__xludf.DUMMYFUNCTION("""COMPUTED_VALUE"""),"Media")</f>
        <v>Media</v>
      </c>
      <c r="K38" s="145" t="str">
        <f>IFERROR(__xludf.DUMMYFUNCTION("""COMPUTED_VALUE"""),"Moderado")</f>
        <v>Moderado</v>
      </c>
      <c r="L38" s="145" t="str">
        <f>IFERROR(__xludf.DUMMYFUNCTION("""COMPUTED_VALUE"""),"Alta")</f>
        <v>Alta</v>
      </c>
      <c r="M38" s="144" t="str">
        <f>IFERROR(__xludf.DUMMYFUNCTION("""COMPUTED_VALUE"""),"- La coordinación de OIRI verifica la matriz de movilidad en donde se tiene caracterizado los estudiantes y docentes asi revisando los requisitos y avance en el proceso de movilidad.
- Los profesionales de apoyo y la coordinacion de OIRI implementan los c"&amp;"ontroles establecidos en el procedimiento movilidad saliente nacional e internacional PD-GIT-08 para gestionar y facilitar la insercion de la comunidad academica en escenarios nacionale e internaciones que permita la transferencia y generacion de competen"&amp;"cias globales e interculturales, el afianzamiento de vinculos con aliados y el incremento de la visibilidad")</f>
        <v>- La coordinación de OIRI verifica la matriz de movilidad en donde se tiene caracterizado los estudiantes y docentes asi revisando los requisitos y avance en el proceso de movilidad.
- Los profesionales de apoyo y la coordinacion de OIRI implementan los controles establecidos en el procedimiento movilidad saliente nacional e internacional PD-GIT-08 para gestionar y facilitar la insercion de la comunidad academica en escenarios nacionale e internaciones que permita la transferencia y generacion de competencias globales e interculturales, el afianzamiento de vinculos con aliados y el incremento de la visibilidad</v>
      </c>
      <c r="N38" s="145" t="str">
        <f>IFERROR(__xludf.DUMMYFUNCTION("""COMPUTED_VALUE"""),"Baja")</f>
        <v>Baja</v>
      </c>
      <c r="O38" s="145" t="str">
        <f>IFERROR(__xludf.DUMMYFUNCTION("""COMPUTED_VALUE"""),"Moderado")</f>
        <v>Moderado</v>
      </c>
      <c r="P38" s="145" t="str">
        <f>IFERROR(__xludf.DUMMYFUNCTION("""COMPUTED_VALUE"""),"Media")</f>
        <v>Media</v>
      </c>
      <c r="Q38" s="166" t="str">
        <f>IFERROR(__xludf.DUMMYFUNCTION("""COMPUTED_VALUE"""),"Reducir")</f>
        <v>Reducir</v>
      </c>
      <c r="R38" s="167" t="str">
        <f>IFERROR(__xludf.DUMMYFUNCTION("""COMPUTED_VALUE"""),"Divulgación de las oportunidades de movilidad")</f>
        <v>Divulgación de las oportunidades de movilidad</v>
      </c>
      <c r="S38" s="168" t="str">
        <f>IFERROR(__xludf.DUMMYFUNCTION("""COMPUTED_VALUE"""),"Semestral")</f>
        <v>Semestral</v>
      </c>
      <c r="T38" s="169" t="str">
        <f>IFERROR(__xludf.DUMMYFUNCTION("""COMPUTED_VALUE"""),"Líder OIRI")</f>
        <v>Líder OIRI</v>
      </c>
      <c r="U38" s="169" t="str">
        <f>IFERROR(__xludf.DUMMYFUNCTION("""COMPUTED_VALUE"""),"Correos, boletines o actas de reunion")</f>
        <v>Correos, boletines o actas de reunion</v>
      </c>
      <c r="V38" s="169" t="str">
        <f>IFERROR(__xludf.DUMMYFUNCTION("""COMPUTED_VALUE"""),"Solicitar plan de contigencia al Consejo Académico para que se realice cursos intensivos a estudiantes seleccionados y que puedan culminar sus cursos antes de las fechas establecidas por R.Académica ")</f>
        <v>Solicitar plan de contigencia al Consejo Académico para que se realice cursos intensivos a estudiantes seleccionados y que puedan culminar sus cursos antes de las fechas establecidas por R.Académica </v>
      </c>
      <c r="W38" s="169" t="str">
        <f>IFERROR(__xludf.DUMMYFUNCTION("""COMPUTED_VALUE"""),"Oficios enviados a facultades, Vicerrectoría Académica y Comunicado por parte del Consejo Académico")</f>
        <v>Oficios enviados a facultades, Vicerrectoría Académica y Comunicado por parte del Consejo Académico</v>
      </c>
      <c r="X38" s="169" t="str">
        <f>IFERROR(__xludf.DUMMYFUNCTION("""COMPUTED_VALUE"""),"Líder OIRI")</f>
        <v>Líder OIRI</v>
      </c>
      <c r="Y38" s="169" t="str">
        <f>IFERROR(__xludf.DUMMYFUNCTION("""COMPUTED_VALUE"""),"Cada vez que se requiera")</f>
        <v>Cada vez que se requiera</v>
      </c>
      <c r="Z38" s="150" t="str">
        <f>IFERROR(__xludf.DUMMYFUNCTION("""COMPUTED_VALUE"""),"30 de abril")</f>
        <v>30 de abril</v>
      </c>
      <c r="AA38" s="32" t="str">
        <f>IFERROR(__xludf.DUMMYFUNCTION("""COMPUTED_VALUE"""),"Febrero- Marzo -Abril ")</f>
        <v>Febrero- Marzo -Abril </v>
      </c>
      <c r="AB38" s="150" t="str">
        <f>IFERROR(__xludf.DUMMYFUNCTION("""COMPUTED_VALUE"""),"
Durante este monitoreo No se materializó el riesgo, 
Acciones de tratamiento:
Actividad 1. Apertura de convocatorias de movilidad de larga estancia 2025-2
Se llevó a cabo la apertura de convocatorias internas para movilidad entrante y saliente correspon"&amp;"dientes al segundo semestre de 2025. Las convocatorias fueron divulgadas a la comunidad estudiantil y a las instituciones de educación superior (IES) externas mediante correo electrónico. En estas comunicaciones se incluyó el procedimiento detallado y el "&amp;"paso a paso que deben seguir los interesados. Adicionalmente, se brindó asesoría personalizada tanto presencialmente como a través de medios virtuales (correo electrónico y atención telefónica).
Actividad 2. Apertura de convocatorias de movilidad de cort"&amp;"a estancia 2025-1
Se llevó a cabo la apertura de convocatorias internas para movilidad de corta estancia. En estas comunicaciones se incluyó el procedimiento detallado y el paso a paso que deben seguir los interesados. Adicionalmente, se brindó asesoría p"&amp;"ersonalizada tanto presencialmente como a través de medios virtuales (correo electrónico y atención telefónica).  
Actividad 3. Publicación de convocatorias en el micrositio de Internacionalización (https://internacionalizacion.unillanos.edu.co/): A trav"&amp;"és del Micrositio de Internacionalización los estudiantes interesados en realizar movilidad saliente pueden consultar información detallada sobre requisitos, universidades con convenio, modalidades de movilidad, proceso de postulación y opciones de apoyo "&amp;"económico. 
Actividad 4. Socialización de la convocatoria en los Consejos de Facultad: Las convocatorias se presentan en los Consejos de Facultad, con el fin de que las direcciones de programa y demás miembros conozcan los requisitos, fechas clave y proc"&amp;"eso de postulación, facilitando así su divulgación dentro de cada unidad académica.
Avance sobre los controles existentes:
Se elabora la matriz de seguimiento denominada ""Cuadro de Movilidad"", en la cual se consolida la información general de cada estu"&amp;"diante, se registra el estado de su movilidad y se incluye el enlace al expediente o carpeta digital correspondiente. Esta matriz permite realizar un seguimiento integral del proceso, facilitando la validación y el cumplimiento de cada una de las etapas d"&amp;"el procedimiento de movilidad. ")</f>
        <v>
Durante este monitoreo No se materializó el riesgo, 
Acciones de tratamiento:
Actividad 1. Apertura de convocatorias de movilidad de larga estancia 2025-2
Se llevó a cabo la apertura de convocatorias internas para movilidad entrante y saliente correspondientes al segundo semestre de 2025. Las convocatorias fueron divulgadas a la comunidad estudiantil y a las instituciones de educación superior (IES) externas mediante correo electrónico. En estas comunicaciones se incluyó el procedimiento detallado y el paso a paso que deben seguir los interesados. Adicionalmente, se brindó asesoría personalizada tanto presencialmente como a través de medios virtuales (correo electrónico y atención telefónica).
Actividad 2. Apertura de convocatorias de movilidad de corta estancia 2025-1
Se llevó a cabo la apertura de convocatorias internas para movilidad de corta estancia. En estas comunicaciones se incluyó el procedimiento detallado y el paso a paso que deben seguir los interesados. Adicionalmente, se brindó asesoría personalizada tanto presencialmente como a través de medios virtuales (correo electrónico y atención telefónica).  
Actividad 3. Publicación de convocatorias en el micrositio de Internacionalización (https://internacionalizacion.unillanos.edu.co/): A través del Micrositio de Internacionalización los estudiantes interesados en realizar movilidad saliente pueden consultar información detallada sobre requisitos, universidades con convenio, modalidades de movilidad, proceso de postulación y opciones de apoyo económico. 
Actividad 4. Socialización de la convocatoria en los Consejos de Facultad: Las convocatorias se presentan en los Consejos de Facultad, con el fin de que las direcciones de programa y demás miembros conozcan los requisitos, fechas clave y proceso de postulación, facilitando así su divulgación dentro de cada unidad académica.
Avance sobre los controles existentes:
Se elabora la matriz de seguimiento denominada "Cuadro de Movilidad", en la cual se consolida la información general de cada estudiante, se registra el estado de su movilidad y se incluye el enlace al expediente o carpeta digital correspondiente. Esta matriz permite realizar un seguimiento integral del proceso, facilitando la validación y el cumplimiento de cada una de las etapas del procedimiento de movilidad. </v>
      </c>
      <c r="AC38" s="152" t="str">
        <f>IFERROR(__xludf.DUMMYFUNCTION("""COMPUTED_VALUE"""),"Profesional de Apoyo proceso de movilidad / Lider OIRI ")</f>
        <v>Profesional de Apoyo proceso de movilidad / Lider OIRI </v>
      </c>
      <c r="AD38" s="153" t="str">
        <f>IFERROR(__xludf.DUMMYFUNCTION("""COMPUTED_VALUE"""),"Evidencia")</f>
        <v>Evidencia</v>
      </c>
      <c r="AE38" s="150" t="str">
        <f>IFERROR(__xludf.DUMMYFUNCTION("""COMPUTED_VALUE"""),"Si")</f>
        <v>Si</v>
      </c>
      <c r="AF38" s="150" t="str">
        <f>IFERROR(__xludf.DUMMYFUNCTION("""COMPUTED_VALUE"""),"En proceso")</f>
        <v>En proceso</v>
      </c>
      <c r="AG38" s="32" t="str">
        <f>IFERROR(__xludf.DUMMYFUNCTION("""COMPUTED_VALUE"""),"Durante este monitoreo se evidencia reporte por parte del proceso sobre la NO materialización del riesgo. 
Sobre las acciones asociadas al tratamiento del riesgo:
Se evidencia el reporte sobre la divulgación de las oportunidades de movilidad, por medio"&amp;" de: la apertura de la convocatoria de movilidad de larga estancia 2025-2, la convocatoria de movilidad de corta estancia 2025-1, publicación de la convocatoria en el micrositio de internacionalización y la socialización de la convocatoria en los consejos"&amp;" de facultad, estas actividades cumplen con las evidencias de correos, boletines y actas de reunión que soportan las 4 actividades realizadas durante este primer reporte de monitoreo. 
Sobre los controles existentes: 
Se evidencia el reporte de seguimie"&amp;"nto del control sobre la matriz de movilidad donde se caracterizan estudiantes y docentes acorde a requisitos y sus avances, tambien se revisa que se esta cumpliento el procedimiento PD-GIT-08 procedimiento de movilidad saliente nacional e internacional, "&amp;"esta actividad se encuentra debidamente soportada en la carpeta de evidencias. ")</f>
        <v>Durante este monitoreo se evidencia reporte por parte del proceso sobre la NO materialización del riesgo. 
Sobre las acciones asociadas al tratamiento del riesgo:
Se evidencia el reporte sobre la divulgación de las oportunidades de movilidad, por medio de: la apertura de la convocatoria de movilidad de larga estancia 2025-2, la convocatoria de movilidad de corta estancia 2025-1, publicación de la convocatoria en el micrositio de internacionalización y la socialización de la convocatoria en los consejos de facultad, estas actividades cumplen con las evidencias de correos, boletines y actas de reunión que soportan las 4 actividades realizadas durante este primer reporte de monitoreo. 
Sobre los controles existentes: 
Se evidencia el reporte de seguimiento del control sobre la matriz de movilidad donde se caracterizan estudiantes y docentes acorde a requisitos y sus avances, tambien se revisa que se esta cumpliento el procedimiento PD-GIT-08 procedimiento de movilidad saliente nacional e internacional, esta actividad se encuentra debidamente soportada en la carpeta de evidencias. </v>
      </c>
      <c r="AH38" s="150" t="str">
        <f>IFERROR(__xludf.DUMMYFUNCTION("""COMPUTED_VALUE"""),"30 de abril")</f>
        <v>30 de abril</v>
      </c>
      <c r="AI38" s="32" t="str">
        <f>IFERROR(__xludf.DUMMYFUNCTION("""COMPUTED_VALUE"""),"Si")</f>
        <v>Si</v>
      </c>
      <c r="AJ38" s="32" t="str">
        <f>IFERROR(__xludf.DUMMYFUNCTION("""COMPUTED_VALUE"""),"Si")</f>
        <v>Si</v>
      </c>
      <c r="AK38" s="32" t="str">
        <f>IFERROR(__xludf.DUMMYFUNCTION("""COMPUTED_VALUE"""),"Si")</f>
        <v>Si</v>
      </c>
      <c r="AL38" s="32" t="str">
        <f>IFERROR(__xludf.DUMMYFUNCTION("""COMPUTED_VALUE"""),"Si")</f>
        <v>Si</v>
      </c>
      <c r="AM38" s="32" t="str">
        <f>IFERROR(__xludf.DUMMYFUNCTION("""COMPUTED_VALUE"""),"Si")</f>
        <v>Si</v>
      </c>
      <c r="AN38" s="32" t="str">
        <f>IFERROR(__xludf.DUMMYFUNCTION("""COMPUTED_VALUE"""),"Si")</f>
        <v>Si</v>
      </c>
      <c r="AO38" s="32" t="str">
        <f>IFERROR(__xludf.DUMMYFUNCTION("""COMPUTED_VALUE"""),"Si")</f>
        <v>Si</v>
      </c>
      <c r="AP38" s="32" t="str">
        <f>IFERROR(__xludf.DUMMYFUNCTION("""COMPUTED_VALUE"""),"No aplica")</f>
        <v>No aplica</v>
      </c>
      <c r="AQ38" s="32" t="str">
        <f>IFERROR(__xludf.DUMMYFUNCTION("""COMPUTED_VALUE"""),"No aplica")</f>
        <v>No aplica</v>
      </c>
      <c r="AR38" s="32" t="str">
        <f>IFERROR(__xludf.DUMMYFUNCTION("""COMPUTED_VALUE"""),"No aplica")</f>
        <v>No aplica</v>
      </c>
      <c r="AS38" s="150" t="str">
        <f>IFERROR(__xludf.DUMMYFUNCTION("""COMPUTED_VALUE"""),"Recomendación:
Evaluar la pertinencia de relacionar, como parte del resultado de la ejecución de los controles, los datos obtenidos a través del indicador ""Estudiantes de programas de pregrado y posgrado movilizados a nivel nacional e internacional en ca"&amp;"da período académico"", toda vez que, la descripción del riesgo se fundamenta en la disminución de la movilidad saliente de estudiantes de intercambio académico y los resultados del indicador pueden ayudar a evidenciar la efectividad de los controles impl"&amp;"ementados para la mitigación del riesgo.")</f>
        <v>Recomendación:
Evaluar la pertinencia de relacionar, como parte del resultado de la ejecución de los controles, los datos obtenidos a través del indicador "Estudiantes de programas de pregrado y posgrado movilizados a nivel nacional e internacional en cada período académico", toda vez que, la descripción del riesgo se fundamenta en la disminución de la movilidad saliente de estudiantes de intercambio académico y los resultados del indicador pueden ayudar a evidenciar la efectividad de los controles implementados para la mitigación del riesgo.</v>
      </c>
      <c r="AT38" s="139"/>
    </row>
    <row r="39">
      <c r="A39" s="161"/>
      <c r="B39" s="73"/>
      <c r="C39" s="73"/>
      <c r="D39" s="156"/>
      <c r="E39" s="156"/>
      <c r="F39" s="156"/>
      <c r="G39" s="156"/>
      <c r="H39" s="156"/>
      <c r="I39" s="156"/>
      <c r="J39" s="156"/>
      <c r="K39" s="156"/>
      <c r="L39" s="156"/>
      <c r="M39" s="156"/>
      <c r="N39" s="156"/>
      <c r="O39" s="156"/>
      <c r="P39" s="156"/>
      <c r="Q39" s="156"/>
      <c r="R39" s="167" t="str">
        <f>IFERROR(__xludf.DUMMYFUNCTION("""COMPUTED_VALUE"""),"")</f>
        <v/>
      </c>
      <c r="S39" s="168" t="str">
        <f>IFERROR(__xludf.DUMMYFUNCTION("""COMPUTED_VALUE"""),"")</f>
        <v/>
      </c>
      <c r="T39" s="169"/>
      <c r="U39" s="169"/>
      <c r="V39" s="94"/>
      <c r="W39" s="94"/>
      <c r="X39" s="94"/>
      <c r="Y39" s="94"/>
      <c r="Z39" s="150" t="str">
        <f>IFERROR(__xludf.DUMMYFUNCTION("""COMPUTED_VALUE"""),"30 de agosto")</f>
        <v>30 de agosto</v>
      </c>
      <c r="AA39" s="32" t="str">
        <f>IFERROR(__xludf.DUMMYFUNCTION("""COMPUTED_VALUE"""),"Mayo-Junio-Julio")</f>
        <v>Mayo-Junio-Julio</v>
      </c>
      <c r="AB39" s="182" t="str">
        <f>IFERROR(__xludf.DUMMYFUNCTION("""COMPUTED_VALUE"""),"Durante este monitoreo No se materializó el riesgo, 
Acciones de tratamiento:
Actividad 1. Apertura de convocatorias de movilidad de corta estancia 2025-2
Se llevó a cabo la apertura de convocatorias internas para movilidad de corta estancia. En estas c"&amp;"omunicaciones se incluyó el procedimiento detallado y el paso a paso que deben seguir los interesados. Adicionalmente, se brindó asesoría personalizada tanto presencialmente como a través de medios virtuales (correo electrónico y atención telefónica).  
"&amp;"Actividad 2. Publicación de convocatorias en el micrositio de Internacionalización (https://internacionalizacion.unillanos.edu.co/): A través del Micrositio de Internacionalización los estudiantes interesados en realizar movilidad saliente pueden consulta"&amp;"r información detallada sobre requisitos, universidades con convenio, modalidades de movilidad, proceso de postulación y opciones de apoyo económico. 
Actividad 3. Socialización de la convocatoria en los Consejos de Facultad: Las convocatorias se present"&amp;"an en los Consejos de Facultad, con el fin de que las direcciones de programa y demás miembros conozcan los requisitos, fechas clave y proceso de postulación, facilitando así su divulgación dentro de cada unidad académica.
Avance sobre los controles exis"&amp;"tentes:
Se elabora la matriz de seguimiento denominada ""REPOSITORIO CONSOLIDADO MOVILIDAD 2025"", en la cual se consolida la información general de cada estudiante, se registra el estado de su movilidad y se incluye el enlace al expediente o carpeta digi"&amp;"tal correspondiente. Esta matriz permite realizar un seguimiento integral del proceso, facilitando la validación y el cumplimiento de cada una de las etapas del procedimiento de movilidad. ")</f>
        <v>Durante este monitoreo No se materializó el riesgo, 
Acciones de tratamiento:
Actividad 1. Apertura de convocatorias de movilidad de corta estancia 2025-2
Se llevó a cabo la apertura de convocatorias internas para movilidad de corta estancia. En estas comunicaciones se incluyó el procedimiento detallado y el paso a paso que deben seguir los interesados. Adicionalmente, se brindó asesoría personalizada tanto presencialmente como a través de medios virtuales (correo electrónico y atención telefónica).  
Actividad 2. Publicación de convocatorias en el micrositio de Internacionalización (https://internacionalizacion.unillanos.edu.co/): A través del Micrositio de Internacionalización los estudiantes interesados en realizar movilidad saliente pueden consultar información detallada sobre requisitos, universidades con convenio, modalidades de movilidad, proceso de postulación y opciones de apoyo económico. 
Actividad 3. Socialización de la convocatoria en los Consejos de Facultad: Las convocatorias se presentan en los Consejos de Facultad, con el fin de que las direcciones de programa y demás miembros conozcan los requisitos, fechas clave y proceso de postulación, facilitando así su divulgación dentro de cada unidad académica.
Avance sobre los controles existentes:
Se elabora la matriz de seguimiento denominada "REPOSITORIO CONSOLIDADO MOVILIDAD 2025", en la cual se consolida la información general de cada estudiante, se registra el estado de su movilidad y se incluye el enlace al expediente o carpeta digital correspondiente. Esta matriz permite realizar un seguimiento integral del proceso, facilitando la validación y el cumplimiento de cada una de las etapas del procedimiento de movilidad. </v>
      </c>
      <c r="AC39" s="152" t="str">
        <f>IFERROR(__xludf.DUMMYFUNCTION("""COMPUTED_VALUE"""),"Profesional de Apoyo proceso de movilidad / Lider OIRI ")</f>
        <v>Profesional de Apoyo proceso de movilidad / Lider OIRI </v>
      </c>
      <c r="AD39" s="153" t="str">
        <f>IFERROR(__xludf.DUMMYFUNCTION("""COMPUTED_VALUE"""),"Evidencia")</f>
        <v>Evidencia</v>
      </c>
      <c r="AE39" s="150" t="str">
        <f>IFERROR(__xludf.DUMMYFUNCTION("""COMPUTED_VALUE"""),"Si")</f>
        <v>Si</v>
      </c>
      <c r="AF39" s="152" t="str">
        <f>IFERROR(__xludf.DUMMYFUNCTION("""COMPUTED_VALUE"""),"En proceso")</f>
        <v>En proceso</v>
      </c>
      <c r="AG39" s="32" t="str">
        <f>IFERROR(__xludf.DUMMYFUNCTION("""COMPUTED_VALUE"""),"Durante este monitoreo no se materializó el riesgo.
Sobre las acciones asociadas a los controles:
El proceso reporta la elaboración de la matriz de seguimiento denominada “Repositorio Consolidado Movilidad 2025”, en la cual se consolida la información ge"&amp;"neral de cada estudiante, se registra el estado de su movilidad y se incluye el enlace al expediente o carpeta digital correspondiente. Esta matriz permite realizar un seguimiento integral del proceso y facilita la validación y cumplimiento de las etapas "&amp;"definidas en el procedimiento de movilidad saliente nacional e internacional (PD-GIT-08).
Sobre las acciones asociadas al tratamiento:
Actividad 1: El proceso reporta la apertura de convocatorias internas para movilidad de corta estancia 2025-2, en las "&amp;"cuales se incluyó el procedimiento detallado y el paso a paso que deben seguir los interesados. Se indicó que se brindó asesoría personalizada tanto de manera presencial como virtual (correo electrónico y atención telefónica).
Actividad 2: Se reporta la "&amp;"publicación de las convocatorias en el Micrositio de Internacionalización (https://internacionalizacion.unillanos.edu.co/
), con información sobre requisitos, universidades con convenio, modalidades de movilidad, proceso de postulación y apoyos económicos"&amp;".
Actividad 3: Se informa que las convocatorias fueron socializadas en los Consejos de Facultad, permitiendo que las direcciones de programa y demás miembros conocieran los requisitos, fechas clave y el proceso de postulación, facilitando la divulgación "&amp;"en cada unidad académica.")</f>
        <v>Durante este monitoreo no se materializó el riesgo.
Sobre las acciones asociadas a los controles:
El proceso reporta la elaboración de la matriz de seguimiento denominada “Repositorio Consolidado Movilidad 2025”, en la cual se consolida la información general de cada estudiante, se registra el estado de su movilidad y se incluye el enlace al expediente o carpeta digital correspondiente. Esta matriz permite realizar un seguimiento integral del proceso y facilita la validación y cumplimiento de las etapas definidas en el procedimiento de movilidad saliente nacional e internacional (PD-GIT-08).
Sobre las acciones asociadas al tratamiento:
Actividad 1: El proceso reporta la apertura de convocatorias internas para movilidad de corta estancia 2025-2, en las cuales se incluyó el procedimiento detallado y el paso a paso que deben seguir los interesados. Se indicó que se brindó asesoría personalizada tanto de manera presencial como virtual (correo electrónico y atención telefónica).
Actividad 2: Se reporta la publicación de las convocatorias en el Micrositio de Internacionalización (https://internacionalizacion.unillanos.edu.co/
), con información sobre requisitos, universidades con convenio, modalidades de movilidad, proceso de postulación y apoyos económicos.
Actividad 3: Se informa que las convocatorias fueron socializadas en los Consejos de Facultad, permitiendo que las direcciones de programa y demás miembros conocieran los requisitos, fechas clave y el proceso de postulación, facilitando la divulgación en cada unidad académica.</v>
      </c>
      <c r="AH39" s="150" t="str">
        <f>IFERROR(__xludf.DUMMYFUNCTION("""COMPUTED_VALUE"""),"31 de agosto")</f>
        <v>31 de agosto</v>
      </c>
      <c r="AI39" s="32" t="str">
        <f>IFERROR(__xludf.DUMMYFUNCTION("""COMPUTED_VALUE"""),"Si")</f>
        <v>Si</v>
      </c>
      <c r="AJ39" s="32" t="str">
        <f>IFERROR(__xludf.DUMMYFUNCTION("""COMPUTED_VALUE"""),"Si")</f>
        <v>Si</v>
      </c>
      <c r="AK39" s="32" t="str">
        <f>IFERROR(__xludf.DUMMYFUNCTION("""COMPUTED_VALUE"""),"Si")</f>
        <v>Si</v>
      </c>
      <c r="AL39" s="32" t="str">
        <f>IFERROR(__xludf.DUMMYFUNCTION("""COMPUTED_VALUE"""),"Si")</f>
        <v>Si</v>
      </c>
      <c r="AM39" s="32" t="str">
        <f>IFERROR(__xludf.DUMMYFUNCTION("""COMPUTED_VALUE"""),"Si")</f>
        <v>Si</v>
      </c>
      <c r="AN39" s="32" t="str">
        <f>IFERROR(__xludf.DUMMYFUNCTION("""COMPUTED_VALUE"""),"Si")</f>
        <v>Si</v>
      </c>
      <c r="AO39" s="32" t="str">
        <f>IFERROR(__xludf.DUMMYFUNCTION("""COMPUTED_VALUE"""),"Si")</f>
        <v>Si</v>
      </c>
      <c r="AP39" s="32" t="str">
        <f>IFERROR(__xludf.DUMMYFUNCTION("""COMPUTED_VALUE"""),"No aplica")</f>
        <v>No aplica</v>
      </c>
      <c r="AQ39" s="32" t="str">
        <f>IFERROR(__xludf.DUMMYFUNCTION("""COMPUTED_VALUE"""),"No aplica")</f>
        <v>No aplica</v>
      </c>
      <c r="AR39" s="32" t="str">
        <f>IFERROR(__xludf.DUMMYFUNCTION("""COMPUTED_VALUE"""),"No aplica")</f>
        <v>No aplica</v>
      </c>
      <c r="AS39" s="150" t="str">
        <f>IFERROR(__xludf.DUMMYFUNCTION("""COMPUTED_VALUE"""),"Ninguna")</f>
        <v>Ninguna</v>
      </c>
      <c r="AT39" s="139"/>
    </row>
    <row r="40">
      <c r="A40" s="161"/>
      <c r="B40" s="38"/>
      <c r="C40" s="38"/>
      <c r="D40" s="119"/>
      <c r="E40" s="119"/>
      <c r="F40" s="119"/>
      <c r="G40" s="119"/>
      <c r="H40" s="119"/>
      <c r="I40" s="119"/>
      <c r="J40" s="119"/>
      <c r="K40" s="119"/>
      <c r="L40" s="119"/>
      <c r="M40" s="119"/>
      <c r="N40" s="119"/>
      <c r="O40" s="119"/>
      <c r="P40" s="119"/>
      <c r="Q40" s="119"/>
      <c r="R40" s="173" t="str">
        <f>IFERROR(__xludf.DUMMYFUNCTION("""COMPUTED_VALUE"""),"")</f>
        <v/>
      </c>
      <c r="S40" s="174" t="str">
        <f>IFERROR(__xludf.DUMMYFUNCTION("""COMPUTED_VALUE"""),"")</f>
        <v/>
      </c>
      <c r="T40" s="175"/>
      <c r="U40" s="175"/>
      <c r="V40" s="98"/>
      <c r="W40" s="98"/>
      <c r="X40" s="98"/>
      <c r="Y40" s="98"/>
      <c r="Z40" s="150" t="str">
        <f>IFERROR(__xludf.DUMMYFUNCTION("""COMPUTED_VALUE"""),"30 de diciembre")</f>
        <v>30 de diciembre</v>
      </c>
      <c r="AA40" s="32"/>
      <c r="AB40" s="150" t="str">
        <f>IFERROR(__xludf.DUMMYFUNCTION("""COMPUTED_VALUE"""),"Durante este monitoreo No se materializó el riesgo, 
Acciones de tratamiento:
Actividad 1. Resultados de las convocatorias de movilidad de corta estancia 2025
Se llevó a cabo el reporte de los resultados de las convocatorias internas 2025, para movilida"&amp;"d académica de corta estancia (Saliente Estudiantil y Entrante de Expertos Internacionales).  Durante el periodo de apertura de la convocatoria 2025-2, se brindó asesoría personalizada de manera presencial a los estudiantes postulados y a los docentes que"&amp;" organizaron eventos académicos en la Universidad durante el periodo académico 2025-2 y a través de medios virtuales (correo electrónico y atención telefónica). 
Actividad 2. Publicación de convocatorias en el micrositio de Internacionalización (https://"&amp;"internacionalizacion.unillanos.edu.co/): A través del Micrositio de la Oficina de Internacionalización los estudiantes interesados en realizar movilidad saliente pudieron consultar la información detallada sobre los lineamientos de cada convocatoria. 
Ac"&amp;"tividad 3. Socialización de la convocatoria: Las convocatorias se presentaron en Consejos de Facultad, Comités de Programa y Eventos Académicos donde nos abrieron un espacio para la divulgación de las convocatorias internas, con el fin de dar a conocer lo"&amp;"s lineamientos de cada convocatoria. 
Avance sobre los controles existentes:
Se realizó el registro del seguimiento de cada estudiante y/o docente coordinador postulado para acceder al apoyo económico en la matriz: ""REPOSITORIO CONSOLIDADO MOVILIDAD 202"&amp;"5"", en la cual se registró la información general de cada movilidad académica, facilitando el cumplimiento de cada una de las etapas del procedimiento.  
")</f>
        <v>Durante este monitoreo No se materializó el riesgo, 
Acciones de tratamiento:
Actividad 1. Resultados de las convocatorias de movilidad de corta estancia 2025
Se llevó a cabo el reporte de los resultados de las convocatorias internas 2025, para movilidad académica de corta estancia (Saliente Estudiantil y Entrante de Expertos Internacionales).  Durante el periodo de apertura de la convocatoria 2025-2, se brindó asesoría personalizada de manera presencial a los estudiantes postulados y a los docentes que organizaron eventos académicos en la Universidad durante el periodo académico 2025-2 y a través de medios virtuales (correo electrónico y atención telefónica). 
Actividad 2. Publicación de convocatorias en el micrositio de Internacionalización (https://internacionalizacion.unillanos.edu.co/): A través del Micrositio de la Oficina de Internacionalización los estudiantes interesados en realizar movilidad saliente pudieron consultar la información detallada sobre los lineamientos de cada convocatoria. 
Actividad 3. Socialización de la convocatoria: Las convocatorias se presentaron en Consejos de Facultad, Comités de Programa y Eventos Académicos donde nos abrieron un espacio para la divulgación de las convocatorias internas, con el fin de dar a conocer los lineamientos de cada convocatoria. 
Avance sobre los controles existentes:
Se realizó el registro del seguimiento de cada estudiante y/o docente coordinador postulado para acceder al apoyo económico en la matriz: "REPOSITORIO CONSOLIDADO MOVILIDAD 2025", en la cual se registró la información general de cada movilidad académica, facilitando el cumplimiento de cada una de las etapas del procedimiento.  
</v>
      </c>
      <c r="AC40" s="152" t="str">
        <f>IFERROR(__xludf.DUMMYFUNCTION("""COMPUTED_VALUE"""),"Profesional de Apoyo proceso de movilidad / Lider OIRI ")</f>
        <v>Profesional de Apoyo proceso de movilidad / Lider OIRI </v>
      </c>
      <c r="AD40" s="153" t="str">
        <f>IFERROR(__xludf.DUMMYFUNCTION("""COMPUTED_VALUE"""),"Evidencia")</f>
        <v>Evidencia</v>
      </c>
      <c r="AE40" s="150" t="str">
        <f>IFERROR(__xludf.DUMMYFUNCTION("""COMPUTED_VALUE"""),"No")</f>
        <v>No</v>
      </c>
      <c r="AF40" s="152" t="str">
        <f>IFERROR(__xludf.DUMMYFUNCTION("""COMPUTED_VALUE"""),"Pendiente")</f>
        <v>Pendiente</v>
      </c>
      <c r="AG40" s="32" t="str">
        <f>IFERROR(__xludf.DUMMYFUNCTION("""COMPUTED_VALUE"""),"-Durante este monitoreo no se materializó el riesgo.
-Se realizaron las convocatorias de movilidad académica de corta estancia 2025, incluyendo asesoría a estudiantes y docentes, publicación en el micrositio de internacionalización y socialización en Con"&amp;"sejos de Facultad y Comités de Programa. Se registró el seguimiento de cada participante en la matriz ""REPOSITORIO CONSOLIDADO MOVILIDAD 2025"". No hay evidencias reportadas para este riesgo.
-No se evidencian correos, boletines ni actas de reunión que "&amp;"respalden la divulgación y socialización de las oportunidades de movilidad                                                                                                                  -Se crecomienda registrar y conservar evidencia documental (correos"&amp;", boletines o actas) de la divulgación de las convocatorias, para asegurar la trazabilidad y cumplimiento de la cción de mejora o de control propuesta.
")</f>
        <v>-Durante este monitoreo no se materializó el riesgo.
-Se realizaron las convocatorias de movilidad académica de corta estancia 2025, incluyendo asesoría a estudiantes y docentes, publicación en el micrositio de internacionalización y socialización en Consejos de Facultad y Comités de Programa. Se registró el seguimiento de cada participante en la matriz "REPOSITORIO CONSOLIDADO MOVILIDAD 2025". No hay evidencias reportadas para este riesgo.
-No se evidencian correos, boletines ni actas de reunión que respalden la divulgación y socialización de las oportunidades de movilidad                                                                                                                  -Se crecomienda registrar y conservar evidencia documental (correos, boletines o actas) de la divulgación de las convocatorias, para asegurar la trazabilidad y cumplimiento de la cción de mejora o de control propuesta.
</v>
      </c>
      <c r="AH40" s="150" t="str">
        <f>IFERROR(__xludf.DUMMYFUNCTION("""COMPUTED_VALUE"""),"31 de diciembre")</f>
        <v>31 de diciembre</v>
      </c>
      <c r="AI40" s="32" t="str">
        <f>IFERROR(__xludf.DUMMYFUNCTION("""COMPUTED_VALUE"""),"Si")</f>
        <v>Si</v>
      </c>
      <c r="AJ40" s="32" t="str">
        <f>IFERROR(__xludf.DUMMYFUNCTION("""COMPUTED_VALUE"""),"Si")</f>
        <v>Si</v>
      </c>
      <c r="AK40" s="32" t="str">
        <f>IFERROR(__xludf.DUMMYFUNCTION("""COMPUTED_VALUE"""),"Si")</f>
        <v>Si</v>
      </c>
      <c r="AL40" s="32" t="str">
        <f>IFERROR(__xludf.DUMMYFUNCTION("""COMPUTED_VALUE"""),"Si")</f>
        <v>Si</v>
      </c>
      <c r="AM40" s="32" t="str">
        <f>IFERROR(__xludf.DUMMYFUNCTION("""COMPUTED_VALUE"""),"Si")</f>
        <v>Si</v>
      </c>
      <c r="AN40" s="32" t="str">
        <f>IFERROR(__xludf.DUMMYFUNCTION("""COMPUTED_VALUE"""),"Si")</f>
        <v>Si</v>
      </c>
      <c r="AO40" s="32" t="str">
        <f>IFERROR(__xludf.DUMMYFUNCTION("""COMPUTED_VALUE"""),"Si")</f>
        <v>Si</v>
      </c>
      <c r="AP40" s="32" t="str">
        <f>IFERROR(__xludf.DUMMYFUNCTION("""COMPUTED_VALUE"""),"No aplica")</f>
        <v>No aplica</v>
      </c>
      <c r="AQ40" s="32" t="str">
        <f>IFERROR(__xludf.DUMMYFUNCTION("""COMPUTED_VALUE"""),"No aplica")</f>
        <v>No aplica</v>
      </c>
      <c r="AR40" s="32" t="str">
        <f>IFERROR(__xludf.DUMMYFUNCTION("""COMPUTED_VALUE"""),"No aplica")</f>
        <v>No aplica</v>
      </c>
      <c r="AS40" s="150" t="str">
        <f>IFERROR(__xludf.DUMMYFUNCTION("""COMPUTED_VALUE"""),"Ninguna")</f>
        <v>Ninguna</v>
      </c>
      <c r="AT40" s="139"/>
    </row>
    <row r="41">
      <c r="A41" s="161"/>
      <c r="B41" s="140" t="s">
        <v>222</v>
      </c>
      <c r="C41" s="141" t="str">
        <f>IFERROR(__xludf.DUMMYFUNCTION("IMPORTRANGE(""https://docs.google.com/spreadsheets/d/12ZMJk16sp2j1XHBJNcwz2T_3sUaUkYGbF_arLSi931E/edit?gid=2098233099#gid=2098233099"",""Matriz_riesgos!C11:AS25"")"),"Formar integralmente ciudadanos, profesionales y científicos, capaces de adaptar y generar conocimiento para el desarrollo de la Orinoquia y del país. ")</f>
        <v>Formar integralmente ciudadanos, profesionales y científicos, capaces de adaptar y generar conocimiento para el desarrollo de la Orinoquia y del país. </v>
      </c>
      <c r="D41" s="144" t="str">
        <f>IFERROR(__xludf.DUMMYFUNCTION("""COMPUTED_VALUE"""),"Afectación reputacional, por baja satisfacción de los usuarios frente a la prestación del servicio de docencia, debido a debilidades en la aplicación de los controles establecidos")</f>
        <v>Afectación reputacional, por baja satisfacción de los usuarios frente a la prestación del servicio de docencia, debido a debilidades en la aplicación de los controles establecidos</v>
      </c>
      <c r="E41" s="144" t="str">
        <f>IFERROR(__xludf.DUMMYFUNCTION("""COMPUTED_VALUE"""),"Vicerrectoría Académica")</f>
        <v>Vicerrectoría Académica</v>
      </c>
      <c r="F41" s="144" t="str">
        <f>IFERROR(__xludf.DUMMYFUNCTION("""COMPUTED_VALUE"""),"Gestión")</f>
        <v>Gestión</v>
      </c>
      <c r="G41" s="144" t="str">
        <f>IFERROR(__xludf.DUMMYFUNCTION("""COMPUTED_VALUE"""),"- Desconocimiento o desatención de las directrices institucionales por parte de docentes y supervisores
- Ausencia de reglamentación respecto a las funciones y obligaciones de los docentes de planta, ocasionales y catedráticos")</f>
        <v>- Desconocimiento o desatención de las directrices institucionales por parte de docentes y supervisores
- Ausencia de reglamentación respecto a las funciones y obligaciones de los docentes de planta, ocasionales y catedráticos</v>
      </c>
      <c r="H41" s="144" t="str">
        <f>IFERROR(__xludf.DUMMYFUNCTION("""COMPUTED_VALUE"""),"1. Incumplimiento de los requisitos ofertados a los estudiantes
2. Detrimento patrimonial
3. Afectación a la imagen institucional
4. Intervención de órganos de control
5. Generación de traumatismos en los procesos misionales y administrativos")</f>
        <v>1. Incumplimiento de los requisitos ofertados a los estudiantes
2. Detrimento patrimonial
3. Afectación a la imagen institucional
4. Intervención de órganos de control
5. Generación de traumatismos en los procesos misionales y administrativos</v>
      </c>
      <c r="I41" s="145" t="str">
        <f>IFERROR(__xludf.DUMMYFUNCTION("""COMPUTED_VALUE"""),"DOC_01")</f>
        <v>DOC_01</v>
      </c>
      <c r="J41" s="145" t="str">
        <f>IFERROR(__xludf.DUMMYFUNCTION("""COMPUTED_VALUE"""),"Media")</f>
        <v>Media</v>
      </c>
      <c r="K41" s="145" t="str">
        <f>IFERROR(__xludf.DUMMYFUNCTION("""COMPUTED_VALUE"""),"Moderado")</f>
        <v>Moderado</v>
      </c>
      <c r="L41" s="145" t="str">
        <f>IFERROR(__xludf.DUMMYFUNCTION("""COMPUTED_VALUE"""),"Alta")</f>
        <v>Alta</v>
      </c>
      <c r="M41" s="144" t="str">
        <f>IFERROR(__xludf.DUMMYFUNCTION("""COMPUTED_VALUE"""),"- La Vicerrectoría Académica y la Dirección General de Currículo, establecen las directrices y los controles para la prestación del servicio de docencia (PD-DOC-38)
- El Comité de Programa, establece las generalidades del diseño de curso de programas pres"&amp;"enciales y el docente titular establece particularidades del desarrollo del curso (FO-DOC-81 y FO-DOC-140), y se entrega a la dirección del Programa Académico correspondiente
- El docente titular de cada curso (para el caso de docentes catedráticos) contr"&amp;"ola la asistencia de los estudiantes (FO-DOC-23) y reporta a la dirección del programa académico correspondiente - El Consejo Académico establece calendarios especiales en los casos en que se presente inicio extemporáneo de las clases ")</f>
        <v>- La Vicerrectoría Académica y la Dirección General de Currículo, establecen las directrices y los controles para la prestación del servicio de docencia (PD-DOC-38)
- El Comité de Programa, establece las generalidades del diseño de curso de programas presenciales y el docente titular establece particularidades del desarrollo del curso (FO-DOC-81 y FO-DOC-140), y se entrega a la dirección del Programa Académico correspondiente
- El docente titular de cada curso (para el caso de docentes catedráticos) controla la asistencia de los estudiantes (FO-DOC-23) y reporta a la dirección del programa académico correspondiente - El Consejo Académico establece calendarios especiales en los casos en que se presente inicio extemporáneo de las clases </v>
      </c>
      <c r="N41" s="145" t="str">
        <f>IFERROR(__xludf.DUMMYFUNCTION("""COMPUTED_VALUE"""),"Muy baja")</f>
        <v>Muy baja</v>
      </c>
      <c r="O41" s="145" t="str">
        <f>IFERROR(__xludf.DUMMYFUNCTION("""COMPUTED_VALUE"""),"Moderado")</f>
        <v>Moderado</v>
      </c>
      <c r="P41" s="145" t="str">
        <f>IFERROR(__xludf.DUMMYFUNCTION("""COMPUTED_VALUE"""),"Media")</f>
        <v>Media</v>
      </c>
      <c r="Q41" s="178" t="str">
        <f>IFERROR(__xludf.DUMMYFUNCTION("""COMPUTED_VALUE"""),"Reducir")</f>
        <v>Reducir</v>
      </c>
      <c r="R41" s="158" t="str">
        <f>IFERROR(__xludf.DUMMYFUNCTION("""COMPUTED_VALUE"""),"Sensibilizar a los directores de programa, sobre la importancia de la implementación del Procedimiento PD-DOC-38.")</f>
        <v>Sensibilizar a los directores de programa, sobre la importancia de la implementación del Procedimiento PD-DOC-38.</v>
      </c>
      <c r="S41" s="159" t="str">
        <f>IFERROR(__xludf.DUMMYFUNCTION("""COMPUTED_VALUE"""),"Semestral")</f>
        <v>Semestral</v>
      </c>
      <c r="T41" s="159" t="str">
        <f>IFERROR(__xludf.DUMMYFUNCTION("""COMPUTED_VALUE"""),"Vicerrectora Académica")</f>
        <v>Vicerrectora Académica</v>
      </c>
      <c r="U41" s="159" t="str">
        <f>IFERROR(__xludf.DUMMYFUNCTION("""COMPUTED_VALUE"""),"Correos electrónicos
Soportes de asistencia")</f>
        <v>Correos electrónicos
Soportes de asistencia</v>
      </c>
      <c r="V41" s="169" t="str">
        <f>IFERROR(__xludf.DUMMYFUNCTION("""COMPUTED_VALUE"""),"Abordar la situación al interior de los respectivos Comités de Programa y Consejos de Facultad con miras a documentar  el hecho de tal forma que se refleje en la evaluación del desempeño del docente, y a su vez informar de lo pertinente a la Oficina de Co"&amp;"ntrol Interno de Gestión ")</f>
        <v>Abordar la situación al interior de los respectivos Comités de Programa y Consejos de Facultad con miras a documentar  el hecho de tal forma que se refleje en la evaluación del desempeño del docente, y a su vez informar de lo pertinente a la Oficina de Control Interno de Gestión </v>
      </c>
      <c r="W41" s="169" t="str">
        <f>IFERROR(__xludf.DUMMYFUNCTION("""COMPUTED_VALUE"""),"Actas de Comités de Programa y Consejos de Facultad")</f>
        <v>Actas de Comités de Programa y Consejos de Facultad</v>
      </c>
      <c r="X41" s="169" t="str">
        <f>IFERROR(__xludf.DUMMYFUNCTION("""COMPUTED_VALUE"""),"Comités de Programas y Consejos de Facultad")</f>
        <v>Comités de Programas y Consejos de Facultad</v>
      </c>
      <c r="Y41" s="169" t="str">
        <f>IFERROR(__xludf.DUMMYFUNCTION("""COMPUTED_VALUE"""),"Inmediatamente se evidecie la materialización del riesgo")</f>
        <v>Inmediatamente se evidecie la materialización del riesgo</v>
      </c>
      <c r="Z41" s="150" t="str">
        <f>IFERROR(__xludf.DUMMYFUNCTION("""COMPUTED_VALUE"""),"30 de abril")</f>
        <v>30 de abril</v>
      </c>
      <c r="AA41" s="183">
        <f>IFERROR(__xludf.DUMMYFUNCTION("""COMPUTED_VALUE"""),45748.0)</f>
        <v>45748</v>
      </c>
      <c r="AB41" s="150" t="str">
        <f>IFERROR(__xludf.DUMMYFUNCTION("""COMPUTED_VALUE"""),"Durante este primer monitoreo NO se materializó el riesgo.                  
Acciones asociadas al tratamiento del riesgo:
Desde la Vicerrectoría Académica se llevaron a cabo reuniones con los Directores de Programa, Directores de Escuela y Decanos, con "&amp;"el objetivo de resaltar la importancia de los procedimientos académicos en donde se socializó el PD-DOC-38 para el mes de febrero. Estas actividades quedaron registradas en las listas de asistencia adjuntas, asimismo, se utilizaron presentaciones en diapo"&amp;"sitivas como recurso visual para facilitar la comprensión de la información expuesta.
Sobre los controles:                                                                                                                                                   "&amp;"                                                                                                                                                  Con el fin de realizar un adecuado seguimiento a las actividades, se socializó la actualización del formato P"&amp;"D-DOC-38 y se orientó sobre el diligenciamiento de los formatos FO-DOC-81, FO-DOC – 140, en las diferentes Decanaturas, con la participación de los Secretarios Académicos, Directores de Escuela y el director de Proyección Social. La socialización inició c"&amp;"on la Facultad de Ciencias Básicas e Ingeniería el 6 de febrero, posteriormente, se llevó a cabo con las Facultades de Ciencias Económicas, Ciencias de la Salud, y Ciencias Agropecuarias y Recursos Naturales el 14 de febrero. Finalmente, se realizó con la"&amp;" Facultad de Ciencias Humanas y de la Educación el 21 de febrero del 2025
")</f>
        <v>Durante este primer monitoreo NO se materializó el riesgo.                  
Acciones asociadas al tratamiento del riesgo:
Desde la Vicerrectoría Académica se llevaron a cabo reuniones con los Directores de Programa, Directores de Escuela y Decanos, con el objetivo de resaltar la importancia de los procedimientos académicos en donde se socializó el PD-DOC-38 para el mes de febrero. Estas actividades quedaron registradas en las listas de asistencia adjuntas, asimismo, se utilizaron presentaciones en diapositivas como recurso visual para facilitar la comprensión de la información expuesta.
Sobre los controles:                                                                                                                                                                                                                                                                                                     Con el fin de realizar un adecuado seguimiento a las actividades, se socializó la actualización del formato PD-DOC-38 y se orientó sobre el diligenciamiento de los formatos FO-DOC-81, FO-DOC – 140, en las diferentes Decanaturas, con la participación de los Secretarios Académicos, Directores de Escuela y el director de Proyección Social. La socialización inició con la Facultad de Ciencias Básicas e Ingeniería el 6 de febrero, posteriormente, se llevó a cabo con las Facultades de Ciencias Económicas, Ciencias de la Salud, y Ciencias Agropecuarias y Recursos Naturales el 14 de febrero. Finalmente, se realizó con la Facultad de Ciencias Humanas y de la Educación el 21 de febrero del 2025
</v>
      </c>
      <c r="AC41" s="152" t="str">
        <f>IFERROR(__xludf.DUMMYFUNCTION("""COMPUTED_VALUE"""),"vicerrectoria académica")</f>
        <v>vicerrectoria académica</v>
      </c>
      <c r="AD41" s="153" t="str">
        <f>IFERROR(__xludf.DUMMYFUNCTION("""COMPUTED_VALUE"""),"Evidencia")</f>
        <v>Evidencia</v>
      </c>
      <c r="AE41" s="150" t="str">
        <f>IFERROR(__xludf.DUMMYFUNCTION("""COMPUTED_VALUE"""),"Si")</f>
        <v>Si</v>
      </c>
      <c r="AF41" s="150" t="str">
        <f>IFERROR(__xludf.DUMMYFUNCTION("""COMPUTED_VALUE"""),"En proceso")</f>
        <v>En proceso</v>
      </c>
      <c r="AG41" s="32" t="str">
        <f>IFERROR(__xludf.DUMMYFUNCTION("""COMPUTED_VALUE"""),"Se evidencia reporte por parte del proceso sobre la NO materialización del riesgo. 
Sobre las acciones de tratamiento del riesgo: 
Se observa que el proceso presenta la acción de mejora relacionada con sensibilizar a los directores de programa, sobre la"&amp;" importancia de la implementación del procedimiento PD-DOC-38, acción de caracter semestral la cual se evidenció con soporte de asistencia y la presentación en diapositivas dirigido a cada facultad, esta actividad se realizó en el mes de febrero, se encue"&amp;"ntra pendiente el soporte de correos electronicos de citación a las reuniones como complemento en las evidencias. 
Sobre los controles: 
Al revisar la carpetas de evidencias, se encuentra que el proceso presenta 3 controles, el primero asociado con las "&amp;"directrices y los controles establecidos en el PD-DOC-38, se evidencia que en las acciones de tratamiento del riesgo se realizó la labor de divulgación y aplicación del procedimiento. Tambien se evidencia orientación por parte de la vicerrectoria en el di"&amp;"ligenciamiento y orientación a las facultades sobre el formatos fo-doc-81 y fo-doc-140 dirigido a los programas correspondientes, se revisan las evidencias dando cumplimiento al avance oportuno del control 2. Se encuentra pendiente el reporte del control "&amp;"3 relacionado con el control de asistencia FO-DOC-23 cuyo reporte y seguimiento se presenta a los programas, asi como los enlaces de calendarios especiales en caso de que se presente inicio extemporaneo de las clases, se entiende que esta labor es semestr"&amp;"al se espera el reporte para el siguiente monitoreo. 
")</f>
        <v>Se evidencia reporte por parte del proceso sobre la NO materialización del riesgo. 
Sobre las acciones de tratamiento del riesgo: 
Se observa que el proceso presenta la acción de mejora relacionada con sensibilizar a los directores de programa, sobre la importancia de la implementación del procedimiento PD-DOC-38, acción de caracter semestral la cual se evidenció con soporte de asistencia y la presentación en diapositivas dirigido a cada facultad, esta actividad se realizó en el mes de febrero, se encuentra pendiente el soporte de correos electronicos de citación a las reuniones como complemento en las evidencias. 
Sobre los controles: 
Al revisar la carpetas de evidencias, se encuentra que el proceso presenta 3 controles, el primero asociado con las directrices y los controles establecidos en el PD-DOC-38, se evidencia que en las acciones de tratamiento del riesgo se realizó la labor de divulgación y aplicación del procedimiento. Tambien se evidencia orientación por parte de la vicerrectoria en el diligenciamiento y orientación a las facultades sobre el formatos fo-doc-81 y fo-doc-140 dirigido a los programas correspondientes, se revisan las evidencias dando cumplimiento al avance oportuno del control 2. Se encuentra pendiente el reporte del control 3 relacionado con el control de asistencia FO-DOC-23 cuyo reporte y seguimiento se presenta a los programas, asi como los enlaces de calendarios especiales en caso de que se presente inicio extemporaneo de las clases, se entiende que esta labor es semestral se espera el reporte para el siguiente monitoreo. 
</v>
      </c>
      <c r="AH41" s="150" t="str">
        <f>IFERROR(__xludf.DUMMYFUNCTION("""COMPUTED_VALUE"""),"30 de abril")</f>
        <v>30 de abril</v>
      </c>
      <c r="AI41" s="32" t="str">
        <f>IFERROR(__xludf.DUMMYFUNCTION("""COMPUTED_VALUE"""),"Si")</f>
        <v>Si</v>
      </c>
      <c r="AJ41" s="32" t="str">
        <f>IFERROR(__xludf.DUMMYFUNCTION("""COMPUTED_VALUE"""),"Si")</f>
        <v>Si</v>
      </c>
      <c r="AK41" s="32" t="str">
        <f>IFERROR(__xludf.DUMMYFUNCTION("""COMPUTED_VALUE"""),"Si")</f>
        <v>Si</v>
      </c>
      <c r="AL41" s="32" t="str">
        <f>IFERROR(__xludf.DUMMYFUNCTION("""COMPUTED_VALUE"""),"Si")</f>
        <v>Si</v>
      </c>
      <c r="AM41" s="32" t="str">
        <f>IFERROR(__xludf.DUMMYFUNCTION("""COMPUTED_VALUE"""),"Si")</f>
        <v>Si</v>
      </c>
      <c r="AN41" s="32" t="str">
        <f>IFERROR(__xludf.DUMMYFUNCTION("""COMPUTED_VALUE"""),"Si")</f>
        <v>Si</v>
      </c>
      <c r="AO41" s="32" t="str">
        <f>IFERROR(__xludf.DUMMYFUNCTION("""COMPUTED_VALUE"""),"Si")</f>
        <v>Si</v>
      </c>
      <c r="AP41" s="32" t="str">
        <f>IFERROR(__xludf.DUMMYFUNCTION("""COMPUTED_VALUE"""),"No aplica")</f>
        <v>No aplica</v>
      </c>
      <c r="AQ41" s="32" t="str">
        <f>IFERROR(__xludf.DUMMYFUNCTION("""COMPUTED_VALUE"""),"No aplica")</f>
        <v>No aplica</v>
      </c>
      <c r="AR41" s="32" t="str">
        <f>IFERROR(__xludf.DUMMYFUNCTION("""COMPUTED_VALUE"""),"No aplica")</f>
        <v>No aplica</v>
      </c>
      <c r="AS41" s="150" t="str">
        <f>IFERROR(__xludf.DUMMYFUNCTION("""COMPUTED_VALUE"""),"Recomendaciones:
*Fortalecer la calidad del reporte de la ejecución de los controles. En el presente monitoreo y en concordancia con lo advertido por parte de la segunda línea de defensa, faltó el reporte concerniente a los controles 3 y 4.
*Con relación "&amp;"al control No. 3 y en aras de evidenciar en avance en la ejecución de este control, se sugiere el reporte de muestra aleatoria de los registros generados en el primer corte del periodo académico.
*Establecer la fecha o periodicidad para cada control, con "&amp;"el fin de brindar mayor claridad para su seguimiento y evaluación.
*Fortalecer la descripción de los controles conforme a la metodología propuesta en la Guía para la Administración del Riesgo y el diseño de controles en entidades públicas Versión 6, que p"&amp;"ropone los elementos que debe contemplar el diseño del control, como son: 
Responsable de ejecutar el control: identifica el cargo del servidor que ejecuta el control, en caso de que sean controles automáticos se identificará el sistema que realiza la act"&amp;"ividad. 
Acción: se determina mediante verbos que indican la acción que deben realizar como parte del control. 
Complemento: corresponde a los detalles que permiten identificar claramente el objeto del control. ")</f>
        <v>Recomendaciones:
*Fortalecer la calidad del reporte de la ejecución de los controles. En el presente monitoreo y en concordancia con lo advertido por parte de la segunda línea de defensa, faltó el reporte concerniente a los controles 3 y 4.
*Con relación al control No. 3 y en aras de evidenciar en avance en la ejecución de este control, se sugiere el reporte de muestra aleatoria de los registros generados en el primer corte del periodo académico.
*Establecer la fecha o periodicidad para cada control, con el fin de brindar mayor claridad para su seguimiento y evaluación.
*Fortalecer la descripción de los controles conforme a la metodología propuesta en la Guía para la Administración del Riesgo y el diseño de controles en entidades públicas Versión 6, que propone los elementos que debe contemplar el diseño del control, como son: 
Responsable de ejecutar el control: identifica el cargo del servidor que ejecuta el control, en caso de que sean controles automáticos se identificará el sistema que realiza la actividad. 
Acción: se determina mediante verbos que indican la acción que deben realizar como parte del control. 
Complemento: corresponde a los detalles que permiten identificar claramente el objeto del control. </v>
      </c>
      <c r="AT41" s="139"/>
    </row>
    <row r="42">
      <c r="A42" s="161"/>
      <c r="B42" s="73"/>
      <c r="C42" s="73"/>
      <c r="D42" s="156"/>
      <c r="E42" s="156"/>
      <c r="F42" s="156"/>
      <c r="G42" s="156"/>
      <c r="H42" s="156"/>
      <c r="I42" s="156"/>
      <c r="J42" s="156"/>
      <c r="K42" s="156"/>
      <c r="L42" s="156"/>
      <c r="M42" s="156"/>
      <c r="N42" s="156"/>
      <c r="O42" s="156"/>
      <c r="P42" s="156"/>
      <c r="Q42" s="157"/>
      <c r="R42" s="158" t="str">
        <f>IFERROR(__xludf.DUMMYFUNCTION("""COMPUTED_VALUE"""),"")</f>
        <v/>
      </c>
      <c r="S42" s="159" t="str">
        <f>IFERROR(__xludf.DUMMYFUNCTION("""COMPUTED_VALUE"""),"")</f>
        <v/>
      </c>
      <c r="T42" s="170"/>
      <c r="U42" s="170"/>
      <c r="V42" s="94"/>
      <c r="W42" s="94"/>
      <c r="X42" s="94"/>
      <c r="Y42" s="94"/>
      <c r="Z42" s="150" t="str">
        <f>IFERROR(__xludf.DUMMYFUNCTION("""COMPUTED_VALUE"""),"30 de agosto")</f>
        <v>30 de agosto</v>
      </c>
      <c r="AA42" s="172">
        <f>IFERROR(__xludf.DUMMYFUNCTION("""COMPUTED_VALUE"""),45899.0)</f>
        <v>45899</v>
      </c>
      <c r="AB42" s="150" t="str">
        <f>IFERROR(__xludf.DUMMYFUNCTION("""COMPUTED_VALUE"""),"Durante este segundo monitoreo NO se materializó el riesgo.                  
Acciones asociadas al tratamiento del riesgo:
Desde la Vicerrectoría Académica se llevaron a cabo reuniones con los Directores de Programa, Directores de Escuela y Decanos, con"&amp;" la participación de las distintas unidades académicas adscritas a esta Vicerrectoría. El objetivo de estos encuentros fue resaltar la importancia de los procedimientos académicos, en particular mediante la socialización del procedimiento PD-DOC-38 durant"&amp;"e el mes de julio.
Estas actividades quedaron debidamente registradas en las listas de asistencia adjuntas. Además, se utilizaron presentaciones en diapositivas como apoyo visual, con el fin de facilitar la comprensión de la información compartida.
Sobre "&amp;"los controles: 
Desde la Vicerrectoría Académica y la Dirección General de Currículo, se llevó a cabo una capacitación dirigida a los Directores de Programa, en la cual se brindó orientación sobre el procedimiento relacionado con el servicio de docencia ("&amp;"PD-DOC-38), igualmente se compartió el   CRONOGRAMA PLANEACIÓN ACADÉMICA inicio y desarrollo del II P.A-2025.
Como parte de este control, los programas académicos han estado remitiendo correos electrónicos a sus docentes, en los cuales se adjunta el forma"&amp;"to FO-DOC-81 correspondiente a los cursos que tienen a su cargo. En dicho correo se les indica que deben diligenciar el formato FO-DOC-140, además de establecerse los plazos específicos para llevar a cabo este proceso.
Se socializó la Resolución Académica"&amp;" 084 de 2024, mediante la cual se establece el Calendario Académico para el primer y segundo período académico del año 2025.
")</f>
        <v>Durante este segundo monitoreo NO se materializó el riesgo.                  
Acciones asociadas al tratamiento del riesgo:
Desde la Vicerrectoría Académica se llevaron a cabo reuniones con los Directores de Programa, Directores de Escuela y Decanos, con la participación de las distintas unidades académicas adscritas a esta Vicerrectoría. El objetivo de estos encuentros fue resaltar la importancia de los procedimientos académicos, en particular mediante la socialización del procedimiento PD-DOC-38 durante el mes de julio.
Estas actividades quedaron debidamente registradas en las listas de asistencia adjuntas. Además, se utilizaron presentaciones en diapositivas como apoyo visual, con el fin de facilitar la comprensión de la información compartida.
Sobre los controles: 
Desde la Vicerrectoría Académica y la Dirección General de Currículo, se llevó a cabo una capacitación dirigida a los Directores de Programa, en la cual se brindó orientación sobre el procedimiento relacionado con el servicio de docencia (PD-DOC-38), igualmente se compartió el   CRONOGRAMA PLANEACIÓN ACADÉMICA inicio y desarrollo del II P.A-2025.
Como parte de este control, los programas académicos han estado remitiendo correos electrónicos a sus docentes, en los cuales se adjunta el formato FO-DOC-81 correspondiente a los cursos que tienen a su cargo. En dicho correo se les indica que deben diligenciar el formato FO-DOC-140, además de establecerse los plazos específicos para llevar a cabo este proceso.
Se socializó la Resolución Académica 084 de 2024, mediante la cual se establece el Calendario Académico para el primer y segundo período académico del año 2025.
</v>
      </c>
      <c r="AC42" s="152" t="str">
        <f>IFERROR(__xludf.DUMMYFUNCTION("""COMPUTED_VALUE"""),"vicerrectoria académica")</f>
        <v>vicerrectoria académica</v>
      </c>
      <c r="AD42" s="153" t="str">
        <f>IFERROR(__xludf.DUMMYFUNCTION("""COMPUTED_VALUE"""),"Evidencia")</f>
        <v>Evidencia</v>
      </c>
      <c r="AE42" s="150" t="str">
        <f>IFERROR(__xludf.DUMMYFUNCTION("""COMPUTED_VALUE"""),"Si")</f>
        <v>Si</v>
      </c>
      <c r="AF42" s="152" t="str">
        <f>IFERROR(__xludf.DUMMYFUNCTION("""COMPUTED_VALUE"""),"En proceso")</f>
        <v>En proceso</v>
      </c>
      <c r="AG42" s="32" t="str">
        <f>IFERROR(__xludf.DUMMYFUNCTION("""COMPUTED_VALUE"""),"Se evidencia reporte por parte del proceso sobre la NO materialización del riesgo.
Sobre las acciones de tratamiento del riesgo:
Se observa que desde la Vicerrectoría Académica se realizaron reuniones en el mes de julio con Directores de Programa, Direct"&amp;"ores de Escuela y Decanos, con el propósito de socializar el procedimiento PD-DOC-38 y resaltar la importancia de los procedimientos académicos. Estas actividades cuentan con soporte en listas de asistencia y presentaciones en diapositivas empleadas como "&amp;"apoyo visual para la comprensión de la información compartida.
Sobre los controles:
Al revisar el reporte, se evidencia que desde la Vicerrectoría Académica y la Dirección General de Currículo se adelantó capacitación dirigida a los Directores de Program"&amp;"a sobre la aplicación del procedimiento PD-DOC-38, complementado con la socialización del cronograma de planeación académica para el inicio y desarrollo del II periodo académico 2025.
Asimismo, se reporta que los programas académicos han remitido correos "&amp;"electrónicos a los docentes, adjuntando el formato FO-DOC-81 y solicitando el diligenciamiento del FO-DOC-140, indicando además los plazos establecidos para su cumplimiento.
Finalmente, se socializó la Resolución Académica 084 de 2024, mediante la cual se"&amp;" fijó el calendario académico para los periodos 2025-1 y 2025-2.")</f>
        <v>Se evidencia reporte por parte del proceso sobre la NO materialización del riesgo.
Sobre las acciones de tratamiento del riesgo:
Se observa que desde la Vicerrectoría Académica se realizaron reuniones en el mes de julio con Directores de Programa, Directores de Escuela y Decanos, con el propósito de socializar el procedimiento PD-DOC-38 y resaltar la importancia de los procedimientos académicos. Estas actividades cuentan con soporte en listas de asistencia y presentaciones en diapositivas empleadas como apoyo visual para la comprensión de la información compartida.
Sobre los controles:
Al revisar el reporte, se evidencia que desde la Vicerrectoría Académica y la Dirección General de Currículo se adelantó capacitación dirigida a los Directores de Programa sobre la aplicación del procedimiento PD-DOC-38, complementado con la socialización del cronograma de planeación académica para el inicio y desarrollo del II periodo académico 2025.
Asimismo, se reporta que los programas académicos han remitido correos electrónicos a los docentes, adjuntando el formato FO-DOC-81 y solicitando el diligenciamiento del FO-DOC-140, indicando además los plazos establecidos para su cumplimiento.
Finalmente, se socializó la Resolución Académica 084 de 2024, mediante la cual se fijó el calendario académico para los periodos 2025-1 y 2025-2.</v>
      </c>
      <c r="AH42" s="150" t="str">
        <f>IFERROR(__xludf.DUMMYFUNCTION("""COMPUTED_VALUE"""),"31 de agosto")</f>
        <v>31 de agosto</v>
      </c>
      <c r="AI42" s="32" t="str">
        <f>IFERROR(__xludf.DUMMYFUNCTION("""COMPUTED_VALUE"""),"Si")</f>
        <v>Si</v>
      </c>
      <c r="AJ42" s="32" t="str">
        <f>IFERROR(__xludf.DUMMYFUNCTION("""COMPUTED_VALUE"""),"Si")</f>
        <v>Si</v>
      </c>
      <c r="AK42" s="32" t="str">
        <f>IFERROR(__xludf.DUMMYFUNCTION("""COMPUTED_VALUE"""),"Si")</f>
        <v>Si</v>
      </c>
      <c r="AL42" s="32" t="str">
        <f>IFERROR(__xludf.DUMMYFUNCTION("""COMPUTED_VALUE"""),"Si")</f>
        <v>Si</v>
      </c>
      <c r="AM42" s="32" t="str">
        <f>IFERROR(__xludf.DUMMYFUNCTION("""COMPUTED_VALUE"""),"Si")</f>
        <v>Si</v>
      </c>
      <c r="AN42" s="32" t="str">
        <f>IFERROR(__xludf.DUMMYFUNCTION("""COMPUTED_VALUE"""),"Si")</f>
        <v>Si</v>
      </c>
      <c r="AO42" s="32" t="str">
        <f>IFERROR(__xludf.DUMMYFUNCTION("""COMPUTED_VALUE"""),"Si")</f>
        <v>Si</v>
      </c>
      <c r="AP42" s="32" t="str">
        <f>IFERROR(__xludf.DUMMYFUNCTION("""COMPUTED_VALUE"""),"No aplica")</f>
        <v>No aplica</v>
      </c>
      <c r="AQ42" s="32" t="str">
        <f>IFERROR(__xludf.DUMMYFUNCTION("""COMPUTED_VALUE"""),"No aplica")</f>
        <v>No aplica</v>
      </c>
      <c r="AR42" s="32" t="str">
        <f>IFERROR(__xludf.DUMMYFUNCTION("""COMPUTED_VALUE"""),"No aplica")</f>
        <v>No aplica</v>
      </c>
      <c r="AS42" s="150" t="str">
        <f>IFERROR(__xludf.DUMMYFUNCTION("""COMPUTED_VALUE"""),"Se reiteran las recomendaciones generadas en la evaluación del primer cuatrimestre:
*Fortalecer la calidad del reporte de la ejecución de los controles. En el presente monitoreo y en concordancia con lo advertido por parte de la segunda línea de defensa, "&amp;"faltó el reporte concerniente a los controles 3 y 4.
*Con relación al control No. 3 y en aras de evidenciar en avance en la ejecución de este control, se sugiere el reporte de muestra aleatoria de los registros generados en el primer corte del periodo aca"&amp;"démico.
*Establecer la fecha o periodicidad para cada control, con el fin de brindar mayor claridad para su seguimiento y evaluación.
*Fortalecer la descripción de los controles conforme a la metodología propuesta en la Guía para la Administración del Rie"&amp;"sgo y el diseño de controles en entidades públicas Versión 6, que propone los elementos que debe contemplar el diseño del control.")</f>
        <v>Se reiteran las recomendaciones generadas en la evaluación del primer cuatrimestre:
*Fortalecer la calidad del reporte de la ejecución de los controles. En el presente monitoreo y en concordancia con lo advertido por parte de la segunda línea de defensa, faltó el reporte concerniente a los controles 3 y 4.
*Con relación al control No. 3 y en aras de evidenciar en avance en la ejecución de este control, se sugiere el reporte de muestra aleatoria de los registros generados en el primer corte del periodo académico.
*Establecer la fecha o periodicidad para cada control, con el fin de brindar mayor claridad para su seguimiento y evaluación.
*Fortalecer la descripción de los controles conforme a la metodología propuesta en la Guía para la Administración del Riesgo y el diseño de controles en entidades públicas Versión 6, que propone los elementos que debe contemplar el diseño del control.</v>
      </c>
      <c r="AT42" s="139"/>
    </row>
    <row r="43">
      <c r="A43" s="161"/>
      <c r="B43" s="73"/>
      <c r="C43" s="73"/>
      <c r="D43" s="119"/>
      <c r="E43" s="119"/>
      <c r="F43" s="119"/>
      <c r="G43" s="119"/>
      <c r="H43" s="119"/>
      <c r="I43" s="119"/>
      <c r="J43" s="119"/>
      <c r="K43" s="119"/>
      <c r="L43" s="119"/>
      <c r="M43" s="119"/>
      <c r="N43" s="119"/>
      <c r="O43" s="119"/>
      <c r="P43" s="119"/>
      <c r="Q43" s="162"/>
      <c r="R43" s="163" t="str">
        <f>IFERROR(__xludf.DUMMYFUNCTION("""COMPUTED_VALUE"""),"")</f>
        <v/>
      </c>
      <c r="S43" s="164" t="str">
        <f>IFERROR(__xludf.DUMMYFUNCTION("""COMPUTED_VALUE"""),"")</f>
        <v/>
      </c>
      <c r="T43" s="176"/>
      <c r="U43" s="176"/>
      <c r="V43" s="98"/>
      <c r="W43" s="98"/>
      <c r="X43" s="98"/>
      <c r="Y43" s="98"/>
      <c r="Z43" s="150" t="str">
        <f>IFERROR(__xludf.DUMMYFUNCTION("""COMPUTED_VALUE"""),"30 de diciembre")</f>
        <v>30 de diciembre</v>
      </c>
      <c r="AA43" s="184">
        <f>IFERROR(__xludf.DUMMYFUNCTION("""COMPUTED_VALUE"""),45996.0)</f>
        <v>45996</v>
      </c>
      <c r="AB43" s="150" t="str">
        <f>IFERROR(__xludf.DUMMYFUNCTION("""COMPUTED_VALUE"""),"Durante este tercer monitoreo NO se materializó el riesgo.
En el marco del seguimiento y acompañamiento a las actividades académicas, la Vicerrectoría Académica presentó informes de forma periodica al Consejo Académico sobre el desarrollo del calendario "&amp;"académico 2025-2 y el cumplimiento de las diferentes actividades.
Acciones asociadas al tratamiento del riesgo:
•Desde el Comité de Asignación y Reconocimiento (CARP) se atendieron las solicitudes relacionadas con la asignación de responsabilidades doce"&amp;"ntes en los diferentes cursos, garantizando la adecuada distribución de carga académica. Se enviaron correos con la información correspondiente al registro de notas.
• Desde la Secretaría Técnica de Acreditación se solicitó el ingreso oportuno de las not"&amp;"as, con el propósito de avanzar en los procesos de renovación de programas y registro calificado.
• Por parte de la Vicerrectoría Académica, se desarrolló un acompañamiento continuo a las actividades académicas del segundo periodo de 2025. Como parte de "&amp;"este proceso, se verificó el registro de las notas del primer corte en la plataforma institucional, durante esta revisión se detectaron algunos cursos sin el registro correspondiente, situación que fue comunicada formalmente a las Facultades mediante corr"&amp;"eo electrónico. En dicho mensaje se relacionaron los cursos pendientes y se solicitó a los docentes titulares el envío de las calificaciones al programa académico, junto con la justificación respectiva por el no registro en la plataforma SIAU.
")</f>
        <v>Durante este tercer monitoreo NO se materializó el riesgo.
En el marco del seguimiento y acompañamiento a las actividades académicas, la Vicerrectoría Académica presentó informes de forma periodica al Consejo Académico sobre el desarrollo del calendario académico 2025-2 y el cumplimiento de las diferentes actividades.
Acciones asociadas al tratamiento del riesgo:
•Desde el Comité de Asignación y Reconocimiento (CARP) se atendieron las solicitudes relacionadas con la asignación de responsabilidades docentes en los diferentes cursos, garantizando la adecuada distribución de carga académica. Se enviaron correos con la información correspondiente al registro de notas.
• Desde la Secretaría Técnica de Acreditación se solicitó el ingreso oportuno de las notas, con el propósito de avanzar en los procesos de renovación de programas y registro calificado.
• Por parte de la Vicerrectoría Académica, se desarrolló un acompañamiento continuo a las actividades académicas del segundo periodo de 2025. Como parte de este proceso, se verificó el registro de las notas del primer corte en la plataforma institucional, durante esta revisión se detectaron algunos cursos sin el registro correspondiente, situación que fue comunicada formalmente a las Facultades mediante correo electrónico. En dicho mensaje se relacionaron los cursos pendientes y se solicitó a los docentes titulares el envío de las calificaciones al programa académico, junto con la justificación respectiva por el no registro en la plataforma SIAU.
</v>
      </c>
      <c r="AC43" s="152" t="str">
        <f>IFERROR(__xludf.DUMMYFUNCTION("""COMPUTED_VALUE"""),"vicerrectoria académica")</f>
        <v>vicerrectoria académica</v>
      </c>
      <c r="AD43" s="153" t="str">
        <f>IFERROR(__xludf.DUMMYFUNCTION("""COMPUTED_VALUE"""),"Evidencia")</f>
        <v>Evidencia</v>
      </c>
      <c r="AE43" s="150" t="str">
        <f>IFERROR(__xludf.DUMMYFUNCTION("""COMPUTED_VALUE"""),"Si")</f>
        <v>Si</v>
      </c>
      <c r="AF43" s="152" t="str">
        <f>IFERROR(__xludf.DUMMYFUNCTION("""COMPUTED_VALUE"""),"Ejecutada")</f>
        <v>Ejecutada</v>
      </c>
      <c r="AG43" s="32" t="str">
        <f>IFERROR(__xludf.DUMMYFUNCTION("""COMPUTED_VALUE"""),"Sobre la materialización del riesgo
Según el reporte del proceso, durante el tercer monitoreo no se materializó el riesgo. No obstante, esta conclusión se fundamenta en el cumplimiento general del calendario académico, por lo que se requiere mantener el "&amp;"seguimiento, considerando que se presentaron situaciones puntuales asociadas al registro oportuno de calificaciones.
Sobre las acciones de tratamiento del riesgo
La Vicerrectoría Académica realizó seguimiento al desarrollo del calendario académico 2025-"&amp;"2, presentando informes periódicos al Consejo Académico, lo cual aporta al control del riesgo identificado.
Desde el Comité de Asignación y Reconocimiento (CARP) se atendieron solicitudes relacionadas con la asignación de responsabilidades docentes, repo"&amp;"rtándose el envío de comunicaciones asociadas al registro de notas; sin embargo, no se evidencian indicadores que permitan medir la oportunidad y efectividad de estas acciones.
Adicionalmente, la Secretaría Técnica de Acreditación solicitó el ingreso opo"&amp;"rtuno de las calificaciones para dar continuidad a los procesos de renovación y registro calificado.
La Vicerrectoría Académica adelantó un acompañamiento continuo al segundo periodo de 2025, verificando el registro de notas del primer corte en la plataf"&amp;"orma SIAU. En esta revisión se identificaron cursos sin registro, situación que fue comunicada a las Facultades para su gestión, lo cual evidencia desviaciones operativas atendidas de manera correctiva.
Sobre los controles
Se evidencia que los controles"&amp;" definidos se encuentran implementados; no obstante, estos son principalmente correctivos y se activan ante el incumplimiento. En consecuencia, aunque el riesgo no se materializó de forma crítica en el periodo evaluado, se considera necesario fortalecer l"&amp;"os controles preventivos e incorporar indicadores que permitan anticipar la ocurrencia del riesgo.")</f>
        <v>Sobre la materialización del riesgo
Según el reporte del proceso, durante el tercer monitoreo no se materializó el riesgo. No obstante, esta conclusión se fundamenta en el cumplimiento general del calendario académico, por lo que se requiere mantener el seguimiento, considerando que se presentaron situaciones puntuales asociadas al registro oportuno de calificaciones.
Sobre las acciones de tratamiento del riesgo
La Vicerrectoría Académica realizó seguimiento al desarrollo del calendario académico 2025-2, presentando informes periódicos al Consejo Académico, lo cual aporta al control del riesgo identificado.
Desde el Comité de Asignación y Reconocimiento (CARP) se atendieron solicitudes relacionadas con la asignación de responsabilidades docentes, reportándose el envío de comunicaciones asociadas al registro de notas; sin embargo, no se evidencian indicadores que permitan medir la oportunidad y efectividad de estas acciones.
Adicionalmente, la Secretaría Técnica de Acreditación solicitó el ingreso oportuno de las calificaciones para dar continuidad a los procesos de renovación y registro calificado.
La Vicerrectoría Académica adelantó un acompañamiento continuo al segundo periodo de 2025, verificando el registro de notas del primer corte en la plataforma SIAU. En esta revisión se identificaron cursos sin registro, situación que fue comunicada a las Facultades para su gestión, lo cual evidencia desviaciones operativas atendidas de manera correctiva.
Sobre los controles
Se evidencia que los controles definidos se encuentran implementados; no obstante, estos son principalmente correctivos y se activan ante el incumplimiento. En consecuencia, aunque el riesgo no se materializó de forma crítica en el periodo evaluado, se considera necesario fortalecer los controles preventivos e incorporar indicadores que permitan anticipar la ocurrencia del riesgo.</v>
      </c>
      <c r="AH43" s="150" t="str">
        <f>IFERROR(__xludf.DUMMYFUNCTION("""COMPUTED_VALUE"""),"31 de diciembre")</f>
        <v>31 de diciembre</v>
      </c>
      <c r="AI43" s="32" t="str">
        <f>IFERROR(__xludf.DUMMYFUNCTION("""COMPUTED_VALUE"""),"Si")</f>
        <v>Si</v>
      </c>
      <c r="AJ43" s="32" t="str">
        <f>IFERROR(__xludf.DUMMYFUNCTION("""COMPUTED_VALUE"""),"Si")</f>
        <v>Si</v>
      </c>
      <c r="AK43" s="32" t="str">
        <f>IFERROR(__xludf.DUMMYFUNCTION("""COMPUTED_VALUE"""),"Si")</f>
        <v>Si</v>
      </c>
      <c r="AL43" s="32" t="str">
        <f>IFERROR(__xludf.DUMMYFUNCTION("""COMPUTED_VALUE"""),"Si")</f>
        <v>Si</v>
      </c>
      <c r="AM43" s="32" t="str">
        <f>IFERROR(__xludf.DUMMYFUNCTION("""COMPUTED_VALUE"""),"Si")</f>
        <v>Si</v>
      </c>
      <c r="AN43" s="32" t="str">
        <f>IFERROR(__xludf.DUMMYFUNCTION("""COMPUTED_VALUE"""),"Si")</f>
        <v>Si</v>
      </c>
      <c r="AO43" s="32" t="str">
        <f>IFERROR(__xludf.DUMMYFUNCTION("""COMPUTED_VALUE"""),"Si")</f>
        <v>Si</v>
      </c>
      <c r="AP43" s="32" t="str">
        <f>IFERROR(__xludf.DUMMYFUNCTION("""COMPUTED_VALUE"""),"No aplica")</f>
        <v>No aplica</v>
      </c>
      <c r="AQ43" s="32" t="str">
        <f>IFERROR(__xludf.DUMMYFUNCTION("""COMPUTED_VALUE"""),"No aplica")</f>
        <v>No aplica</v>
      </c>
      <c r="AR43" s="32" t="str">
        <f>IFERROR(__xludf.DUMMYFUNCTION("""COMPUTED_VALUE"""),"No aplica")</f>
        <v>No aplica</v>
      </c>
      <c r="AS43" s="150" t="str">
        <f>IFERROR(__xludf.DUMMYFUNCTION("""COMPUTED_VALUE"""),"Se reiteran las recomendaciones generadas en la evaluación del primer cuatrimestre:
*Fortalecer la calidad del reporte de la ejecución de los controles. En el presente monitoreo y en concordancia con lo advertido por parte de la segunda línea de defensa, "&amp;"faltó el reporte concerniente a los controles 3 y 4.
*Con relación al control No. 3 y en aras de evidenciar en avance en la ejecución de este control, se sugiere el reporte de muestra aleatoria de los registros generados en el primer corte del periodo aca"&amp;"démico.
*Establecer la fecha o periodicidad para cada control, con el fin de brindar mayor claridad para su seguimiento y evaluación.
*Fortalecer la descripción de los controles conforme a la metodología propuesta en la Guía para la Administración del Rie"&amp;"sgo y el diseño de controles en entidades públicas Versión 6, que propone los elementos que debe contemplar el diseño del control.
Adiconalmente, se recomienda al proceso revisar la descripción del riesgo con el propósito de que, se identiquen variables m"&amp;"edibles y concretas con relación a ""la baja satisfacción de los estudiantes"" con base en las cusas y cosecuencias del mismo.")</f>
        <v>Se reiteran las recomendaciones generadas en la evaluación del primer cuatrimestre:
*Fortalecer la calidad del reporte de la ejecución de los controles. En el presente monitoreo y en concordancia con lo advertido por parte de la segunda línea de defensa, faltó el reporte concerniente a los controles 3 y 4.
*Con relación al control No. 3 y en aras de evidenciar en avance en la ejecución de este control, se sugiere el reporte de muestra aleatoria de los registros generados en el primer corte del periodo académico.
*Establecer la fecha o periodicidad para cada control, con el fin de brindar mayor claridad para su seguimiento y evaluación.
*Fortalecer la descripción de los controles conforme a la metodología propuesta en la Guía para la Administración del Riesgo y el diseño de controles en entidades públicas Versión 6, que propone los elementos que debe contemplar el diseño del control.
Adiconalmente, se recomienda al proceso revisar la descripción del riesgo con el propósito de que, se identiquen variables medibles y concretas con relación a "la baja satisfacción de los estudiantes" con base en las cusas y cosecuencias del mismo.</v>
      </c>
      <c r="AT43" s="139"/>
    </row>
    <row r="44">
      <c r="A44" s="86"/>
      <c r="B44" s="73"/>
      <c r="C44" s="73"/>
      <c r="D44" s="144" t="str">
        <f>IFERROR(__xludf.DUMMYFUNCTION("""COMPUTED_VALUE"""),"Afectación económica y reputacional por demoras en la creación de programas académicos, debido a debilidades en la aplicación de controles en las diferentes etapas del proceso")</f>
        <v>Afectación económica y reputacional por demoras en la creación de programas académicos, debido a debilidades en la aplicación de controles en las diferentes etapas del proceso</v>
      </c>
      <c r="E44" s="144" t="str">
        <f>IFERROR(__xludf.DUMMYFUNCTION("""COMPUTED_VALUE"""),"Vicerrectoría Académica")</f>
        <v>Vicerrectoría Académica</v>
      </c>
      <c r="F44" s="144" t="str">
        <f>IFERROR(__xludf.DUMMYFUNCTION("""COMPUTED_VALUE"""),"Gestión")</f>
        <v>Gestión</v>
      </c>
      <c r="G44" s="144" t="str">
        <f>IFERROR(__xludf.DUMMYFUNCTION("""COMPUTED_VALUE"""),"- La Institución no ha expedido regulaciones oportunas y pertinentes en materia de creación de programas académicos de pregrado y posgrado
- No existen criterios institucionales que articulen las propuestas de programas nuevos con las tendencias nacionale"&amp;"s e internacionales de las áreas de conocimiento")</f>
        <v>- La Institución no ha expedido regulaciones oportunas y pertinentes en materia de creación de programas académicos de pregrado y posgrado
- No existen criterios institucionales que articulen las propuestas de programas nuevos con las tendencias nacionales e internacionales de las áreas de conocimiento</v>
      </c>
      <c r="H44" s="144" t="str">
        <f>IFERROR(__xludf.DUMMYFUNCTION("""COMPUTED_VALUE"""),"1. Detrimento patrimonial
2. Ineficiencia en el uso de los recursos
3. Afectación a la imagen institucional frente a los usuarios y la comunidad en general
4. Intervención de organismos de control
5. Pérdida de competitividad y responsabilidad social "&amp;"frente a los nuevos conocimientos")</f>
        <v>1. Detrimento patrimonial
2. Ineficiencia en el uso de los recursos
3. Afectación a la imagen institucional frente a los usuarios y la comunidad en general
4. Intervención de organismos de control
5. Pérdida de competitividad y responsabilidad social frente a los nuevos conocimientos</v>
      </c>
      <c r="I44" s="145" t="str">
        <f>IFERROR(__xludf.DUMMYFUNCTION("""COMPUTED_VALUE"""),"DOC_02")</f>
        <v>DOC_02</v>
      </c>
      <c r="J44" s="145" t="str">
        <f>IFERROR(__xludf.DUMMYFUNCTION("""COMPUTED_VALUE"""),"Media")</f>
        <v>Media</v>
      </c>
      <c r="K44" s="145" t="str">
        <f>IFERROR(__xludf.DUMMYFUNCTION("""COMPUTED_VALUE"""),"Moderado")</f>
        <v>Moderado</v>
      </c>
      <c r="L44" s="145" t="str">
        <f>IFERROR(__xludf.DUMMYFUNCTION("""COMPUTED_VALUE"""),"Alta")</f>
        <v>Alta</v>
      </c>
      <c r="M44" s="144" t="str">
        <f>IFERROR(__xludf.DUMMYFUNCTION("""COMPUTED_VALUE"""),"- El Consejo Superior expidió la resolución superior No. 005 de 2023, “Por la cual se establecen los lineamientos para la creación de programas de pregrado y posgrado en la Universidad de los Llanos”, y la vicerrectoría Académica informó la expedición de "&amp;"la norma a las partes interesadas pertinentes.
- La Vicerrectoría Académica, en articulación con Acreditación y Dirección General de Currículo, establecieron controles y responsables en las diferentes etapas de la creación de programas académicos de pregr"&amp;"ado y posgrado, mediante la actualización del ""PD-DOC-12 PROCEDIMIENTO PARA LA CREACIÓN DE PROGRAMAS ACADÉMICOS"".
- Las Facultades que han presentado nuevos programas académicos de pregrado o posgrado para creación, financiados con recursos de estampill"&amp;"a, reportan la información de la ejecución de avances a la oficina de Planeación, desde donde a su vez, se reporta en el DIARI de la Contraloría General de la República.
- Los docentes que participen en la formulación de propuestas para nuevos programas a"&amp;"cadémicos, cuentan con las herramientas de Proyección financiera inicial pregrado y posgrado (FO-DIE-25 y FO-DIE-26) - La Vicerrectoría Académica estableció los requisitos mínimos para la presentación de propuesta de creación de programas nuevos, con el f"&amp;"in de identificar la pertinencia y viabilidad de la oferta, mediante el formato FO-DOC-139.")</f>
        <v>- El Consejo Superior expidió la resolución superior No. 005 de 2023, “Por la cual se establecen los lineamientos para la creación de programas de pregrado y posgrado en la Universidad de los Llanos”, y la vicerrectoría Académica informó la expedición de la norma a las partes interesadas pertinentes.
- La Vicerrectoría Académica, en articulación con Acreditación y Dirección General de Currículo, establecieron controles y responsables en las diferentes etapas de la creación de programas académicos de pregrado y posgrado, mediante la actualización del "PD-DOC-12 PROCEDIMIENTO PARA LA CREACIÓN DE PROGRAMAS ACADÉMICOS".
- Las Facultades que han presentado nuevos programas académicos de pregrado o posgrado para creación, financiados con recursos de estampilla, reportan la información de la ejecución de avances a la oficina de Planeación, desde donde a su vez, se reporta en el DIARI de la Contraloría General de la República.
- Los docentes que participen en la formulación de propuestas para nuevos programas académicos, cuentan con las herramientas de Proyección financiera inicial pregrado y posgrado (FO-DIE-25 y FO-DIE-26) - La Vicerrectoría Académica estableció los requisitos mínimos para la presentación de propuesta de creación de programas nuevos, con el fin de identificar la pertinencia y viabilidad de la oferta, mediante el formato FO-DOC-139.</v>
      </c>
      <c r="N44" s="145" t="str">
        <f>IFERROR(__xludf.DUMMYFUNCTION("""COMPUTED_VALUE"""),"Muy baja")</f>
        <v>Muy baja</v>
      </c>
      <c r="O44" s="145" t="str">
        <f>IFERROR(__xludf.DUMMYFUNCTION("""COMPUTED_VALUE"""),"Moderado")</f>
        <v>Moderado</v>
      </c>
      <c r="P44" s="145" t="str">
        <f>IFERROR(__xludf.DUMMYFUNCTION("""COMPUTED_VALUE"""),"Media")</f>
        <v>Media</v>
      </c>
      <c r="Q44" s="166" t="str">
        <f>IFERROR(__xludf.DUMMYFUNCTION("""COMPUTED_VALUE"""),"Reducir")</f>
        <v>Reducir</v>
      </c>
      <c r="R44" s="167" t="str">
        <f>IFERROR(__xludf.DUMMYFUNCTION("""COMPUTED_VALUE"""),"Presentar informe del estado de los programas nuevos, en el comité de Autoevaluación y Acreditación Institucional")</f>
        <v>Presentar informe del estado de los programas nuevos, en el comité de Autoevaluación y Acreditación Institucional</v>
      </c>
      <c r="S44" s="168" t="str">
        <f>IFERROR(__xludf.DUMMYFUNCTION("""COMPUTED_VALUE"""),"Mensual")</f>
        <v>Mensual</v>
      </c>
      <c r="T44" s="169" t="str">
        <f>IFERROR(__xludf.DUMMYFUNCTION("""COMPUTED_VALUE"""),"STA")</f>
        <v>STA</v>
      </c>
      <c r="U44" s="169" t="str">
        <f>IFERROR(__xludf.DUMMYFUNCTION("""COMPUTED_VALUE"""),"Actas del comité")</f>
        <v>Actas del comité</v>
      </c>
      <c r="V44" s="169" t="str">
        <f>IFERROR(__xludf.DUMMYFUNCTION("""COMPUTED_VALUE"""),"Seguimiento, acompañamiento y asesoria por parte de la Dirección General de Currículo, con el fin de evitar o corregir situaciones no deseadas")</f>
        <v>Seguimiento, acompañamiento y asesoria por parte de la Dirección General de Currículo, con el fin de evitar o corregir situaciones no deseadas</v>
      </c>
      <c r="W44" s="169" t="str">
        <f>IFERROR(__xludf.DUMMYFUNCTION("""COMPUTED_VALUE"""),"Acta de reunión")</f>
        <v>Acta de reunión</v>
      </c>
      <c r="X44" s="169" t="str">
        <f>IFERROR(__xludf.DUMMYFUNCTION("""COMPUTED_VALUE"""),"Dirección General de Currículo
Secretaría Técnica de Acreditación")</f>
        <v>Dirección General de Currículo
Secretaría Técnica de Acreditación</v>
      </c>
      <c r="Y44" s="169" t="str">
        <f>IFERROR(__xludf.DUMMYFUNCTION("""COMPUTED_VALUE"""),"11 meses")</f>
        <v>11 meses</v>
      </c>
      <c r="Z44" s="150" t="str">
        <f>IFERROR(__xludf.DUMMYFUNCTION("""COMPUTED_VALUE"""),"30 de abril")</f>
        <v>30 de abril</v>
      </c>
      <c r="AA44" s="32" t="str">
        <f>IFERROR(__xludf.DUMMYFUNCTION("""COMPUTED_VALUE"""),"26 febrero, 28 y 29 marzo, 5 y 22 abril de 2025.")</f>
        <v>26 febrero, 28 y 29 marzo, 5 y 22 abril de 2025.</v>
      </c>
      <c r="AB44" s="150" t="str">
        <f>IFERROR(__xludf.DUMMYFUNCTION("""COMPUTED_VALUE"""),"Durante este primer monitoreo NO se materializó el riesgo.   
Acciones asociadas al tratamiento del riesgo:
Se llevó a cabo un seguimiento y acompañamiento continuo a los nuevos programas académicos, durante el cual se canalizaron dudas e inquietudes p"&amp;"or medio de correo electrónico. En este marco, la Dirección General de Currículo proyectó y envió, el 28 de marzo, el concepto técnico correspondiente al Doctorado en Ciencias de la Educación. Asimismo, el 7 de marzo se remitió el concepto técnico relacio"&amp;"nado con la revisión documental del programa de Licenciatura en Ciencias Naturales y Educación Ambiental. De igual manera, los días 5 y 22 de abril se enviaron observaciones al Centro de Entrenamiento Deportivo de la Facultad de Ciencias Humanas, en relac"&amp;"ión con la propuesta de continuidad bajo la denominación TRT y la Condición de Calidad 2.
Sobre los controles: 
Para llevar un control, se realizó un monitoreo mediante la elaboración de actas de comité, la primera Acta se realizó 26 de febrero y la segu"&amp;"nda el 29 marzo, en las cuales se trataron asuntos relacionados con los procesos de Registro Calificado que se encuentran en trámite interno ante el CNA, correspondientes a programas en fase de construcción. Como soporte de estas actividades, se adjuntan "&amp;"las actas, los memorandos emitidos por la Dirección General de Currículo y los correos electrónicos enviados con las respectivas consultas.
")</f>
        <v>Durante este primer monitoreo NO se materializó el riesgo.   
Acciones asociadas al tratamiento del riesgo:
Se llevó a cabo un seguimiento y acompañamiento continuo a los nuevos programas académicos, durante el cual se canalizaron dudas e inquietudes por medio de correo electrónico. En este marco, la Dirección General de Currículo proyectó y envió, el 28 de marzo, el concepto técnico correspondiente al Doctorado en Ciencias de la Educación. Asimismo, el 7 de marzo se remitió el concepto técnico relacionado con la revisión documental del programa de Licenciatura en Ciencias Naturales y Educación Ambiental. De igual manera, los días 5 y 22 de abril se enviaron observaciones al Centro de Entrenamiento Deportivo de la Facultad de Ciencias Humanas, en relación con la propuesta de continuidad bajo la denominación TRT y la Condición de Calidad 2.
Sobre los controles: 
Para llevar un control, se realizó un monitoreo mediante la elaboración de actas de comité, la primera Acta se realizó 26 de febrero y la segunda el 29 marzo, en las cuales se trataron asuntos relacionados con los procesos de Registro Calificado que se encuentran en trámite interno ante el CNA, correspondientes a programas en fase de construcción. Como soporte de estas actividades, se adjuntan las actas, los memorandos emitidos por la Dirección General de Currículo y los correos electrónicos enviados con las respectivas consultas.
</v>
      </c>
      <c r="AC44" s="152" t="str">
        <f>IFERROR(__xludf.DUMMYFUNCTION("""COMPUTED_VALUE"""),"Vicerrectoria académica")</f>
        <v>Vicerrectoria académica</v>
      </c>
      <c r="AD44" s="153" t="str">
        <f>IFERROR(__xludf.DUMMYFUNCTION("""COMPUTED_VALUE"""),"Evidencia")</f>
        <v>Evidencia</v>
      </c>
      <c r="AE44" s="150" t="str">
        <f>IFERROR(__xludf.DUMMYFUNCTION("""COMPUTED_VALUE"""),"Si")</f>
        <v>Si</v>
      </c>
      <c r="AF44" s="150" t="str">
        <f>IFERROR(__xludf.DUMMYFUNCTION("""COMPUTED_VALUE"""),"En proceso")</f>
        <v>En proceso</v>
      </c>
      <c r="AG44" s="32" t="str">
        <f>IFERROR(__xludf.DUMMYFUNCTION("""COMPUTED_VALUE"""),"Se evidencia reporte por parte del proceso sobre la NO materialización del riesgo. 
Sobre las acciones de tratamiento del riesgo: 
Se observa que el procedimiento presenta dos acciones de tratamiento, dentro del reporte de las evidencias se presenta el "&amp;"reporte de las actas de comite realizadas en el mes de febrero y marzo, en donde se realizó el seguimiento y acompañamiento a los nuevos programas académicos, actividad que se encuentra en desarrollo y es oportuna para el presente monitoreo. 
Sobre la ac"&amp;"ción 2, relacionada con realizar reuniones de seguimiento del avance de los programas nuevos por parte de la vicerrectoria académica, se evidencian los respectivos registros de asistencia de las reuniones bimensuales en el soporte del primer riesgo se enc"&amp;"uentra la evidencia. se recomienda continuar con los reportes de las acciones de tratamiento establecidas para esta vigencia en los proximos monitoreos. 
Sobre los controles: 
Se recomienda mejorar la justificación y soportar los avances de los 5 contr"&amp;"oles establecidos para el riesgo, en el presente monitoreo solamente se menciona el cumplimiento en el registro calificado de programas en fase de construccióndando cumplimiento al control 2, sin embargo se recomienda mencionar el avance en cada control d"&amp;"urante el desarrollo de la vigencia en los proximos monitoreos. 
")</f>
        <v>Se evidencia reporte por parte del proceso sobre la NO materialización del riesgo. 
Sobre las acciones de tratamiento del riesgo: 
Se observa que el procedimiento presenta dos acciones de tratamiento, dentro del reporte de las evidencias se presenta el reporte de las actas de comite realizadas en el mes de febrero y marzo, en donde se realizó el seguimiento y acompañamiento a los nuevos programas académicos, actividad que se encuentra en desarrollo y es oportuna para el presente monitoreo. 
Sobre la acción 2, relacionada con realizar reuniones de seguimiento del avance de los programas nuevos por parte de la vicerrectoria académica, se evidencian los respectivos registros de asistencia de las reuniones bimensuales en el soporte del primer riesgo se encuentra la evidencia. se recomienda continuar con los reportes de las acciones de tratamiento establecidas para esta vigencia en los proximos monitoreos. 
Sobre los controles: 
Se recomienda mejorar la justificación y soportar los avances de los 5 controles establecidos para el riesgo, en el presente monitoreo solamente se menciona el cumplimiento en el registro calificado de programas en fase de construccióndando cumplimiento al control 2, sin embargo se recomienda mencionar el avance en cada control durante el desarrollo de la vigencia en los proximos monitoreos. 
</v>
      </c>
      <c r="AH44" s="150" t="str">
        <f>IFERROR(__xludf.DUMMYFUNCTION("""COMPUTED_VALUE"""),"30 de abril")</f>
        <v>30 de abril</v>
      </c>
      <c r="AI44" s="32" t="str">
        <f>IFERROR(__xludf.DUMMYFUNCTION("""COMPUTED_VALUE"""),"Si")</f>
        <v>Si</v>
      </c>
      <c r="AJ44" s="32" t="str">
        <f>IFERROR(__xludf.DUMMYFUNCTION("""COMPUTED_VALUE"""),"Si")</f>
        <v>Si</v>
      </c>
      <c r="AK44" s="32" t="str">
        <f>IFERROR(__xludf.DUMMYFUNCTION("""COMPUTED_VALUE"""),"Si")</f>
        <v>Si</v>
      </c>
      <c r="AL44" s="32" t="str">
        <f>IFERROR(__xludf.DUMMYFUNCTION("""COMPUTED_VALUE"""),"Si")</f>
        <v>Si</v>
      </c>
      <c r="AM44" s="32" t="str">
        <f>IFERROR(__xludf.DUMMYFUNCTION("""COMPUTED_VALUE"""),"Si")</f>
        <v>Si</v>
      </c>
      <c r="AN44" s="32" t="str">
        <f>IFERROR(__xludf.DUMMYFUNCTION("""COMPUTED_VALUE"""),"Si")</f>
        <v>Si</v>
      </c>
      <c r="AO44" s="32" t="str">
        <f>IFERROR(__xludf.DUMMYFUNCTION("""COMPUTED_VALUE"""),"Si")</f>
        <v>Si</v>
      </c>
      <c r="AP44" s="32" t="str">
        <f>IFERROR(__xludf.DUMMYFUNCTION("""COMPUTED_VALUE"""),"No aplica")</f>
        <v>No aplica</v>
      </c>
      <c r="AQ44" s="32" t="str">
        <f>IFERROR(__xludf.DUMMYFUNCTION("""COMPUTED_VALUE"""),"No aplica")</f>
        <v>No aplica</v>
      </c>
      <c r="AR44" s="32" t="str">
        <f>IFERROR(__xludf.DUMMYFUNCTION("""COMPUTED_VALUE"""),"No aplica")</f>
        <v>No aplica</v>
      </c>
      <c r="AS44" s="150" t="str">
        <f>IFERROR(__xludf.DUMMYFUNCTION("""COMPUTED_VALUE"""),"Recomendaciones:
*Fortalecer la calidad del reporte de la ejecución de los controles, informando por separado los resultados de cada uno de ellos.
*Fortalecer la descripción de los controles conforme a la metodología propuesta en la Guía para la Administr"&amp;"ación del Riesgo y el diseño de controles en entidades públicas Versión 6, que propone los elementos que debe contemplar el diseño del control, como son: 
Responsable de ejecutar el control: identifica el cargo del servidor que ejecuta el control, en caso"&amp;" de que sean controles automáticos se identificará el sistema que realiza la actividad. 
Acción: se determina mediante verbos que indican la acción que deben realizar como parte del control (ejemplos de verbos que indican control: Verificar, autorizar val"&amp;"idar, regular, dirigir, guiar, supervisar, manejar, prohibir, permitir). 
Complemento: corresponde a los detalles que permiten identificar claramente el objeto del control. ")</f>
        <v>Recomendaciones:
*Fortalecer la calidad del reporte de la ejecución de los controles, informando por separado los resultados de cada uno de ellos.
*Fortalecer la descripción de los controles conforme a la metodología propuesta en la Guía para la Administración del Riesgo y el diseño de controles en entidades públicas Versión 6, que propone los elementos que debe contemplar el diseño del control, como son: 
Responsable de ejecutar el control: identifica el cargo del servidor que ejecuta el control, en caso de que sean controles automáticos se identificará el sistema que realiza la actividad. 
Acción: se determina mediante verbos que indican la acción que deben realizar como parte del control (ejemplos de verbos que indican control: Verificar, autorizar validar, regular, dirigir, guiar, supervisar, manejar, prohibir, permitir). 
Complemento: corresponde a los detalles que permiten identificar claramente el objeto del control. </v>
      </c>
      <c r="AT44" s="139"/>
    </row>
    <row r="45">
      <c r="A45" s="86"/>
      <c r="B45" s="73"/>
      <c r="C45" s="73"/>
      <c r="D45" s="156"/>
      <c r="E45" s="156"/>
      <c r="F45" s="156"/>
      <c r="G45" s="156"/>
      <c r="H45" s="156"/>
      <c r="I45" s="156"/>
      <c r="J45" s="156"/>
      <c r="K45" s="156"/>
      <c r="L45" s="156"/>
      <c r="M45" s="156"/>
      <c r="N45" s="156"/>
      <c r="O45" s="156"/>
      <c r="P45" s="156"/>
      <c r="Q45" s="156"/>
      <c r="R45" s="167" t="str">
        <f>IFERROR(__xludf.DUMMYFUNCTION("""COMPUTED_VALUE"""),"Realizar reuniones de seguimiento del avance de los programas nuevos por parte de la Vicerrectoría Académica")</f>
        <v>Realizar reuniones de seguimiento del avance de los programas nuevos por parte de la Vicerrectoría Académica</v>
      </c>
      <c r="S45" s="168" t="str">
        <f>IFERROR(__xludf.DUMMYFUNCTION("""COMPUTED_VALUE"""),"Bimensual")</f>
        <v>Bimensual</v>
      </c>
      <c r="T45" s="169" t="str">
        <f>IFERROR(__xludf.DUMMYFUNCTION("""COMPUTED_VALUE"""),"Vicerractora Académica")</f>
        <v>Vicerractora Académica</v>
      </c>
      <c r="U45" s="169" t="str">
        <f>IFERROR(__xludf.DUMMYFUNCTION("""COMPUTED_VALUE"""),"Registros de asistencia")</f>
        <v>Registros de asistencia</v>
      </c>
      <c r="V45" s="94"/>
      <c r="W45" s="94"/>
      <c r="X45" s="94"/>
      <c r="Y45" s="94"/>
      <c r="Z45" s="150" t="str">
        <f>IFERROR(__xludf.DUMMYFUNCTION("""COMPUTED_VALUE"""),"30 de agosto")</f>
        <v>30 de agosto</v>
      </c>
      <c r="AA45" s="172">
        <f>IFERROR(__xludf.DUMMYFUNCTION("""COMPUTED_VALUE"""),45899.0)</f>
        <v>45899</v>
      </c>
      <c r="AB45" s="150" t="str">
        <f>IFERROR(__xludf.DUMMYFUNCTION("""COMPUTED_VALUE"""),"Durante este segundo monitoreo NO se materializó el riesgo.   
Se llevó a cabo el seguimiento y acompañamiento de las actividades donde se desarrollaron las sesiones del Comité de Autoevaluación y Acreditación Institucional en las siguientes fechas: mayo"&amp;" 28 (Acta 05), julio 23 (Acta 08) y agosto 27 (Acta 010).
Acciones asociadas al tratamiento del riesgo:
Dentro de las acciones realizadas, se presentó el informe sobre el estado de los procesos de Aseguramiento de la Calidad que adelantan los programas "&amp;"académicos, así como el seguimiento al Plan de Renovación de la Acreditación Institucional, el cual contempla acciones relacionadas con el Plan de Mejoramiento Institucional, las actividades de sensibilización, los compromisos adquiridos y el diagnóstico "&amp;"institucional, entre otros aspectos.
En cuanto a los controles, la Dirección General de Currículo ha realizado un acompañamiento permanente a los nuevos programas académicos, atendiendo inquietudes de las Facultades y brindando las respectivas orientacio"&amp;"nes. Entre las propuestas revisadas se destacan:
•        Profesional en Desarrollo de la Recreación y del Turismo, Facultad de Ciencias Humanas y de la Educación.
•        Tecnología en Gerontología, Facultad de Ciencias de la Salud.
•        Maestría e"&amp;"n Contabilidad y Finanzas, Facultad de Ciencias Económicas.
De igual manera, la Vicerrectoría Académica ha efectuado un seguimiento constante a los programas en proceso de oferta, mediante reuniones orientadas a la revisión de procedimientos y al fortale"&amp;"cimiento de las actividades de mejora (evidenciado en las listas de asistencia).
Por su parte, la Secretaría Técnica de Acreditación ha mantenido un monitoreo permanente, socializando materiales y avances relacionados con la preparación de visitas de pare"&amp;"s académicos, las presentaciones institucionales en ajuste, los videos de los programas, el Proyecto Educativo del Programa (PEP), el informe de autoevaluación 2018-2023 y el plan de mejoramiento. Asimismo, se reportan progresos en la actualización de la "&amp;"base de datos y de los cuadros maestros (80%), en el informe de actualización (40%), en la preparación para la visita de pares ARCUSUR y en el registro de avances en la plataforma SACES.
")</f>
        <v>Durante este segundo monitoreo NO se materializó el riesgo.   
Se llevó a cabo el seguimiento y acompañamiento de las actividades donde se desarrollaron las sesiones del Comité de Autoevaluación y Acreditación Institucional en las siguientes fechas: mayo 28 (Acta 05), julio 23 (Acta 08) y agosto 27 (Acta 010).
Acciones asociadas al tratamiento del riesgo:
Dentro de las acciones realizadas, se presentó el informe sobre el estado de los procesos de Aseguramiento de la Calidad que adelantan los programas académicos, así como el seguimiento al Plan de Renovación de la Acreditación Institucional, el cual contempla acciones relacionadas con el Plan de Mejoramiento Institucional, las actividades de sensibilización, los compromisos adquiridos y el diagnóstico institucional, entre otros aspectos.
En cuanto a los controles, la Dirección General de Currículo ha realizado un acompañamiento permanente a los nuevos programas académicos, atendiendo inquietudes de las Facultades y brindando las respectivas orientaciones. Entre las propuestas revisadas se destacan:
•        Profesional en Desarrollo de la Recreación y del Turismo, Facultad de Ciencias Humanas y de la Educación.
•        Tecnología en Gerontología, Facultad de Ciencias de la Salud.
•        Maestría en Contabilidad y Finanzas, Facultad de Ciencias Económicas.
De igual manera, la Vicerrectoría Académica ha efectuado un seguimiento constante a los programas en proceso de oferta, mediante reuniones orientadas a la revisión de procedimientos y al fortalecimiento de las actividades de mejora (evidenciado en las listas de asistencia).
Por su parte, la Secretaría Técnica de Acreditación ha mantenido un monitoreo permanente, socializando materiales y avances relacionados con la preparación de visitas de pares académicos, las presentaciones institucionales en ajuste, los videos de los programas, el Proyecto Educativo del Programa (PEP), el informe de autoevaluación 2018-2023 y el plan de mejoramiento. Asimismo, se reportan progresos en la actualización de la base de datos y de los cuadros maestros (80%), en el informe de actualización (40%), en la preparación para la visita de pares ARCUSUR y en el registro de avances en la plataforma SACES.
</v>
      </c>
      <c r="AC45" s="152" t="str">
        <f>IFERROR(__xludf.DUMMYFUNCTION("""COMPUTED_VALUE"""),"vicerrectoria académica")</f>
        <v>vicerrectoria académica</v>
      </c>
      <c r="AD45" s="153" t="str">
        <f>IFERROR(__xludf.DUMMYFUNCTION("""COMPUTED_VALUE"""),"Evidencia")</f>
        <v>Evidencia</v>
      </c>
      <c r="AE45" s="150" t="str">
        <f>IFERROR(__xludf.DUMMYFUNCTION("""COMPUTED_VALUE"""),"Si")</f>
        <v>Si</v>
      </c>
      <c r="AF45" s="152" t="str">
        <f>IFERROR(__xludf.DUMMYFUNCTION("""COMPUTED_VALUE"""),"En proceso")</f>
        <v>En proceso</v>
      </c>
      <c r="AG45" s="32" t="str">
        <f>IFERROR(__xludf.DUMMYFUNCTION("""COMPUTED_VALUE"""),"Se evidencia reporte por parte del proceso sobre la NO materialización del riesgo.
Sobre las acciones de tratamiento del riesgo:
El proceso informa la realización de las sesiones del Comité de Autoevaluación y Acreditación Institucional en las fechas de "&amp;"mayo 28 (Acta 05), julio 23 (Acta 08) y agosto 27 (Acta 010), espacios en los cuales se efectuó seguimiento al estado de los procesos de aseguramiento de la calidad de los programas académicos. Asimismo, se presentó el informe de avance del Plan de Renova"&amp;"ción de la Acreditación Institucional, en el cual se consolidan acciones relacionadas con el Plan de Mejoramiento Institucional, actividades de sensibilización, compromisos adquiridos y diagnóstico institucional. Estas acciones evidencian continuidad en e"&amp;"l tratamiento del riesgo y articulación con la planeación académica.
Sobre los controles:
Se observa que la Dirección General de Currículo ha mantenido acompañamiento a los nuevos programas académicos, presentando como avance las orientaciones brindadas "&amp;"a propuestas como: Profesional en Desarrollo de la Recreación y del Turismo, Tecnología en Gerontología y Maestría en Contabilidad y Finanzas.
De igual forma, la Vicerrectoría Académica adelanta seguimiento a los programas en proceso de oferta mediante re"&amp;"uniones periódicas, verificadas con listas de asistencia, lo que permite consolidar el avance de los procedimientos y fortalecer las acciones de mejora.
Por su parte, la Secretaría Técnica de Acreditación reporta monitoreo permanente a las actividades de "&amp;"autoevaluación y acreditación, socializando materiales de apoyo, avances en presentaciones institucionales, videos de programas, actualización de PEP, informe de autoevaluación 2018-2023 y plan de mejoramiento. Se destaca además el reporte de progreso en "&amp;"la actualización de la base de datos y cuadros maestros (80%), el informe de actualización (40%) y la preparación de visitas de pares (ARCUSUR y SACES).
En conclusión, se evidencia un desarrollo favorable de las acciones y controles establecidos, dando cu"&amp;"mplimiento al tratamiento del riesgo para el presente periodo de monitoreo.")</f>
        <v>Se evidencia reporte por parte del proceso sobre la NO materialización del riesgo.
Sobre las acciones de tratamiento del riesgo:
El proceso informa la realización de las sesiones del Comité de Autoevaluación y Acreditación Institucional en las fechas de mayo 28 (Acta 05), julio 23 (Acta 08) y agosto 27 (Acta 010), espacios en los cuales se efectuó seguimiento al estado de los procesos de aseguramiento de la calidad de los programas académicos. Asimismo, se presentó el informe de avance del Plan de Renovación de la Acreditación Institucional, en el cual se consolidan acciones relacionadas con el Plan de Mejoramiento Institucional, actividades de sensibilización, compromisos adquiridos y diagnóstico institucional. Estas acciones evidencian continuidad en el tratamiento del riesgo y articulación con la planeación académica.
Sobre los controles:
Se observa que la Dirección General de Currículo ha mantenido acompañamiento a los nuevos programas académicos, presentando como avance las orientaciones brindadas a propuestas como: Profesional en Desarrollo de la Recreación y del Turismo, Tecnología en Gerontología y Maestría en Contabilidad y Finanzas.
De igual forma, la Vicerrectoría Académica adelanta seguimiento a los programas en proceso de oferta mediante reuniones periódicas, verificadas con listas de asistencia, lo que permite consolidar el avance de los procedimientos y fortalecer las acciones de mejora.
Por su parte, la Secretaría Técnica de Acreditación reporta monitoreo permanente a las actividades de autoevaluación y acreditación, socializando materiales de apoyo, avances en presentaciones institucionales, videos de programas, actualización de PEP, informe de autoevaluación 2018-2023 y plan de mejoramiento. Se destaca además el reporte de progreso en la actualización de la base de datos y cuadros maestros (80%), el informe de actualización (40%) y la preparación de visitas de pares (ARCUSUR y SACES).
En conclusión, se evidencia un desarrollo favorable de las acciones y controles establecidos, dando cumplimiento al tratamiento del riesgo para el presente periodo de monitoreo.</v>
      </c>
      <c r="AH45" s="150" t="str">
        <f>IFERROR(__xludf.DUMMYFUNCTION("""COMPUTED_VALUE"""),"31 de agosto")</f>
        <v>31 de agosto</v>
      </c>
      <c r="AI45" s="32" t="str">
        <f>IFERROR(__xludf.DUMMYFUNCTION("""COMPUTED_VALUE"""),"Si")</f>
        <v>Si</v>
      </c>
      <c r="AJ45" s="32" t="str">
        <f>IFERROR(__xludf.DUMMYFUNCTION("""COMPUTED_VALUE"""),"Si")</f>
        <v>Si</v>
      </c>
      <c r="AK45" s="32" t="str">
        <f>IFERROR(__xludf.DUMMYFUNCTION("""COMPUTED_VALUE"""),"Si")</f>
        <v>Si</v>
      </c>
      <c r="AL45" s="32" t="str">
        <f>IFERROR(__xludf.DUMMYFUNCTION("""COMPUTED_VALUE"""),"Si")</f>
        <v>Si</v>
      </c>
      <c r="AM45" s="32" t="str">
        <f>IFERROR(__xludf.DUMMYFUNCTION("""COMPUTED_VALUE"""),"Si")</f>
        <v>Si</v>
      </c>
      <c r="AN45" s="32" t="str">
        <f>IFERROR(__xludf.DUMMYFUNCTION("""COMPUTED_VALUE"""),"Si")</f>
        <v>Si</v>
      </c>
      <c r="AO45" s="32" t="str">
        <f>IFERROR(__xludf.DUMMYFUNCTION("""COMPUTED_VALUE"""),"Si")</f>
        <v>Si</v>
      </c>
      <c r="AP45" s="32" t="str">
        <f>IFERROR(__xludf.DUMMYFUNCTION("""COMPUTED_VALUE"""),"No aplica")</f>
        <v>No aplica</v>
      </c>
      <c r="AQ45" s="32" t="str">
        <f>IFERROR(__xludf.DUMMYFUNCTION("""COMPUTED_VALUE"""),"No aplica")</f>
        <v>No aplica</v>
      </c>
      <c r="AR45" s="32" t="str">
        <f>IFERROR(__xludf.DUMMYFUNCTION("""COMPUTED_VALUE"""),"No aplica")</f>
        <v>No aplica</v>
      </c>
      <c r="AS45" s="150" t="str">
        <f>IFERROR(__xludf.DUMMYFUNCTION("""COMPUTED_VALUE"""),"Se reiteran las recomendaciones generadas en la evaluación del primer cuatrimestre:
*Fortalecer la calidad del reporte de la ejecución de los controles, informando por separado los resultados de cada uno de ellos.
*Fortalecer la descripción de los control"&amp;"es conforme a la metodología propuesta en la Guía para la Administración del Riesgo y el diseño de controles en entidades públicas Versión 6.")</f>
        <v>Se reiteran las recomendaciones generadas en la evaluación del primer cuatrimestre:
*Fortalecer la calidad del reporte de la ejecución de los controles, informando por separado los resultados de cada uno de ellos.
*Fortalecer la descripción de los controles conforme a la metodología propuesta en la Guía para la Administración del Riesgo y el diseño de controles en entidades públicas Versión 6.</v>
      </c>
      <c r="AT45" s="139"/>
    </row>
    <row r="46">
      <c r="A46" s="86"/>
      <c r="B46" s="73"/>
      <c r="C46" s="73"/>
      <c r="D46" s="119"/>
      <c r="E46" s="119"/>
      <c r="F46" s="119"/>
      <c r="G46" s="119"/>
      <c r="H46" s="119"/>
      <c r="I46" s="119"/>
      <c r="J46" s="119"/>
      <c r="K46" s="119"/>
      <c r="L46" s="119"/>
      <c r="M46" s="119"/>
      <c r="N46" s="119"/>
      <c r="O46" s="119"/>
      <c r="P46" s="119"/>
      <c r="Q46" s="119"/>
      <c r="R46" s="173" t="str">
        <f>IFERROR(__xludf.DUMMYFUNCTION("""COMPUTED_VALUE"""),"")</f>
        <v/>
      </c>
      <c r="S46" s="174" t="str">
        <f>IFERROR(__xludf.DUMMYFUNCTION("""COMPUTED_VALUE"""),"")</f>
        <v/>
      </c>
      <c r="T46" s="175"/>
      <c r="U46" s="175"/>
      <c r="V46" s="98"/>
      <c r="W46" s="98"/>
      <c r="X46" s="98"/>
      <c r="Y46" s="98"/>
      <c r="Z46" s="150" t="str">
        <f>IFERROR(__xludf.DUMMYFUNCTION("""COMPUTED_VALUE"""),"30 de diciembre")</f>
        <v>30 de diciembre</v>
      </c>
      <c r="AA46" s="171">
        <f>IFERROR(__xludf.DUMMYFUNCTION("""COMPUTED_VALUE"""),45996.0)</f>
        <v>45996</v>
      </c>
      <c r="AB46" s="150" t="str">
        <f>IFERROR(__xludf.DUMMYFUNCTION("""COMPUTED_VALUE"""),"Durante este tercer monitoreo se materializa el riesgo   
A pesar de que la Secretaria Técnica de Acreditación y la Vicerrectoría Académica ha realizado el proceso de seguimiento y acompañamiento continuo a las nuevas apuestas de programas académicos, ate"&amp;"ndiendo dudas e inquietudes, han habido retrasos debido incumplimiento en cronograma, acciones que se adelantan con terceros (convenios) para operar en otros municipios. Adicionalmente se tiene una negativa por parte de los estudiantes (CEU)  con relación"&amp;" a la oferta académica de nuevos programas de Nivel Técnico, Tecnológico y a Distancia.  
Acciones asociadas al tratamiento del riesgo:
Dentro de las acciones realizadas, la Secretaría Técnica de Acreditación remitió un memorando al Decano Cristóbal Lug"&amp;"o López, de la Facultad de Ciencias Agropecuarias y Recursos Naturales, para avanzar en la construcción del nuevo programa Profesional en Monitoreo de Producción Animal. Asimismo, se solicitó a la misma facultad el envío de las condiciones de calidad de l"&amp;"os programas en construcción: Técnico Profesional en Operaciones Agroindustriales, Técnico Profesional en Monitoreo de Producción Animal y Técnica. Es importante señalar que esta última solicitud fue una recomendación de la Dirección General de Currículo,"&amp;" teniendo en cuenta que deben gestionarse los convenios con todos los municipios antes de enviar a revisión las Condiciones 1 a 5 y emitir el correspondiente concepto técnico por parte de la D.G.C.  Se ha iniciado dialógo con los estudiantes para presenta"&amp;"r la importancia de dichas apuestas. 
")</f>
        <v>Durante este tercer monitoreo se materializa el riesgo   
A pesar de que la Secretaria Técnica de Acreditación y la Vicerrectoría Académica ha realizado el proceso de seguimiento y acompañamiento continuo a las nuevas apuestas de programas académicos, atendiendo dudas e inquietudes, han habido retrasos debido incumplimiento en cronograma, acciones que se adelantan con terceros (convenios) para operar en otros municipios. Adicionalmente se tiene una negativa por parte de los estudiantes (CEU)  con relación a la oferta académica de nuevos programas de Nivel Técnico, Tecnológico y a Distancia.  
Acciones asociadas al tratamiento del riesgo:
Dentro de las acciones realizadas, la Secretaría Técnica de Acreditación remitió un memorando al Decano Cristóbal Lugo López, de la Facultad de Ciencias Agropecuarias y Recursos Naturales, para avanzar en la construcción del nuevo programa Profesional en Monitoreo de Producción Animal. Asimismo, se solicitó a la misma facultad el envío de las condiciones de calidad de los programas en construcción: Técnico Profesional en Operaciones Agroindustriales, Técnico Profesional en Monitoreo de Producción Animal y Técnica. Es importante señalar que esta última solicitud fue una recomendación de la Dirección General de Currículo, teniendo en cuenta que deben gestionarse los convenios con todos los municipios antes de enviar a revisión las Condiciones 1 a 5 y emitir el correspondiente concepto técnico por parte de la D.G.C.  Se ha iniciado dialógo con los estudiantes para presentar la importancia de dichas apuestas. 
</v>
      </c>
      <c r="AC46" s="152" t="str">
        <f>IFERROR(__xludf.DUMMYFUNCTION("""COMPUTED_VALUE"""),"vicerrectoria académica")</f>
        <v>vicerrectoria académica</v>
      </c>
      <c r="AD46" s="153" t="str">
        <f>IFERROR(__xludf.DUMMYFUNCTION("""COMPUTED_VALUE"""),"Evidencia")</f>
        <v>Evidencia</v>
      </c>
      <c r="AE46" s="150" t="str">
        <f>IFERROR(__xludf.DUMMYFUNCTION("""COMPUTED_VALUE"""),"Si")</f>
        <v>Si</v>
      </c>
      <c r="AF46" s="152" t="str">
        <f>IFERROR(__xludf.DUMMYFUNCTION("""COMPUTED_VALUE"""),"Ejecutada")</f>
        <v>Ejecutada</v>
      </c>
      <c r="AG46" s="32" t="str">
        <f>IFERROR(__xludf.DUMMYFUNCTION("""COMPUTED_VALUE"""),"Sobre la materialización del riesgo
De acuerdo con el reporte del proceso, durante este tercer monitoreo se reporta que no se materializó el riesgo.
Sobre las acciones de tratamiento del riesgo
La Secretaría Técnica de Acreditación y la Vicerrectoría A"&amp;"cadémica realizaron seguimiento y acompañamiento a las nuevas apuestas de programas académicos, atendiendo dudas e inquietudes presentadas durante el proceso de formulación.
Como parte de estas acciones, la Secretaría Técnica de Acreditación remitió un m"&amp;"emorando al Decano de la Facultad de Ciencias Agropecuarias y Recursos Naturales, con el fin de avanzar en la construcción del programa Profesional en Monitoreo de Producción Animal. Asimismo, se solicitó a la misma Facultad el envío de las condiciones de"&amp;" calidad de los programas en construcción: Técnico Profesional en Operaciones Agroindustriales, Técnico Profesional en Monitoreo de Producción Animal y programa Técnico.
Esta solicitud se realizó atendiendo una recomendación de la Dirección General de Cu"&amp;"rrículo, en consideración a la necesidad de gestionar previamente los convenios con los municipios antes de remitir a revisión las Condiciones 1 a 5 y emitir el correspondiente concepto técnico.
Adicionalmente, se reporta el inicio de espacios de diálogo"&amp;" con los estudiantes, orientados a socializar la importancia estratégica de las nuevas apuestas académicas.
Sobre los controles
Del análisis de la información reportada, se evidencia que los controles definidos para el riesgo se encuentran implementados"&amp;", particularmente aquellos asociados al acompañamiento institucional, la revisión técnica de las propuestas académicas y la articulación entre las dependencias responsables.
No obstante, se considera pertinente fortalecer los controles relacionados con l"&amp;"a planeación y seguimiento de cronogramas, así como aquellos orientados a la gestión anticipada de convenios y al análisis de la demanda académica, con el fin de reducir la probabilidad de ocurrencia del riesgo en futuros periodos.")</f>
        <v>Sobre la materialización del riesgo
De acuerdo con el reporte del proceso, durante este tercer monitoreo se reporta que no se materializó el riesgo.
Sobre las acciones de tratamiento del riesgo
La Secretaría Técnica de Acreditación y la Vicerrectoría Académica realizaron seguimiento y acompañamiento a las nuevas apuestas de programas académicos, atendiendo dudas e inquietudes presentadas durante el proceso de formulación.
Como parte de estas acciones, la Secretaría Técnica de Acreditación remitió un memorando al Decano de la Facultad de Ciencias Agropecuarias y Recursos Naturales, con el fin de avanzar en la construcción del programa Profesional en Monitoreo de Producción Animal. Asimismo, se solicitó a la misma Facultad el envío de las condiciones de calidad de los programas en construcción: Técnico Profesional en Operaciones Agroindustriales, Técnico Profesional en Monitoreo de Producción Animal y programa Técnico.
Esta solicitud se realizó atendiendo una recomendación de la Dirección General de Currículo, en consideración a la necesidad de gestionar previamente los convenios con los municipios antes de remitir a revisión las Condiciones 1 a 5 y emitir el correspondiente concepto técnico.
Adicionalmente, se reporta el inicio de espacios de diálogo con los estudiantes, orientados a socializar la importancia estratégica de las nuevas apuestas académicas.
Sobre los controles
Del análisis de la información reportada, se evidencia que los controles definidos para el riesgo se encuentran implementados, particularmente aquellos asociados al acompañamiento institucional, la revisión técnica de las propuestas académicas y la articulación entre las dependencias responsables.
No obstante, se considera pertinente fortalecer los controles relacionados con la planeación y seguimiento de cronogramas, así como aquellos orientados a la gestión anticipada de convenios y al análisis de la demanda académica, con el fin de reducir la probabilidad de ocurrencia del riesgo en futuros periodos.</v>
      </c>
      <c r="AH46" s="150" t="str">
        <f>IFERROR(__xludf.DUMMYFUNCTION("""COMPUTED_VALUE"""),"31 de diciembre")</f>
        <v>31 de diciembre</v>
      </c>
      <c r="AI46" s="32" t="str">
        <f>IFERROR(__xludf.DUMMYFUNCTION("""COMPUTED_VALUE"""),"Si")</f>
        <v>Si</v>
      </c>
      <c r="AJ46" s="32" t="str">
        <f>IFERROR(__xludf.DUMMYFUNCTION("""COMPUTED_VALUE"""),"Si")</f>
        <v>Si</v>
      </c>
      <c r="AK46" s="32" t="str">
        <f>IFERROR(__xludf.DUMMYFUNCTION("""COMPUTED_VALUE"""),"Si")</f>
        <v>Si</v>
      </c>
      <c r="AL46" s="32" t="str">
        <f>IFERROR(__xludf.DUMMYFUNCTION("""COMPUTED_VALUE"""),"Si")</f>
        <v>Si</v>
      </c>
      <c r="AM46" s="32" t="str">
        <f>IFERROR(__xludf.DUMMYFUNCTION("""COMPUTED_VALUE"""),"Si")</f>
        <v>Si</v>
      </c>
      <c r="AN46" s="32" t="str">
        <f>IFERROR(__xludf.DUMMYFUNCTION("""COMPUTED_VALUE"""),"Si")</f>
        <v>Si</v>
      </c>
      <c r="AO46" s="32" t="str">
        <f>IFERROR(__xludf.DUMMYFUNCTION("""COMPUTED_VALUE"""),"Si")</f>
        <v>Si</v>
      </c>
      <c r="AP46" s="32" t="str">
        <f>IFERROR(__xludf.DUMMYFUNCTION("""COMPUTED_VALUE"""),"No aplica")</f>
        <v>No aplica</v>
      </c>
      <c r="AQ46" s="32" t="str">
        <f>IFERROR(__xludf.DUMMYFUNCTION("""COMPUTED_VALUE"""),"No aplica")</f>
        <v>No aplica</v>
      </c>
      <c r="AR46" s="32" t="str">
        <f>IFERROR(__xludf.DUMMYFUNCTION("""COMPUTED_VALUE"""),"No aplica")</f>
        <v>No aplica</v>
      </c>
      <c r="AS46" s="150" t="str">
        <f>IFERROR(__xludf.DUMMYFUNCTION("""COMPUTED_VALUE"""),"Se recomienda valorar y analizar nuevamente el riesgo inherente y residual, teniendo en cuenta su materialización en el presente cuatrimestre.")</f>
        <v>Se recomienda valorar y analizar nuevamente el riesgo inherente y residual, teniendo en cuenta su materialización en el presente cuatrimestre.</v>
      </c>
      <c r="AT46" s="139"/>
    </row>
    <row r="47">
      <c r="A47" s="86"/>
      <c r="B47" s="73"/>
      <c r="C47" s="73"/>
      <c r="D47" s="144" t="str">
        <f>IFERROR(__xludf.DUMMYFUNCTION("""COMPUTED_VALUE"""),"Afectación económica y reputacional por indebido manejo de la información del Sistema de Información Académica de Unillanos - SIAU, para favorecimiento de un tercero")</f>
        <v>Afectación económica y reputacional por indebido manejo de la información del Sistema de Información Académica de Unillanos - SIAU, para favorecimiento de un tercero</v>
      </c>
      <c r="E47" s="144" t="str">
        <f>IFERROR(__xludf.DUMMYFUNCTION("""COMPUTED_VALUE"""),"Oficina de Admisiones, Registro y Control Académico")</f>
        <v>Oficina de Admisiones, Registro y Control Académico</v>
      </c>
      <c r="F47" s="144" t="str">
        <f>IFERROR(__xludf.DUMMYFUNCTION("""COMPUTED_VALUE"""),"Corrupción")</f>
        <v>Corrupción</v>
      </c>
      <c r="G47" s="144" t="str">
        <f>IFERROR(__xludf.DUMMYFUNCTION("""COMPUTED_VALUE"""),"- Indebido cuidado profesional del personal administrativo
- Controles débiles en el acceso a la información
- Sistema de informacion SIAU incompleto para realizar la totalidad de funciones a cargo de la Oficina de Admisiones
- Debilidades en el respaldo "&amp;"de la información del SIAU")</f>
        <v>- Indebido cuidado profesional del personal administrativo
- Controles débiles en el acceso a la información
- Sistema de informacion SIAU incompleto para realizar la totalidad de funciones a cargo de la Oficina de Admisiones
- Debilidades en el respaldo de la información del SIAU</v>
      </c>
      <c r="H47" s="144" t="str">
        <f>IFERROR(__xludf.DUMMYFUNCTION("""COMPUTED_VALUE"""),"1. Avales sin cumplir requisitos para trámites de grado y otorgamiento de títulos
2. Pérdida de la integridad de la información académica de los usuarios
3. Intervención de órganos de control
4. Afectación a la imagen institucional
5. Desconfianza en los "&amp;"resultados generados por el proceso
6. Pérdida de recursos, por recibos de matrícula generados incorrectamente")</f>
        <v>1. Avales sin cumplir requisitos para trámites de grado y otorgamiento de títulos
2. Pérdida de la integridad de la información académica de los usuarios
3. Intervención de órganos de control
4. Afectación a la imagen institucional
5. Desconfianza en los resultados generados por el proceso
6. Pérdida de recursos, por recibos de matrícula generados incorrectamente</v>
      </c>
      <c r="I47" s="145" t="str">
        <f>IFERROR(__xludf.DUMMYFUNCTION("""COMPUTED_VALUE"""),"DOC_03")</f>
        <v>DOC_03</v>
      </c>
      <c r="J47" s="145" t="str">
        <f>IFERROR(__xludf.DUMMYFUNCTION("""COMPUTED_VALUE"""),"Media")</f>
        <v>Media</v>
      </c>
      <c r="K47" s="145" t="str">
        <f>IFERROR(__xludf.DUMMYFUNCTION("""COMPUTED_VALUE"""),"Mayor")</f>
        <v>Mayor</v>
      </c>
      <c r="L47" s="145" t="str">
        <f>IFERROR(__xludf.DUMMYFUNCTION("""COMPUTED_VALUE"""),"Extrema")</f>
        <v>Extrema</v>
      </c>
      <c r="M47" s="144" t="str">
        <f>IFERROR(__xludf.DUMMYFUNCTION("""COMPUTED_VALUE"""),"- El personal de la oficina de Admisiones, verifica el cumplimiento de los requisitos por parte de los aspirantes a título de grado y posgrado, de acuerdo a las listas de chequeo en cada caso, y remite el listado de los graduandos a la Secretaría General
"&amp;"- El jefe de la oficina de admisiones, identifica las necesidades en términos de la funcionalidad del sistema, y reporta a la oficina de Sistemas para el respectivo desarrollo, en el formato diseñado para tal fin
- La oficina de admisiones y la oficina de"&amp;" sistemas, realizan auditorías aleatorias a una muestra del proceso de cancelación de cursos y semestre, y al proceso de modificación de notas
")</f>
        <v>- El personal de la oficina de Admisiones, verifica el cumplimiento de los requisitos por parte de los aspirantes a título de grado y posgrado, de acuerdo a las listas de chequeo en cada caso, y remite el listado de los graduandos a la Secretaría General
- El jefe de la oficina de admisiones, identifica las necesidades en términos de la funcionalidad del sistema, y reporta a la oficina de Sistemas para el respectivo desarrollo, en el formato diseñado para tal fin
- La oficina de admisiones y la oficina de sistemas, realizan auditorías aleatorias a una muestra del proceso de cancelación de cursos y semestre, y al proceso de modificación de notas
</v>
      </c>
      <c r="N47" s="145" t="str">
        <f>IFERROR(__xludf.DUMMYFUNCTION("""COMPUTED_VALUE"""),"Baja")</f>
        <v>Baja</v>
      </c>
      <c r="O47" s="145" t="str">
        <f>IFERROR(__xludf.DUMMYFUNCTION("""COMPUTED_VALUE"""),"Mayor")</f>
        <v>Mayor</v>
      </c>
      <c r="P47" s="145" t="str">
        <f>IFERROR(__xludf.DUMMYFUNCTION("""COMPUTED_VALUE"""),"Alta")</f>
        <v>Alta</v>
      </c>
      <c r="Q47" s="178" t="str">
        <f>IFERROR(__xludf.DUMMYFUNCTION("""COMPUTED_VALUE"""),"Reducir")</f>
        <v>Reducir</v>
      </c>
      <c r="R47" s="158" t="str">
        <f>IFERROR(__xludf.DUMMYFUNCTION("""COMPUTED_VALUE"""),"Realizar sensiblización al equipo de trabajo de la Oficina de Admisiones, Registro y Control Académico sobre la integridad de los datos en el Sistema de Información SIAU")</f>
        <v>Realizar sensiblización al equipo de trabajo de la Oficina de Admisiones, Registro y Control Académico sobre la integridad de los datos en el Sistema de Información SIAU</v>
      </c>
      <c r="S47" s="159">
        <f>IFERROR(__xludf.DUMMYFUNCTION("""COMPUTED_VALUE"""),45989.0)</f>
        <v>45989</v>
      </c>
      <c r="T47" s="170" t="str">
        <f>IFERROR(__xludf.DUMMYFUNCTION("""COMPUTED_VALUE"""),"Jefe OARCA")</f>
        <v>Jefe OARCA</v>
      </c>
      <c r="U47" s="170" t="str">
        <f>IFERROR(__xludf.DUMMYFUNCTION("""COMPUTED_VALUE"""),"Registros de asistencia")</f>
        <v>Registros de asistencia</v>
      </c>
      <c r="V47" s="169" t="str">
        <f>IFERROR(__xludf.DUMMYFUNCTION("""COMPUTED_VALUE"""),"Evaluar la situacion presentada, notificarlo a la Vicerrectoria Academica y remitirlo a los organos de control en caso que sea pertinente")</f>
        <v>Evaluar la situacion presentada, notificarlo a la Vicerrectoria Academica y remitirlo a los organos de control en caso que sea pertinente</v>
      </c>
      <c r="W47" s="169" t="str">
        <f>IFERROR(__xludf.DUMMYFUNCTION("""COMPUTED_VALUE"""),"Oficio de notificacion a vicerrectoria academica y organos de control.")</f>
        <v>Oficio de notificacion a vicerrectoria academica y organos de control.</v>
      </c>
      <c r="X47" s="169" t="str">
        <f>IFERROR(__xludf.DUMMYFUNCTION("""COMPUTED_VALUE"""),"Jefe Oficina de Admisiones Registro y Control Academico")</f>
        <v>Jefe Oficina de Admisiones Registro y Control Academico</v>
      </c>
      <c r="Y47" s="169" t="str">
        <f>IFERROR(__xludf.DUMMYFUNCTION("""COMPUTED_VALUE"""),"5 dias habiles luego de su deteccion")</f>
        <v>5 dias habiles luego de su deteccion</v>
      </c>
      <c r="Z47" s="150" t="str">
        <f>IFERROR(__xludf.DUMMYFUNCTION("""COMPUTED_VALUE"""),"30 de abril")</f>
        <v>30 de abril</v>
      </c>
      <c r="AA47" s="32" t="str">
        <f>IFERROR(__xludf.DUMMYFUNCTION("""COMPUTED_VALUE"""),"Durante el primer cuatrimestre del 2025")</f>
        <v>Durante el primer cuatrimestre del 2025</v>
      </c>
      <c r="AB47" s="150" t="str">
        <f>IFERROR(__xludf.DUMMYFUNCTION("""COMPUTED_VALUE"""),"Durante este monitoreo no se materializó el riesgo. 
Acciones asociadas a la aplicacion de controles del riesgo:
- La Oficina de Admisiones, verificó el cumplimiento de los requisitos por parte de los aspirantes a título de grado y posgrado, de acuerdo"&amp;" a las listas de chequeo y los avales remitidos por las Secretarias Academicas y demas dependencias que intervienen en el proceso, como evidencia se generaron TRES (3) oficios remitidos a la Secretaria General con los listados respectivos.
- Durante el p"&amp;"eridoo de ejecucion se ha realizado CUATRO (4) solicitudes a la Oficina de Sistemas para el ajuste al Sistema de Informacion Institucional (SIAU). 
- La auditoría interna al proceso de cancelación de cursos, cancelacion de  semestre y modificación de not"&amp;"as se realizará posterior a la finalizacion del periodo academico 2025-1.
Acciones asociadas al tratamiento del riesgo:
La sensiblización al equipo de trabajo de la Oficina de Admisiones, Registro y Control Académico sobre la integridad de los datos en "&amp;"el Sistema de Información SIAU, se realizará para los siguientes monitoreos.")</f>
        <v>Durante este monitoreo no se materializó el riesgo. 
Acciones asociadas a la aplicacion de controles del riesgo:
- La Oficina de Admisiones, verificó el cumplimiento de los requisitos por parte de los aspirantes a título de grado y posgrado, de acuerdo a las listas de chequeo y los avales remitidos por las Secretarias Academicas y demas dependencias que intervienen en el proceso, como evidencia se generaron TRES (3) oficios remitidos a la Secretaria General con los listados respectivos.
- Durante el peridoo de ejecucion se ha realizado CUATRO (4) solicitudes a la Oficina de Sistemas para el ajuste al Sistema de Informacion Institucional (SIAU). 
- La auditoría interna al proceso de cancelación de cursos, cancelacion de  semestre y modificación de notas se realizará posterior a la finalizacion del periodo academico 2025-1.
Acciones asociadas al tratamiento del riesgo:
La sensiblización al equipo de trabajo de la Oficina de Admisiones, Registro y Control Académico sobre la integridad de los datos en el Sistema de Información SIAU, se realizará para los siguientes monitoreos.</v>
      </c>
      <c r="AC47" s="152" t="str">
        <f>IFERROR(__xludf.DUMMYFUNCTION("""COMPUTED_VALUE"""),"Oficina de Admisiones, Registro y Control Academico.")</f>
        <v>Oficina de Admisiones, Registro y Control Academico.</v>
      </c>
      <c r="AD47" s="153" t="str">
        <f>IFERROR(__xludf.DUMMYFUNCTION("""COMPUTED_VALUE"""),"Evidencia")</f>
        <v>Evidencia</v>
      </c>
      <c r="AE47" s="150" t="str">
        <f>IFERROR(__xludf.DUMMYFUNCTION("""COMPUTED_VALUE"""),"Si")</f>
        <v>Si</v>
      </c>
      <c r="AF47" s="150" t="str">
        <f>IFERROR(__xludf.DUMMYFUNCTION("""COMPUTED_VALUE"""),"En proceso")</f>
        <v>En proceso</v>
      </c>
      <c r="AG47" s="32" t="str">
        <f>IFERROR(__xludf.DUMMYFUNCTION("""COMPUTED_VALUE"""),"Se evidencia reporte por parte del proceso sobre la NO materialización del riesgo. 
Sobre las acciones de tratamiento del riesgo: 
Se verifica que la oficina de admisiones, registro y control academico da cumplimiento en el soporte de los 3 controles es"&amp;"tablecidos para el riesgo los soportes presentados son acordes con los controles establecidos. 
Sobre las acciones asociadas al tratamiento del riesgo. 
Se encuentra pendiente subir evidencia registro de asistencia sobre la realización de sensibilizació"&amp;"n programada para el 28/11/2025 dentro de las acciones de tratamiento  al equipo de trabajo de la oficina de admisiones, registro y control académico sobre la integridad de los datos el el sistema SIAU. ")</f>
        <v>Se evidencia reporte por parte del proceso sobre la NO materialización del riesgo. 
Sobre las acciones de tratamiento del riesgo: 
Se verifica que la oficina de admisiones, registro y control academico da cumplimiento en el soporte de los 3 controles establecidos para el riesgo los soportes presentados son acordes con los controles establecidos. 
Sobre las acciones asociadas al tratamiento del riesgo. 
Se encuentra pendiente subir evidencia registro de asistencia sobre la realización de sensibilización programada para el 28/11/2025 dentro de las acciones de tratamiento  al equipo de trabajo de la oficina de admisiones, registro y control académico sobre la integridad de los datos el el sistema SIAU. </v>
      </c>
      <c r="AH47" s="150" t="str">
        <f>IFERROR(__xludf.DUMMYFUNCTION("""COMPUTED_VALUE"""),"30 de abril")</f>
        <v>30 de abril</v>
      </c>
      <c r="AI47" s="32" t="str">
        <f>IFERROR(__xludf.DUMMYFUNCTION("""COMPUTED_VALUE"""),"Si")</f>
        <v>Si</v>
      </c>
      <c r="AJ47" s="32" t="str">
        <f>IFERROR(__xludf.DUMMYFUNCTION("""COMPUTED_VALUE"""),"Si")</f>
        <v>Si</v>
      </c>
      <c r="AK47" s="32" t="str">
        <f>IFERROR(__xludf.DUMMYFUNCTION("""COMPUTED_VALUE"""),"Si")</f>
        <v>Si</v>
      </c>
      <c r="AL47" s="32" t="str">
        <f>IFERROR(__xludf.DUMMYFUNCTION("""COMPUTED_VALUE"""),"Si")</f>
        <v>Si</v>
      </c>
      <c r="AM47" s="32"/>
      <c r="AN47" s="32" t="str">
        <f>IFERROR(__xludf.DUMMYFUNCTION("""COMPUTED_VALUE"""),"Si")</f>
        <v>Si</v>
      </c>
      <c r="AO47" s="32" t="str">
        <f>IFERROR(__xludf.DUMMYFUNCTION("""COMPUTED_VALUE"""),"Si")</f>
        <v>Si</v>
      </c>
      <c r="AP47" s="32" t="str">
        <f>IFERROR(__xludf.DUMMYFUNCTION("""COMPUTED_VALUE"""),"No")</f>
        <v>No</v>
      </c>
      <c r="AQ47" s="32" t="str">
        <f>IFERROR(__xludf.DUMMYFUNCTION("""COMPUTED_VALUE"""),"No")</f>
        <v>No</v>
      </c>
      <c r="AR47" s="32" t="str">
        <f>IFERROR(__xludf.DUMMYFUNCTION("""COMPUTED_VALUE"""),"No aplica")</f>
        <v>No aplica</v>
      </c>
      <c r="AS47" s="150" t="str">
        <f>IFERROR(__xludf.DUMMYFUNCTION("""COMPUTED_VALUE"""),"Recomendación:
*Asegurar la realización de la acción asociada al tratamiento, dentro del periodo académico de manera que pueda coayuvar en el fortalecimiento de los controles.
*Fortalecer la descripción de los controles conforme a la metodología propuest"&amp;"a en la Guía para la Administración del Riesgo y el diseño de controles en entidades públicas Versión 4 de 2018, que propone los elementos que debe contemplar el diseño del control con relación a los riesgos de corrupción:
-Debe tener definido el responsa"&amp;"ble de llevar a cabo la actividad de control.
-Debe tener una periodicidad definida para su ejecución.
-Debe indicar cuál es el propósito del control.
-Debe establecer el cómo se realiza la actividad de control.
-Debe indicar qué pasa con las observacione"&amp;"s o desviaciones resultantes de ejecutar el control
-Debe dejar evidencia de la ejecución del control.")</f>
        <v>Recomendación:
*Asegurar la realización de la acción asociada al tratamiento, dentro del periodo académico de manera que pueda coayuvar en el fortalecimiento de los controles.
*Fortalecer la descripción de los controles conforme a la metodología propuesta en la Guía para la Administración del Riesgo y el diseño de controles en entidades públicas Versión 4 de 2018, que propone los elementos que debe contemplar el diseño del control con relación a los riesgos de corrupción:
-Debe tener definido el responsable de llevar a cabo la actividad de control.
-Debe tener una periodicidad definida para su ejecución.
-Debe indicar cuál es el propósito del control.
-Debe establecer el cómo se realiza la actividad de control.
-Debe indicar qué pasa con las observaciones o desviaciones resultantes de ejecutar el control
-Debe dejar evidencia de la ejecución del control.</v>
      </c>
      <c r="AT47" s="139"/>
    </row>
    <row r="48">
      <c r="A48" s="86"/>
      <c r="B48" s="73"/>
      <c r="C48" s="73"/>
      <c r="D48" s="156"/>
      <c r="E48" s="156"/>
      <c r="F48" s="156"/>
      <c r="G48" s="156"/>
      <c r="H48" s="156"/>
      <c r="I48" s="156"/>
      <c r="J48" s="156"/>
      <c r="K48" s="156"/>
      <c r="L48" s="156"/>
      <c r="M48" s="156"/>
      <c r="N48" s="156"/>
      <c r="O48" s="156"/>
      <c r="P48" s="156"/>
      <c r="Q48" s="157"/>
      <c r="R48" s="158" t="str">
        <f>IFERROR(__xludf.DUMMYFUNCTION("""COMPUTED_VALUE"""),"")</f>
        <v/>
      </c>
      <c r="S48" s="159" t="str">
        <f>IFERROR(__xludf.DUMMYFUNCTION("""COMPUTED_VALUE"""),"")</f>
        <v/>
      </c>
      <c r="T48" s="170"/>
      <c r="U48" s="170"/>
      <c r="V48" s="94"/>
      <c r="W48" s="94"/>
      <c r="X48" s="94"/>
      <c r="Y48" s="94"/>
      <c r="Z48" s="150" t="str">
        <f>IFERROR(__xludf.DUMMYFUNCTION("""COMPUTED_VALUE"""),"30 de agosto")</f>
        <v>30 de agosto</v>
      </c>
      <c r="AA48" s="32" t="str">
        <f>IFERROR(__xludf.DUMMYFUNCTION("""COMPUTED_VALUE"""),"Durante el segundo cuatrimestre del 2025")</f>
        <v>Durante el segundo cuatrimestre del 2025</v>
      </c>
      <c r="AB48" s="150" t="str">
        <f>IFERROR(__xludf.DUMMYFUNCTION("""COMPUTED_VALUE"""),"Durante este monitoreo no se materializó el riesgo. 
Acciones asociadas a la aplicacion de controles del riesgo:
- La Oficina de Admisiones, verificó el cumplimiento de los requisitos por parte de los aspirantes a título de grado y posgrado, de acuerdo "&amp;"a las listas de chequeo y los avales remitidos por las Secretarias Academicas y demas dependencias que intervienen en el proceso, como evidencia se generaron 06 oficios remitidos a la Secretaria General con los listados respectivos.
- Durante el peridoo "&amp;"de ejecucion se ha realizado 09 solicitudes a la Oficina de Sistemas para el ajuste al Sistema de Informacion Institucional (SIAU). 
- La auditoría interna al proceso de cancelación de cursos, cancelacion de  semestre y modificación de notas se realizará"&amp;" durante el tercer cuatrimestre del año
Acciones asociadas al tratamiento del riesgo:
La sensiblización al equipo de trabajo de la Oficina de Admisiones, Registro y Control Académico sobre la integridad de los datos en el Sistema de Información SIAU, se"&amp;" realizará para el proximo monitoreo")</f>
        <v>Durante este monitoreo no se materializó el riesgo. 
Acciones asociadas a la aplicacion de controles del riesgo:
- La Oficina de Admisiones, verificó el cumplimiento de los requisitos por parte de los aspirantes a título de grado y posgrado, de acuerdo a las listas de chequeo y los avales remitidos por las Secretarias Academicas y demas dependencias que intervienen en el proceso, como evidencia se generaron 06 oficios remitidos a la Secretaria General con los listados respectivos.
- Durante el peridoo de ejecucion se ha realizado 09 solicitudes a la Oficina de Sistemas para el ajuste al Sistema de Informacion Institucional (SIAU). 
- La auditoría interna al proceso de cancelación de cursos, cancelacion de  semestre y modificación de notas se realizará durante el tercer cuatrimestre del año
Acciones asociadas al tratamiento del riesgo:
La sensiblización al equipo de trabajo de la Oficina de Admisiones, Registro y Control Académico sobre la integridad de los datos en el Sistema de Información SIAU, se realizará para el proximo monitoreo</v>
      </c>
      <c r="AC48" s="152" t="str">
        <f>IFERROR(__xludf.DUMMYFUNCTION("""COMPUTED_VALUE"""),"Oficina de Admisiones, Registro y Control Academico.")</f>
        <v>Oficina de Admisiones, Registro y Control Academico.</v>
      </c>
      <c r="AD48" s="153" t="str">
        <f>IFERROR(__xludf.DUMMYFUNCTION("""COMPUTED_VALUE"""),"Evidencia")</f>
        <v>Evidencia</v>
      </c>
      <c r="AE48" s="150" t="str">
        <f>IFERROR(__xludf.DUMMYFUNCTION("""COMPUTED_VALUE"""),"Si")</f>
        <v>Si</v>
      </c>
      <c r="AF48" s="152" t="str">
        <f>IFERROR(__xludf.DUMMYFUNCTION("""COMPUTED_VALUE"""),"En proceso")</f>
        <v>En proceso</v>
      </c>
      <c r="AG48" s="32" t="str">
        <f>IFERROR(__xludf.DUMMYFUNCTION("""COMPUTED_VALUE"""),"Se evidencia reporte por parte del proceso sobre la NO materialización del riesgo.
Sobre los controles:
El proceso informa que desde la Oficina de Admisiones, Registro y Control Académico se dio cumplimiento a los controles establecidos. Como parte de es"&amp;"tas actividades, se verificaron los requisitos de aspirantes a programas de grado y posgrado, soportado en las listas de chequeo y avales remitidos por las Secretarías Académicas, lo cual generó 6 oficios dirigidos a la Secretaría General con los listados"&amp;" respectivos.
Adicionalmente, se reporta la gestión de 9 solicitudes realizadas a la Oficina de Sistemas para el ajuste del Sistema de Información Institucional – SIAU, en concordancia con el control definido. Frente al control correspondiente a la audito"&amp;"ría interna del proceso de cancelación de cursos, cancelación de semestre y modificación de notas, se informa que esta se encuentra programada para el tercer cuatrimestre del año, quedando pendiente su respectivo reporte en el próximo monitoreo.
Sobre la"&amp;"s acciones de tratamiento del riesgo:
 Al verificar se encuentra pendiente realizar la sensibilización para el 28/11/2025 dentro de las acciones tratamiento, se sugiere realizarla para el proximo monitoreo.  ")</f>
        <v>Se evidencia reporte por parte del proceso sobre la NO materialización del riesgo.
Sobre los controles:
El proceso informa que desde la Oficina de Admisiones, Registro y Control Académico se dio cumplimiento a los controles establecidos. Como parte de estas actividades, se verificaron los requisitos de aspirantes a programas de grado y posgrado, soportado en las listas de chequeo y avales remitidos por las Secretarías Académicas, lo cual generó 6 oficios dirigidos a la Secretaría General con los listados respectivos.
Adicionalmente, se reporta la gestión de 9 solicitudes realizadas a la Oficina de Sistemas para el ajuste del Sistema de Información Institucional – SIAU, en concordancia con el control definido. Frente al control correspondiente a la auditoría interna del proceso de cancelación de cursos, cancelación de semestre y modificación de notas, se informa que esta se encuentra programada para el tercer cuatrimestre del año, quedando pendiente su respectivo reporte en el próximo monitoreo.
Sobre las acciones de tratamiento del riesgo:
 Al verificar se encuentra pendiente realizar la sensibilización para el 28/11/2025 dentro de las acciones tratamiento, se sugiere realizarla para el proximo monitoreo.  </v>
      </c>
      <c r="AH48" s="150" t="str">
        <f>IFERROR(__xludf.DUMMYFUNCTION("""COMPUTED_VALUE"""),"31 de agosto")</f>
        <v>31 de agosto</v>
      </c>
      <c r="AI48" s="32" t="str">
        <f>IFERROR(__xludf.DUMMYFUNCTION("""COMPUTED_VALUE"""),"Si")</f>
        <v>Si</v>
      </c>
      <c r="AJ48" s="32" t="str">
        <f>IFERROR(__xludf.DUMMYFUNCTION("""COMPUTED_VALUE"""),"Si")</f>
        <v>Si</v>
      </c>
      <c r="AK48" s="32" t="str">
        <f>IFERROR(__xludf.DUMMYFUNCTION("""COMPUTED_VALUE"""),"Si")</f>
        <v>Si</v>
      </c>
      <c r="AL48" s="32" t="str">
        <f>IFERROR(__xludf.DUMMYFUNCTION("""COMPUTED_VALUE"""),"Si")</f>
        <v>Si</v>
      </c>
      <c r="AM48" s="32" t="str">
        <f>IFERROR(__xludf.DUMMYFUNCTION("""COMPUTED_VALUE"""),"Si")</f>
        <v>Si</v>
      </c>
      <c r="AN48" s="32" t="str">
        <f>IFERROR(__xludf.DUMMYFUNCTION("""COMPUTED_VALUE"""),"Si")</f>
        <v>Si</v>
      </c>
      <c r="AO48" s="32" t="str">
        <f>IFERROR(__xludf.DUMMYFUNCTION("""COMPUTED_VALUE"""),"Si")</f>
        <v>Si</v>
      </c>
      <c r="AP48" s="32" t="str">
        <f>IFERROR(__xludf.DUMMYFUNCTION("""COMPUTED_VALUE"""),"No")</f>
        <v>No</v>
      </c>
      <c r="AQ48" s="32" t="str">
        <f>IFERROR(__xludf.DUMMYFUNCTION("""COMPUTED_VALUE"""),"No")</f>
        <v>No</v>
      </c>
      <c r="AR48" s="32" t="str">
        <f>IFERROR(__xludf.DUMMYFUNCTION("""COMPUTED_VALUE"""),"No aplica")</f>
        <v>No aplica</v>
      </c>
      <c r="AS48" s="150" t="str">
        <f>IFERROR(__xludf.DUMMYFUNCTION("""COMPUTED_VALUE"""),"Se reiteran las recomendaciones realizadas en la evaluación del primer cuatrimestre:
*Considerando que la acción asociada al tratamiento, se planifico con fecha de ejecución al 28/11/2025, se recomienda realizarla dentro del periodo académico de manera qu"&amp;"e pueda coayuvar en el fortalecimiento de los controles.
*Fortalecer la descripción de los controles conforme a la metodología propuesta en la Guía para la Administración del Riesgo y el diseño de controles en entidades públicas Versión 4 de 2018, que pr"&amp;"opone los elementos que debe contemplar el diseño del control con relación a los riesgos de corrupción:
-Debe tener definido el responsable de llevar a cabo la actividad de control.
-Debe tener una periodicidad definida para su ejecución.
-Debe indicar cu"&amp;"ál es el propósito del control.
-Debe establecer el cómo se realiza la actividad de control.
-Debe indicar qué pasa con las observaciones o desviaciones resultantes de ejecutar el control
-Debe dejar evidencia de la ejecución del control.")</f>
        <v>Se reiteran las recomendaciones realizadas en la evaluación del primer cuatrimestre:
*Considerando que la acción asociada al tratamiento, se planifico con fecha de ejecución al 28/11/2025, se recomienda realizarla dentro del periodo académico de manera que pueda coayuvar en el fortalecimiento de los controles.
*Fortalecer la descripción de los controles conforme a la metodología propuesta en la Guía para la Administración del Riesgo y el diseño de controles en entidades públicas Versión 4 de 2018, que propone los elementos que debe contemplar el diseño del control con relación a los riesgos de corrupción:
-Debe tener definido el responsable de llevar a cabo la actividad de control.
-Debe tener una periodicidad definida para su ejecución.
-Debe indicar cuál es el propósito del control.
-Debe establecer el cómo se realiza la actividad de control.
-Debe indicar qué pasa con las observaciones o desviaciones resultantes de ejecutar el control
-Debe dejar evidencia de la ejecución del control.</v>
      </c>
      <c r="AT48" s="139"/>
    </row>
    <row r="49">
      <c r="A49" s="86"/>
      <c r="B49" s="73"/>
      <c r="C49" s="73"/>
      <c r="D49" s="119"/>
      <c r="E49" s="119"/>
      <c r="F49" s="119"/>
      <c r="G49" s="119"/>
      <c r="H49" s="119"/>
      <c r="I49" s="119"/>
      <c r="J49" s="119"/>
      <c r="K49" s="119"/>
      <c r="L49" s="119"/>
      <c r="M49" s="119"/>
      <c r="N49" s="119"/>
      <c r="O49" s="119"/>
      <c r="P49" s="119"/>
      <c r="Q49" s="162"/>
      <c r="R49" s="163" t="str">
        <f>IFERROR(__xludf.DUMMYFUNCTION("""COMPUTED_VALUE"""),"")</f>
        <v/>
      </c>
      <c r="S49" s="164" t="str">
        <f>IFERROR(__xludf.DUMMYFUNCTION("""COMPUTED_VALUE"""),"")</f>
        <v/>
      </c>
      <c r="T49" s="176"/>
      <c r="U49" s="176"/>
      <c r="V49" s="98"/>
      <c r="W49" s="98"/>
      <c r="X49" s="98"/>
      <c r="Y49" s="98"/>
      <c r="Z49" s="150" t="str">
        <f>IFERROR(__xludf.DUMMYFUNCTION("""COMPUTED_VALUE"""),"30 de diciembre")</f>
        <v>30 de diciembre</v>
      </c>
      <c r="AA49" s="32" t="str">
        <f>IFERROR(__xludf.DUMMYFUNCTION("""COMPUTED_VALUE"""),"Durante el segundo cuatrimestre del 2025")</f>
        <v>Durante el segundo cuatrimestre del 2025</v>
      </c>
      <c r="AB49" s="150" t="str">
        <f>IFERROR(__xludf.DUMMYFUNCTION("""COMPUTED_VALUE"""),"Durante este monitoreo no se materializó el riesgo. 
Acciones asociadas a la aplicacion de controles del riesgo:
- La Oficina de Admisiones, verificó el cumplimiento de los requisitos por parte de los aspirantes a título de pregrado y posgrado, de acuer"&amp;"do a las listas de chequeo y los avales remitidos por las Secretarias Academicas y demas dependencias que intervienen en el proceso, como evidencia se generaron 12 oficios remitidos a la Secretaria General con los listados respectivos.
- La auditoría int"&amp;"erna al proceso de cancelación de cursos, cancelacion de  semestre y modificación de notas se realizó y se deja la evidencia en el mecanismo dispuesto
Acciones asociadas al tratamiento del riesgo:
La sensiblización al equipo de trabajo de la Oficina de "&amp;"Admisiones, Registro y Control Académico sobre la integridad de los datos en el Sistema de Información SIAU, se realizó el 10 de noviembre de 2025. (Se anexa acta de reunion) ")</f>
        <v>Durante este monitoreo no se materializó el riesgo. 
Acciones asociadas a la aplicacion de controles del riesgo:
- La Oficina de Admisiones, verificó el cumplimiento de los requisitos por parte de los aspirantes a título de pregrado y posgrado, de acuerdo a las listas de chequeo y los avales remitidos por las Secretarias Academicas y demas dependencias que intervienen en el proceso, como evidencia se generaron 12 oficios remitidos a la Secretaria General con los listados respectivos.
- La auditoría interna al proceso de cancelación de cursos, cancelacion de  semestre y modificación de notas se realizó y se deja la evidencia en el mecanismo dispuesto
Acciones asociadas al tratamiento del riesgo:
La sensiblización al equipo de trabajo de la Oficina de Admisiones, Registro y Control Académico sobre la integridad de los datos en el Sistema de Información SIAU, se realizó el 10 de noviembre de 2025. (Se anexa acta de reunion) </v>
      </c>
      <c r="AC49" s="152" t="str">
        <f>IFERROR(__xludf.DUMMYFUNCTION("""COMPUTED_VALUE"""),"Oficina de Admisiones, Registro y Control Academico.")</f>
        <v>Oficina de Admisiones, Registro y Control Academico.</v>
      </c>
      <c r="AD49" s="153" t="str">
        <f>IFERROR(__xludf.DUMMYFUNCTION("""COMPUTED_VALUE"""),"Evidencia")</f>
        <v>Evidencia</v>
      </c>
      <c r="AE49" s="150" t="str">
        <f>IFERROR(__xludf.DUMMYFUNCTION("""COMPUTED_VALUE"""),"Si")</f>
        <v>Si</v>
      </c>
      <c r="AF49" s="152" t="str">
        <f>IFERROR(__xludf.DUMMYFUNCTION("""COMPUTED_VALUE"""),"Ejecutada")</f>
        <v>Ejecutada</v>
      </c>
      <c r="AG49" s="32" t="str">
        <f>IFERROR(__xludf.DUMMYFUNCTION("""COMPUTED_VALUE"""),"Sobre la materialización del riesgo
De acuerdo con el reporte del proceso, durante este monitoreo no se materializó el riesgo, manteniéndose la integridad y confiabilidad de la información académica administrada en el Sistema de Información SIAU.
Sobre "&amp;"las acciones de tratamiento del riesgo
Como acción de tratamiento, se realizó una sensibilización al equipo de trabajo de la Oficina de Admisiones, Registro y Control Académico sobre la importancia de la integridad de los datos en el Sistema de Informaci"&amp;"ón SIAU. Esta actividad se llevó a cabo el 10 de noviembre de 2025 y cuenta con acta de reunión como evidencia.
Sobre los controles
Se evidencia la aplicación de los controles definidos para el riesgo, en tanto la Oficina de Admisiones, Registro y Contr"&amp;"ol Académico verificó el cumplimiento de los requisitos por parte de los aspirantes a programas de pregrado y posgrado, conforme a las listas de chequeo y avales remitidos por las dependencias responsables, generando 12 oficios remitidos a la Secretaría G"&amp;"eneral como soporte de esta verificación.
Adicionalmente, se ejecutó la auditoría interna al proceso de cancelación de cursos, cancelación de semestre y modificación de notas, dejando evidencia en el mecanismo institucional dispuesto, lo cual contribuye "&amp;"al fortalecimiento del control y a la mitigación del riesgo identificado.")</f>
        <v>Sobre la materialización del riesgo
De acuerdo con el reporte del proceso, durante este monitoreo no se materializó el riesgo, manteniéndose la integridad y confiabilidad de la información académica administrada en el Sistema de Información SIAU.
Sobre las acciones de tratamiento del riesgo
Como acción de tratamiento, se realizó una sensibilización al equipo de trabajo de la Oficina de Admisiones, Registro y Control Académico sobre la importancia de la integridad de los datos en el Sistema de Información SIAU. Esta actividad se llevó a cabo el 10 de noviembre de 2025 y cuenta con acta de reunión como evidencia.
Sobre los controles
Se evidencia la aplicación de los controles definidos para el riesgo, en tanto la Oficina de Admisiones, Registro y Control Académico verificó el cumplimiento de los requisitos por parte de los aspirantes a programas de pregrado y posgrado, conforme a las listas de chequeo y avales remitidos por las dependencias responsables, generando 12 oficios remitidos a la Secretaría General como soporte de esta verificación.
Adicionalmente, se ejecutó la auditoría interna al proceso de cancelación de cursos, cancelación de semestre y modificación de notas, dejando evidencia en el mecanismo institucional dispuesto, lo cual contribuye al fortalecimiento del control y a la mitigación del riesgo identificado.</v>
      </c>
      <c r="AH49" s="150" t="str">
        <f>IFERROR(__xludf.DUMMYFUNCTION("""COMPUTED_VALUE"""),"31 de diciembre")</f>
        <v>31 de diciembre</v>
      </c>
      <c r="AI49" s="32" t="str">
        <f>IFERROR(__xludf.DUMMYFUNCTION("""COMPUTED_VALUE"""),"Si")</f>
        <v>Si</v>
      </c>
      <c r="AJ49" s="32" t="str">
        <f>IFERROR(__xludf.DUMMYFUNCTION("""COMPUTED_VALUE"""),"Si")</f>
        <v>Si</v>
      </c>
      <c r="AK49" s="32" t="str">
        <f>IFERROR(__xludf.DUMMYFUNCTION("""COMPUTED_VALUE"""),"Si")</f>
        <v>Si</v>
      </c>
      <c r="AL49" s="32" t="str">
        <f>IFERROR(__xludf.DUMMYFUNCTION("""COMPUTED_VALUE"""),"Si")</f>
        <v>Si</v>
      </c>
      <c r="AM49" s="32" t="str">
        <f>IFERROR(__xludf.DUMMYFUNCTION("""COMPUTED_VALUE"""),"Si")</f>
        <v>Si</v>
      </c>
      <c r="AN49" s="32" t="str">
        <f>IFERROR(__xludf.DUMMYFUNCTION("""COMPUTED_VALUE"""),"Si")</f>
        <v>Si</v>
      </c>
      <c r="AO49" s="32" t="str">
        <f>IFERROR(__xludf.DUMMYFUNCTION("""COMPUTED_VALUE"""),"Si")</f>
        <v>Si</v>
      </c>
      <c r="AP49" s="32" t="str">
        <f>IFERROR(__xludf.DUMMYFUNCTION("""COMPUTED_VALUE"""),"No")</f>
        <v>No</v>
      </c>
      <c r="AQ49" s="32" t="str">
        <f>IFERROR(__xludf.DUMMYFUNCTION("""COMPUTED_VALUE"""),"No")</f>
        <v>No</v>
      </c>
      <c r="AR49" s="32" t="str">
        <f>IFERROR(__xludf.DUMMYFUNCTION("""COMPUTED_VALUE"""),"No aplica")</f>
        <v>No aplica</v>
      </c>
      <c r="AS49" s="150" t="str">
        <f>IFERROR(__xludf.DUMMYFUNCTION("""COMPUTED_VALUE"""),"Se reiteran las recomendaciones realizadas en la evaluación del primer cuatrimestre:
*Fortalecer la descripción de los controles conforme a la metodología propuesta en la Guía para la Administración del Riesgo y el diseño de controles en entidades pública"&amp;"s Versión 4 de 2018, que propone los elementos que debe contemplar el diseño del control con relación a los riesgos de corrupción:
-Debe tener definido el responsable de llevar a cabo la actividad de control.
-Debe tener una periodicidad definida para su "&amp;"ejecución.
-Debe indicar cuál es el propósito del control.
-Debe establecer el cómo se realiza la actividad de control.
-Debe indicar qué pasa con las observaciones o desviaciones resultantes de ejecutar el control
-Debe dejar evidencia de la ejecución de"&amp;"l control.")</f>
        <v>Se reiteran las recomendaciones realizadas en la evaluación del primer cuatrimestre:
*Fortalecer la descripción de los controles conforme a la metodología propuesta en la Guía para la Administración del Riesgo y el diseño de controles en entidades públicas Versión 4 de 2018, que propone los elementos que debe contemplar el diseño del control con relación a los riesgos de corrupción:
-Debe tener definido el responsable de llevar a cabo la actividad de control.
-Debe tener una periodicidad definida para su ejecución.
-Debe indicar cuál es el propósito del control.
-Debe establecer el cómo se realiza la actividad de control.
-Debe indicar qué pasa con las observaciones o desviaciones resultantes de ejecutar el control
-Debe dejar evidencia de la ejecución del control.</v>
      </c>
      <c r="AT49" s="139"/>
    </row>
    <row r="50">
      <c r="A50" s="86"/>
      <c r="B50" s="73"/>
      <c r="C50" s="73"/>
      <c r="D50" s="144" t="str">
        <f>IFERROR(__xludf.DUMMYFUNCTION("""COMPUTED_VALUE"""),"Afectación económica y reputacional por pérdida de fiabilidad e integridad de la información del Centro de Idiomas, debido debilidades en la aplicación de controles en la gestión de la información")</f>
        <v>Afectación económica y reputacional por pérdida de fiabilidad e integridad de la información del Centro de Idiomas, debido debilidades en la aplicación de controles en la gestión de la información</v>
      </c>
      <c r="E50" s="144" t="str">
        <f>IFERROR(__xludf.DUMMYFUNCTION("""COMPUTED_VALUE"""),"Centro de Idiomas")</f>
        <v>Centro de Idiomas</v>
      </c>
      <c r="F50" s="144" t="str">
        <f>IFERROR(__xludf.DUMMYFUNCTION("""COMPUTED_VALUE"""),"Gestión")</f>
        <v>Gestión</v>
      </c>
      <c r="G50" s="144" t="str">
        <f>IFERROR(__xludf.DUMMYFUNCTION("""COMPUTED_VALUE"""),"- Controles ineficaces en la gestión de la información
- Carencia de mecanismos de copias de respaldo para garantizar recuperabilidad de la información
- Indebido cuidado profesional de las personas que administran o tienen acceso al sistema de informació"&amp;"n")</f>
        <v>- Controles ineficaces en la gestión de la información
- Carencia de mecanismos de copias de respaldo para garantizar recuperabilidad de la información
- Indebido cuidado profesional de las personas que administran o tienen acceso al sistema de información</v>
      </c>
      <c r="H50" s="144" t="str">
        <f>IFERROR(__xludf.DUMMYFUNCTION("""COMPUTED_VALUE"""),"1. Incumplimiento de requisitos legales o del cliente.
2. Generación de salidas no conformes.
3. Afectación a la imagen del Centro de idiomas
4. Reprocesos")</f>
        <v>1. Incumplimiento de requisitos legales o del cliente.
2. Generación de salidas no conformes.
3. Afectación a la imagen del Centro de idiomas
4. Reprocesos</v>
      </c>
      <c r="I50" s="145" t="str">
        <f>IFERROR(__xludf.DUMMYFUNCTION("""COMPUTED_VALUE"""),"DOC_04")</f>
        <v>DOC_04</v>
      </c>
      <c r="J50" s="145" t="str">
        <f>IFERROR(__xludf.DUMMYFUNCTION("""COMPUTED_VALUE"""),"Media")</f>
        <v>Media</v>
      </c>
      <c r="K50" s="145" t="str">
        <f>IFERROR(__xludf.DUMMYFUNCTION("""COMPUTED_VALUE"""),"Moderado")</f>
        <v>Moderado</v>
      </c>
      <c r="L50" s="145" t="str">
        <f>IFERROR(__xludf.DUMMYFUNCTION("""COMPUTED_VALUE"""),"Alta")</f>
        <v>Alta</v>
      </c>
      <c r="M50" s="144" t="str">
        <f>IFERROR(__xludf.DUMMYFUNCTION("""COMPUTED_VALUE"""),"- El personal de apoyo administrativo del Centro de Idiomas, realiza la verificación de la completitud de la información cargada por estudiantes externos matriculados
- El personal de apoyo administrativo del Centro de Idiomas, está realizando la migració"&amp;"n de la información de los usuarios internos y externos del Centro de Idiomas, al SIAU
- El personal de la oficina de Sistemas, programa la realización de back-up a la información del SIAU- La directora del Centro de idiomas, asigna actividades en cuanto "&amp;"a la administración de la información de los usuarios del Centro de Idiomas - El personal de apoyo administrativo del Centro de Idiomas, se acoje a lo dispuesto en el ""PT-DOC-01 Protocolo de respaldo y restauración de la información del Centro de Idiomas"&amp;"""")</f>
        <v>- El personal de apoyo administrativo del Centro de Idiomas, realiza la verificación de la completitud de la información cargada por estudiantes externos matriculados
- El personal de apoyo administrativo del Centro de Idiomas, está realizando la migración de la información de los usuarios internos y externos del Centro de Idiomas, al SIAU
- El personal de la oficina de Sistemas, programa la realización de back-up a la información del SIAU- La directora del Centro de idiomas, asigna actividades en cuanto a la administración de la información de los usuarios del Centro de Idiomas - El personal de apoyo administrativo del Centro de Idiomas, se acoje a lo dispuesto en el "PT-DOC-01 Protocolo de respaldo y restauración de la información del Centro de Idiomas"</v>
      </c>
      <c r="N50" s="145" t="str">
        <f>IFERROR(__xludf.DUMMYFUNCTION("""COMPUTED_VALUE"""),"Muy baja")</f>
        <v>Muy baja</v>
      </c>
      <c r="O50" s="145" t="str">
        <f>IFERROR(__xludf.DUMMYFUNCTION("""COMPUTED_VALUE"""),"Menor")</f>
        <v>Menor</v>
      </c>
      <c r="P50" s="145" t="str">
        <f>IFERROR(__xludf.DUMMYFUNCTION("""COMPUTED_VALUE"""),"Baja")</f>
        <v>Baja</v>
      </c>
      <c r="Q50" s="166" t="str">
        <f>IFERROR(__xludf.DUMMYFUNCTION("""COMPUTED_VALUE"""),"Aceptar")</f>
        <v>Aceptar</v>
      </c>
      <c r="R50" s="167" t="str">
        <f>IFERROR(__xludf.DUMMYFUNCTION("""COMPUTED_VALUE"""),"Realizar sensibilización al equipo de trabajo del Centro de Idiomas sobre los lineamientos de seguridad de la información")</f>
        <v>Realizar sensibilización al equipo de trabajo del Centro de Idiomas sobre los lineamientos de seguridad de la información</v>
      </c>
      <c r="S50" s="168" t="str">
        <f>IFERROR(__xludf.DUMMYFUNCTION("""COMPUTED_VALUE"""),"Semestral")</f>
        <v>Semestral</v>
      </c>
      <c r="T50" s="169" t="str">
        <f>IFERROR(__xludf.DUMMYFUNCTION("""COMPUTED_VALUE"""),"Director del Centro de Idiomas")</f>
        <v>Director del Centro de Idiomas</v>
      </c>
      <c r="U50" s="169" t="str">
        <f>IFERROR(__xludf.DUMMYFUNCTION("""COMPUTED_VALUE"""),"Acta de reunión")</f>
        <v>Acta de reunión</v>
      </c>
      <c r="V50" s="169" t="str">
        <f>IFERROR(__xludf.DUMMYFUNCTION("""COMPUTED_VALUE"""),"Revisión de la trazabilidad y recuperación de la información, a través de los diferentes medios disponibles")</f>
        <v>Revisión de la trazabilidad y recuperación de la información, a través de los diferentes medios disponibles</v>
      </c>
      <c r="W50" s="169" t="str">
        <f>IFERROR(__xludf.DUMMYFUNCTION("""COMPUTED_VALUE"""),"Información recuperada y disponible en el Sistema de Información")</f>
        <v>Información recuperada y disponible en el Sistema de Información</v>
      </c>
      <c r="X50" s="169" t="str">
        <f>IFERROR(__xludf.DUMMYFUNCTION("""COMPUTED_VALUE"""),"Director Centro de Idiomas - 
Jefe oficina de sistemas")</f>
        <v>Director Centro de Idiomas - 
Jefe oficina de sistemas</v>
      </c>
      <c r="Y50" s="169" t="str">
        <f>IFERROR(__xludf.DUMMYFUNCTION("""COMPUTED_VALUE"""),"15 días")</f>
        <v>15 días</v>
      </c>
      <c r="Z50" s="150" t="str">
        <f>IFERROR(__xludf.DUMMYFUNCTION("""COMPUTED_VALUE"""),"30 de abril")</f>
        <v>30 de abril</v>
      </c>
      <c r="AA50" s="32" t="str">
        <f>IFERROR(__xludf.DUMMYFUNCTION("""COMPUTED_VALUE"""),"18 de marzo del 2025")</f>
        <v>18 de marzo del 2025</v>
      </c>
      <c r="AB50" s="150" t="str">
        <f>IFERROR(__xludf.DUMMYFUNCTION("""COMPUTED_VALUE"""),"Durante este periodo, se continuaron con los controles establecidos. El personal de apoyo en sistemas, a través del acta N° 02 del 03 de febrero de 2025, realizó una socialización ante los colaboradores del Centro de Idiomas sobre el proceso de aprobación"&amp;" de documentos de matrícula. Posteriormente, en el proceso, el personal administrativo verificó la completitud de la información cargada por los estudiantes externos matriculados y realizó la migración de la información de los usuarios internos y externos"&amp;" al sistema de recolección del Centro de Idiomas.
Respecto a la acción de mejora o control propuesta, el personal de apoyo en sistemas llevó a cabo una sensibilización con el equipo de trabajo del Centro de Idiomas sobre los lineamientos de seguridad de "&amp;"la información establecidos en el ""PT-DOC-01 Protocolo de respaldo y restauración de la información"". Esto se realizó conforme al acta N° 13 del 18 de marzo de 2025, donde se socializó con los funcionarios del Centro de Idiomas el protocolo para la crea"&amp;"ción de respaldos y restauración de la información, y se aprobó el cronograma de copias de seguridad para 2025.
En cuanto a la acción de contingencia, revisión de trazabilidad y recuperación de la información, no se ejecutó, ya que el riesgo no se materi"&amp;"alizó.")</f>
        <v>Durante este periodo, se continuaron con los controles establecidos. El personal de apoyo en sistemas, a través del acta N° 02 del 03 de febrero de 2025, realizó una socialización ante los colaboradores del Centro de Idiomas sobre el proceso de aprobación de documentos de matrícula. Posteriormente, en el proceso, el personal administrativo verificó la completitud de la información cargada por los estudiantes externos matriculados y realizó la migración de la información de los usuarios internos y externos al sistema de recolección del Centro de Idiomas.
Respecto a la acción de mejora o control propuesta, el personal de apoyo en sistemas llevó a cabo una sensibilización con el equipo de trabajo del Centro de Idiomas sobre los lineamientos de seguridad de la información establecidos en el "PT-DOC-01 Protocolo de respaldo y restauración de la información". Esto se realizó conforme al acta N° 13 del 18 de marzo de 2025, donde se socializó con los funcionarios del Centro de Idiomas el protocolo para la creación de respaldos y restauración de la información, y se aprobó el cronograma de copias de seguridad para 2025.
En cuanto a la acción de contingencia, revisión de trazabilidad y recuperación de la información, no se ejecutó, ya que el riesgo no se materializó.</v>
      </c>
      <c r="AC50" s="152" t="str">
        <f>IFERROR(__xludf.DUMMYFUNCTION("""COMPUTED_VALUE"""),"Dirección centro de idiomas")</f>
        <v>Dirección centro de idiomas</v>
      </c>
      <c r="AD50" s="153" t="str">
        <f>IFERROR(__xludf.DUMMYFUNCTION("""COMPUTED_VALUE"""),"Evidencia")</f>
        <v>Evidencia</v>
      </c>
      <c r="AE50" s="150" t="str">
        <f>IFERROR(__xludf.DUMMYFUNCTION("""COMPUTED_VALUE"""),"Si")</f>
        <v>Si</v>
      </c>
      <c r="AF50" s="150" t="str">
        <f>IFERROR(__xludf.DUMMYFUNCTION("""COMPUTED_VALUE"""),"En proceso")</f>
        <v>En proceso</v>
      </c>
      <c r="AG50" s="32" t="str">
        <f>IFERROR(__xludf.DUMMYFUNCTION("""COMPUTED_VALUE"""),"Se evidencia que la dependencia genera reporte sobre la no materialización del riesgo. 
Sobre los controles: 
Se evidencia el reporte oportuno de las acciones de control establecidas para este primer corte de monitoreo, se evidencia el reporte de verifi"&amp;"cación oportuna de la completitud de la información cargada por estudiantes externos matriculados, tambien sobre la migración de usuario sinternos y externos en la plataforma SIAU, asi como tambien el diligenciamiento y la adopción del protocolo de respal"&amp;"do y restauración de la información del centro de idiomas. La información reportada es oportuna al corte del presente monitoreo. 
Sobre las acciones de tratamiento: 
Se evidencia el reporte adecuado a traves de acta de reunión, en donde se sensibilizó a"&amp;"l equipo de trabajo del centro de idiomas sobre los lineamientos de seguridad de la información, actividad semestral se evidencia el primer avance para este primer corte de monitoreo, actividad en proceso. ")</f>
        <v>Se evidencia que la dependencia genera reporte sobre la no materialización del riesgo. 
Sobre los controles: 
Se evidencia el reporte oportuno de las acciones de control establecidas para este primer corte de monitoreo, se evidencia el reporte de verificación oportuna de la completitud de la información cargada por estudiantes externos matriculados, tambien sobre la migración de usuario sinternos y externos en la plataforma SIAU, asi como tambien el diligenciamiento y la adopción del protocolo de respaldo y restauración de la información del centro de idiomas. La información reportada es oportuna al corte del presente monitoreo. 
Sobre las acciones de tratamiento: 
Se evidencia el reporte adecuado a traves de acta de reunión, en donde se sensibilizó al equipo de trabajo del centro de idiomas sobre los lineamientos de seguridad de la información, actividad semestral se evidencia el primer avance para este primer corte de monitoreo, actividad en proceso. </v>
      </c>
      <c r="AH50" s="150" t="str">
        <f>IFERROR(__xludf.DUMMYFUNCTION("""COMPUTED_VALUE"""),"30 de abril")</f>
        <v>30 de abril</v>
      </c>
      <c r="AI50" s="32" t="str">
        <f>IFERROR(__xludf.DUMMYFUNCTION("""COMPUTED_VALUE"""),"Si")</f>
        <v>Si</v>
      </c>
      <c r="AJ50" s="32" t="str">
        <f>IFERROR(__xludf.DUMMYFUNCTION("""COMPUTED_VALUE"""),"Si")</f>
        <v>Si</v>
      </c>
      <c r="AK50" s="32" t="str">
        <f>IFERROR(__xludf.DUMMYFUNCTION("""COMPUTED_VALUE"""),"Si")</f>
        <v>Si</v>
      </c>
      <c r="AL50" s="32" t="str">
        <f>IFERROR(__xludf.DUMMYFUNCTION("""COMPUTED_VALUE"""),"Si")</f>
        <v>Si</v>
      </c>
      <c r="AM50" s="32" t="str">
        <f>IFERROR(__xludf.DUMMYFUNCTION("""COMPUTED_VALUE"""),"Si")</f>
        <v>Si</v>
      </c>
      <c r="AN50" s="32" t="str">
        <f>IFERROR(__xludf.DUMMYFUNCTION("""COMPUTED_VALUE"""),"Si")</f>
        <v>Si</v>
      </c>
      <c r="AO50" s="32" t="str">
        <f>IFERROR(__xludf.DUMMYFUNCTION("""COMPUTED_VALUE"""),"Si")</f>
        <v>Si</v>
      </c>
      <c r="AP50" s="32" t="str">
        <f>IFERROR(__xludf.DUMMYFUNCTION("""COMPUTED_VALUE"""),"No aplica")</f>
        <v>No aplica</v>
      </c>
      <c r="AQ50" s="32" t="str">
        <f>IFERROR(__xludf.DUMMYFUNCTION("""COMPUTED_VALUE"""),"No aplica")</f>
        <v>No aplica</v>
      </c>
      <c r="AR50" s="32" t="str">
        <f>IFERROR(__xludf.DUMMYFUNCTION("""COMPUTED_VALUE"""),"No aplica")</f>
        <v>No aplica</v>
      </c>
      <c r="AS50" s="150" t="str">
        <f>IFERROR(__xludf.DUMMYFUNCTION("""COMPUTED_VALUE"""),"Recomendación: 
*Evaluar la opción de manejo del riesgo considerando lo establecido en la Politica de Riesgos de la Universidad que indica que, en os casos en el que el riesgo residual resulte en un nivel Bajo, su acción de tratamiento es ""Aceptar"".
*F"&amp;"ortalecer la descripción de los controles conforme a la metodología propuesta en la Guía para la Administración del Riesgo y el diseño de controles en entidades públicas Versión 6, que propone los elementos que debe contemplar el diseño del control, como "&amp;"son: 
Responsable de ejecutar el control: identifica el cargo del servidor que ejecuta el control, en caso de que sean controles automáticos se identificará el sistema que realiza la actividad. 
Acción: se determina mediante verbos que indican la acción q"&amp;"ue deben realizar como parte del control (ejemplos de verbos que indican control: Verificar, autorizar validar, regular, dirigir, guiar, supervisar, manejar, prohibir, permitir). 
Complemento: corresponde a los detalles que permiten identificar claramente"&amp;" el objeto del control. ")</f>
        <v>Recomendación: 
*Evaluar la opción de manejo del riesgo considerando lo establecido en la Politica de Riesgos de la Universidad que indica que, en os casos en el que el riesgo residual resulte en un nivel Bajo, su acción de tratamiento es "Aceptar".
*Fortalecer la descripción de los controles conforme a la metodología propuesta en la Guía para la Administración del Riesgo y el diseño de controles en entidades públicas Versión 6, que propone los elementos que debe contemplar el diseño del control, como son: 
Responsable de ejecutar el control: identifica el cargo del servidor que ejecuta el control, en caso de que sean controles automáticos se identificará el sistema que realiza la actividad. 
Acción: se determina mediante verbos que indican la acción que deben realizar como parte del control (ejemplos de verbos que indican control: Verificar, autorizar validar, regular, dirigir, guiar, supervisar, manejar, prohibir, permitir). 
Complemento: corresponde a los detalles que permiten identificar claramente el objeto del control. </v>
      </c>
      <c r="AT50" s="139"/>
    </row>
    <row r="51">
      <c r="A51" s="86"/>
      <c r="B51" s="73"/>
      <c r="C51" s="73"/>
      <c r="D51" s="156"/>
      <c r="E51" s="156"/>
      <c r="F51" s="156"/>
      <c r="G51" s="156"/>
      <c r="H51" s="156"/>
      <c r="I51" s="156"/>
      <c r="J51" s="156"/>
      <c r="K51" s="156"/>
      <c r="L51" s="156"/>
      <c r="M51" s="156"/>
      <c r="N51" s="156"/>
      <c r="O51" s="156"/>
      <c r="P51" s="156"/>
      <c r="Q51" s="156"/>
      <c r="R51" s="167" t="str">
        <f>IFERROR(__xludf.DUMMYFUNCTION("""COMPUTED_VALUE"""),"")</f>
        <v/>
      </c>
      <c r="S51" s="168" t="str">
        <f>IFERROR(__xludf.DUMMYFUNCTION("""COMPUTED_VALUE"""),"")</f>
        <v/>
      </c>
      <c r="T51" s="169"/>
      <c r="U51" s="169"/>
      <c r="V51" s="94"/>
      <c r="W51" s="94"/>
      <c r="X51" s="94"/>
      <c r="Y51" s="94"/>
      <c r="Z51" s="150" t="str">
        <f>IFERROR(__xludf.DUMMYFUNCTION("""COMPUTED_VALUE"""),"30 de agosto")</f>
        <v>30 de agosto</v>
      </c>
      <c r="AA51" s="32" t="str">
        <f>IFERROR(__xludf.DUMMYFUNCTION("""COMPUTED_VALUE"""),"27 de agosto del 2025")</f>
        <v>27 de agosto del 2025</v>
      </c>
      <c r="AB51" s="150" t="str">
        <f>IFERROR(__xludf.DUMMYFUNCTION("""COMPUTED_VALUE"""),"En el periodo reportado se mantuvieron los controles establecidos. El personal administrativo verificó y migró la información de estudiantes externos e internos al sistema del Centro de Idiomas, mientras que el personal de apoyo en sistemas, según el Acta"&amp;" N.° 23 del 18 de julio de 2025, socializó con los colaboradores el proceso de aprobación de documentos de matrícula.
Asimismo, mediante el Acta N.° 34 del 27 de agosto de 2025, se realizó la socialización de la versión 2 del “PT-DOC-01 Protocolo de resp"&amp;"aldo y restauración de la información”, donde se explicaron los cambios realizados y se dio a conocer el calendario aprobado para las copias de seguridad de 2025.
La acción de contingencia de revisión de trazabilidad y recuperación de información no se e"&amp;"jecutó, ya que el riesgo no se materializó.
")</f>
        <v>En el periodo reportado se mantuvieron los controles establecidos. El personal administrativo verificó y migró la información de estudiantes externos e internos al sistema del Centro de Idiomas, mientras que el personal de apoyo en sistemas, según el Acta N.° 23 del 18 de julio de 2025, socializó con los colaboradores el proceso de aprobación de documentos de matrícula.
Asimismo, mediante el Acta N.° 34 del 27 de agosto de 2025, se realizó la socialización de la versión 2 del “PT-DOC-01 Protocolo de respaldo y restauración de la información”, donde se explicaron los cambios realizados y se dio a conocer el calendario aprobado para las copias de seguridad de 2025.
La acción de contingencia de revisión de trazabilidad y recuperación de información no se ejecutó, ya que el riesgo no se materializó.
</v>
      </c>
      <c r="AC51" s="152" t="str">
        <f>IFERROR(__xludf.DUMMYFUNCTION("""COMPUTED_VALUE"""),"Dirección centro de idiomas")</f>
        <v>Dirección centro de idiomas</v>
      </c>
      <c r="AD51" s="153" t="str">
        <f>IFERROR(__xludf.DUMMYFUNCTION("""COMPUTED_VALUE"""),"Evidencia")</f>
        <v>Evidencia</v>
      </c>
      <c r="AE51" s="150" t="str">
        <f>IFERROR(__xludf.DUMMYFUNCTION("""COMPUTED_VALUE"""),"Si")</f>
        <v>Si</v>
      </c>
      <c r="AF51" s="152" t="str">
        <f>IFERROR(__xludf.DUMMYFUNCTION("""COMPUTED_VALUE"""),"En proceso")</f>
        <v>En proceso</v>
      </c>
      <c r="AG51" s="32" t="str">
        <f>IFERROR(__xludf.DUMMYFUNCTION("""COMPUTED_VALUE"""),"Se evidencia que la dependencia genera reporte sobre la NO materialización del riesgo.
Sobre los controles:
De acuerdo con lo informado por el proceso, se mantuvieron activos los controles establecidos. Se evidencia la verificación y migración de la info"&amp;"rmación de estudiantes internos y externos al sistema del Centro de Idiomas por parte del personal administrativo. Así mismo, según el Acta N.° 23 del 18 de julio de 2025, el personal de apoyo en sistemas realizó la socialización con los colaboradores res"&amp;"pecto al proceso de aprobación de documentos de matrícula.
Adicionalmente, mediante el Acta N.° 34 del 27 de agosto de 2025, se reporta la socialización de la versión 2 del “PT-DOC-01 Protocolo de respaldo y restauración de la información”, en la cual se "&amp;"explicaron los ajustes realizados y se presentó el calendario aprobado para las copias de seguridad de la vigencia 2025.
Sobre las acciones de tratamiento:
Se registra que no fue necesario ejecutar la acción de contingencia de revisión de trazabilidad y "&amp;"recuperación de información, dado que el riesgo no se materializó.")</f>
        <v>Se evidencia que la dependencia genera reporte sobre la NO materialización del riesgo.
Sobre los controles:
De acuerdo con lo informado por el proceso, se mantuvieron activos los controles establecidos. Se evidencia la verificación y migración de la información de estudiantes internos y externos al sistema del Centro de Idiomas por parte del personal administrativo. Así mismo, según el Acta N.° 23 del 18 de julio de 2025, el personal de apoyo en sistemas realizó la socialización con los colaboradores respecto al proceso de aprobación de documentos de matrícula.
Adicionalmente, mediante el Acta N.° 34 del 27 de agosto de 2025, se reporta la socialización de la versión 2 del “PT-DOC-01 Protocolo de respaldo y restauración de la información”, en la cual se explicaron los ajustes realizados y se presentó el calendario aprobado para las copias de seguridad de la vigencia 2025.
Sobre las acciones de tratamiento:
Se registra que no fue necesario ejecutar la acción de contingencia de revisión de trazabilidad y recuperación de información, dado que el riesgo no se materializó.</v>
      </c>
      <c r="AH51" s="150" t="str">
        <f>IFERROR(__xludf.DUMMYFUNCTION("""COMPUTED_VALUE"""),"31 de agosto")</f>
        <v>31 de agosto</v>
      </c>
      <c r="AI51" s="32" t="str">
        <f>IFERROR(__xludf.DUMMYFUNCTION("""COMPUTED_VALUE"""),"Si")</f>
        <v>Si</v>
      </c>
      <c r="AJ51" s="32" t="str">
        <f>IFERROR(__xludf.DUMMYFUNCTION("""COMPUTED_VALUE"""),"Si")</f>
        <v>Si</v>
      </c>
      <c r="AK51" s="32" t="str">
        <f>IFERROR(__xludf.DUMMYFUNCTION("""COMPUTED_VALUE"""),"Si")</f>
        <v>Si</v>
      </c>
      <c r="AL51" s="32" t="str">
        <f>IFERROR(__xludf.DUMMYFUNCTION("""COMPUTED_VALUE"""),"Si")</f>
        <v>Si</v>
      </c>
      <c r="AM51" s="32" t="str">
        <f>IFERROR(__xludf.DUMMYFUNCTION("""COMPUTED_VALUE"""),"Si")</f>
        <v>Si</v>
      </c>
      <c r="AN51" s="32" t="str">
        <f>IFERROR(__xludf.DUMMYFUNCTION("""COMPUTED_VALUE"""),"Si")</f>
        <v>Si</v>
      </c>
      <c r="AO51" s="32" t="str">
        <f>IFERROR(__xludf.DUMMYFUNCTION("""COMPUTED_VALUE"""),"Si")</f>
        <v>Si</v>
      </c>
      <c r="AP51" s="32" t="str">
        <f>IFERROR(__xludf.DUMMYFUNCTION("""COMPUTED_VALUE"""),"No aplica")</f>
        <v>No aplica</v>
      </c>
      <c r="AQ51" s="32" t="str">
        <f>IFERROR(__xludf.DUMMYFUNCTION("""COMPUTED_VALUE"""),"No aplica")</f>
        <v>No aplica</v>
      </c>
      <c r="AR51" s="32" t="str">
        <f>IFERROR(__xludf.DUMMYFUNCTION("""COMPUTED_VALUE"""),"No aplica")</f>
        <v>No aplica</v>
      </c>
      <c r="AS51" s="150" t="str">
        <f>IFERROR(__xludf.DUMMYFUNCTION("""COMPUTED_VALUE"""),"Se evidencia ajuste en la opción de manejo del riesgo.
Se reitera recomendación realizada en la evaluación del primer cuatrimestre: 
*Fortalecer la descripción de los controles conforme a la metodología propuesta en la Guía para la Administración del Rie"&amp;"sgo y el diseño de controles en entidades públicas Versión 6, que propone los elementos que debe contemplar el diseño del control, como son: 
Responsable de ejecutar el control: identifica el cargo del servidor que ejecuta el control, en caso de que sean "&amp;"controles automáticos se identificará el sistema que realiza la actividad. 
Acción: se determina mediante verbos que indican la acción que deben realizar como parte del control (ejemplos de verbos que indican control: Verificar, autorizar validar, regular"&amp;", dirigir, guiar, supervisar, manejar, prohibir, permitir). 
Complemento: corresponde a los detalles que permiten identificar claramente el objeto del control. ")</f>
        <v>Se evidencia ajuste en la opción de manejo del riesgo.
Se reitera recomendación realizada en la evaluación del primer cuatrimestre: 
*Fortalecer la descripción de los controles conforme a la metodología propuesta en la Guía para la Administración del Riesgo y el diseño de controles en entidades públicas Versión 6, que propone los elementos que debe contemplar el diseño del control, como son: 
Responsable de ejecutar el control: identifica el cargo del servidor que ejecuta el control, en caso de que sean controles automáticos se identificará el sistema que realiza la actividad. 
Acción: se determina mediante verbos que indican la acción que deben realizar como parte del control (ejemplos de verbos que indican control: Verificar, autorizar validar, regular, dirigir, guiar, supervisar, manejar, prohibir, permitir). 
Complemento: corresponde a los detalles que permiten identificar claramente el objeto del control. </v>
      </c>
      <c r="AT51" s="139"/>
    </row>
    <row r="52">
      <c r="A52" s="86"/>
      <c r="B52" s="73"/>
      <c r="C52" s="73"/>
      <c r="D52" s="119"/>
      <c r="E52" s="119"/>
      <c r="F52" s="119"/>
      <c r="G52" s="119"/>
      <c r="H52" s="119"/>
      <c r="I52" s="119"/>
      <c r="J52" s="119"/>
      <c r="K52" s="119"/>
      <c r="L52" s="119"/>
      <c r="M52" s="119"/>
      <c r="N52" s="119"/>
      <c r="O52" s="119"/>
      <c r="P52" s="119"/>
      <c r="Q52" s="119"/>
      <c r="R52" s="167" t="str">
        <f>IFERROR(__xludf.DUMMYFUNCTION("""COMPUTED_VALUE"""),"")</f>
        <v/>
      </c>
      <c r="S52" s="174" t="str">
        <f>IFERROR(__xludf.DUMMYFUNCTION("""COMPUTED_VALUE"""),"")</f>
        <v/>
      </c>
      <c r="T52" s="175"/>
      <c r="U52" s="175"/>
      <c r="V52" s="98"/>
      <c r="W52" s="98"/>
      <c r="X52" s="98"/>
      <c r="Y52" s="98"/>
      <c r="Z52" s="150" t="str">
        <f>IFERROR(__xludf.DUMMYFUNCTION("""COMPUTED_VALUE"""),"30 de diciembre")</f>
        <v>30 de diciembre</v>
      </c>
      <c r="AA52" s="32" t="str">
        <f>IFERROR(__xludf.DUMMYFUNCTION("""COMPUTED_VALUE"""),"28 de noviembre del 2025")</f>
        <v>28 de noviembre del 2025</v>
      </c>
      <c r="AB52" s="150" t="str">
        <f>IFERROR(__xludf.DUMMYFUNCTION("""COMPUTED_VALUE"""),"Durante este periodo, se mantuvieron los controles establecidos. El personal de apoyo administrativo continuó con la verificación y migración de la información de los estudiantes, tanto internos como externos, al sistema del Centro de Idiomas, en una nuev"&amp;"a base de datos denominada ""Soportes de Matricula"". En este proceso, el equipo de sistemas se encargó de la conservación total y seguridad de los datos, así como de la realización de respaldos de acuerdo con los criterios establecidos en el PT-DOC-01, P"&amp;"rotocolo de Respaldo y Restauración de la Información.
No se llevó a cabo la acción asociada al tratamiento, ya que se realizó una sensibilización el 7 de agosto de 2025, garantizando que el personal estuviera adecuadamente informado sobre el protocolo.
"&amp;"
En cuanto a la acción de contingencia, revisión de trazabilidad y recuperación de la información, no se ejecutó, ya que el riesgo no se materializó.")</f>
        <v>Durante este periodo, se mantuvieron los controles establecidos. El personal de apoyo administrativo continuó con la verificación y migración de la información de los estudiantes, tanto internos como externos, al sistema del Centro de Idiomas, en una nueva base de datos denominada "Soportes de Matricula". En este proceso, el equipo de sistemas se encargó de la conservación total y seguridad de los datos, así como de la realización de respaldos de acuerdo con los criterios establecidos en el PT-DOC-01, Protocolo de Respaldo y Restauración de la Información.
No se llevó a cabo la acción asociada al tratamiento, ya que se realizó una sensibilización el 7 de agosto de 2025, garantizando que el personal estuviera adecuadamente informado sobre el protocolo.
En cuanto a la acción de contingencia, revisión de trazabilidad y recuperación de la información, no se ejecutó, ya que el riesgo no se materializó.</v>
      </c>
      <c r="AC52" s="152" t="str">
        <f>IFERROR(__xludf.DUMMYFUNCTION("""COMPUTED_VALUE"""),"Dirección centro de idiomas")</f>
        <v>Dirección centro de idiomas</v>
      </c>
      <c r="AD52" s="153" t="str">
        <f>IFERROR(__xludf.DUMMYFUNCTION("""COMPUTED_VALUE"""),"Evidencia")</f>
        <v>Evidencia</v>
      </c>
      <c r="AE52" s="150" t="str">
        <f>IFERROR(__xludf.DUMMYFUNCTION("""COMPUTED_VALUE"""),"Si")</f>
        <v>Si</v>
      </c>
      <c r="AF52" s="152" t="str">
        <f>IFERROR(__xludf.DUMMYFUNCTION("""COMPUTED_VALUE"""),"Ejecutada")</f>
        <v>Ejecutada</v>
      </c>
      <c r="AG52" s="32" t="str">
        <f>IFERROR(__xludf.DUMMYFUNCTION("""COMPUTED_VALUE"""),"Sobre la materialización del riesgo
De acuerdo con el reporte del proceso, durante este periodo no se materializó el riesgo, dado que se mantuvieron los controles establecidos para la gestión, respaldo y conservación de la información del Centro de Idiom"&amp;"as.
Sobre las acciones de tratamiento del riesgo
Durante el periodo evaluado no se ejecutaron acciones adicionales de tratamiento del riesgo, en tanto la sensibilización al personal sobre el protocolo de respaldo y restauración de la información fue rea"&amp;"lizada el 7 de agosto de 2025, garantizando que el equipo contara con el conocimiento necesario para la correcta aplicación de los lineamientos definidos.
Sobre los controles
Se evidencia la aplicación y continuidad de los controles definidos, en la med"&amp;"ida en que el personal de apoyo administrativo realizó la verificación y migración de la información de los estudiantes internos y externos al sistema del Centro de Idiomas, consolidando una nueva base de datos denominada “Soportes de Matrícula”.
Adicion"&amp;"almente, el equipo de sistemas fue responsable de la conservación, seguridad y respaldo de la información, efectuando las copias de seguridad conforme a los criterios establecidos en el PT-DOC-01 – Protocolo de Respaldo y Restauración de la Información, l"&amp;"o cual contribuye a la mitigación del riesgo y a la protección de la información institucional.")</f>
        <v>Sobre la materialización del riesgo
De acuerdo con el reporte del proceso, durante este periodo no se materializó el riesgo, dado que se mantuvieron los controles establecidos para la gestión, respaldo y conservación de la información del Centro de Idiomas.
Sobre las acciones de tratamiento del riesgo
Durante el periodo evaluado no se ejecutaron acciones adicionales de tratamiento del riesgo, en tanto la sensibilización al personal sobre el protocolo de respaldo y restauración de la información fue realizada el 7 de agosto de 2025, garantizando que el equipo contara con el conocimiento necesario para la correcta aplicación de los lineamientos definidos.
Sobre los controles
Se evidencia la aplicación y continuidad de los controles definidos, en la medida en que el personal de apoyo administrativo realizó la verificación y migración de la información de los estudiantes internos y externos al sistema del Centro de Idiomas, consolidando una nueva base de datos denominada “Soportes de Matrícula”.
Adicionalmente, el equipo de sistemas fue responsable de la conservación, seguridad y respaldo de la información, efectuando las copias de seguridad conforme a los criterios establecidos en el PT-DOC-01 – Protocolo de Respaldo y Restauración de la Información, lo cual contribuye a la mitigación del riesgo y a la protección de la información institucional.</v>
      </c>
      <c r="AH52" s="150" t="str">
        <f>IFERROR(__xludf.DUMMYFUNCTION("""COMPUTED_VALUE"""),"31 de diciembre")</f>
        <v>31 de diciembre</v>
      </c>
      <c r="AI52" s="32" t="str">
        <f>IFERROR(__xludf.DUMMYFUNCTION("""COMPUTED_VALUE"""),"Si")</f>
        <v>Si</v>
      </c>
      <c r="AJ52" s="32" t="str">
        <f>IFERROR(__xludf.DUMMYFUNCTION("""COMPUTED_VALUE"""),"Si")</f>
        <v>Si</v>
      </c>
      <c r="AK52" s="32" t="str">
        <f>IFERROR(__xludf.DUMMYFUNCTION("""COMPUTED_VALUE"""),"Si")</f>
        <v>Si</v>
      </c>
      <c r="AL52" s="32" t="str">
        <f>IFERROR(__xludf.DUMMYFUNCTION("""COMPUTED_VALUE"""),"Si")</f>
        <v>Si</v>
      </c>
      <c r="AM52" s="32" t="str">
        <f>IFERROR(__xludf.DUMMYFUNCTION("""COMPUTED_VALUE"""),"Si")</f>
        <v>Si</v>
      </c>
      <c r="AN52" s="32" t="str">
        <f>IFERROR(__xludf.DUMMYFUNCTION("""COMPUTED_VALUE"""),"Si")</f>
        <v>Si</v>
      </c>
      <c r="AO52" s="32" t="str">
        <f>IFERROR(__xludf.DUMMYFUNCTION("""COMPUTED_VALUE"""),"Si")</f>
        <v>Si</v>
      </c>
      <c r="AP52" s="32" t="str">
        <f>IFERROR(__xludf.DUMMYFUNCTION("""COMPUTED_VALUE"""),"No aplica")</f>
        <v>No aplica</v>
      </c>
      <c r="AQ52" s="32" t="str">
        <f>IFERROR(__xludf.DUMMYFUNCTION("""COMPUTED_VALUE"""),"No aplica")</f>
        <v>No aplica</v>
      </c>
      <c r="AR52" s="32" t="str">
        <f>IFERROR(__xludf.DUMMYFUNCTION("""COMPUTED_VALUE"""),"No aplica")</f>
        <v>No aplica</v>
      </c>
      <c r="AS52" s="150" t="str">
        <f>IFERROR(__xludf.DUMMYFUNCTION("""COMPUTED_VALUE"""),"Se evidencia ajuste en la opción de manejo del riesgo.
Se reitera recomendación realizada en la evaluación del primer y segundo cuatrimestre: 
*Fortalecer la descripción de los controles conforme a la metodología propuesta en la Guía para la Administraci"&amp;"ón del Riesgo y el diseño de controles en entidades públicas Versión 6, que propone los elementos que debe contemplar el diseño del control, como son: 
Responsable de ejecutar el control: identifica el cargo del servidor que ejecuta el control, en caso de"&amp;" que sean controles automáticos se identificará el sistema que realiza la actividad. 
Acción: se determina mediante verbos que indican la acción que deben realizar como parte del control (ejemplos de verbos que indican control: Verificar, autorizar valida"&amp;"r, regular, dirigir, guiar, supervisar, manejar, prohibir, permitir). 
Complemento: corresponde a los detalles que permiten identificar claramente el objeto del control. ")</f>
        <v>Se evidencia ajuste en la opción de manejo del riesgo.
Se reitera recomendación realizada en la evaluación del primer y segundo cuatrimestre: 
*Fortalecer la descripción de los controles conforme a la metodología propuesta en la Guía para la Administración del Riesgo y el diseño de controles en entidades públicas Versión 6, que propone los elementos que debe contemplar el diseño del control, como son: 
Responsable de ejecutar el control: identifica el cargo del servidor que ejecuta el control, en caso de que sean controles automáticos se identificará el sistema que realiza la actividad. 
Acción: se determina mediante verbos que indican la acción que deben realizar como parte del control (ejemplos de verbos que indican control: Verificar, autorizar validar, regular, dirigir, guiar, supervisar, manejar, prohibir, permitir). 
Complemento: corresponde a los detalles que permiten identificar claramente el objeto del control. </v>
      </c>
      <c r="AT52" s="139"/>
    </row>
    <row r="53">
      <c r="A53" s="86"/>
      <c r="B53" s="73"/>
      <c r="C53" s="73"/>
      <c r="D53" s="143" t="str">
        <f>IFERROR(__xludf.DUMMYFUNCTION("""COMPUTED_VALUE"""),"Afectación económica y reputacional debido a interrupción en la prestación de los servicios a usuarios internos y externos, debido a alteraciones de orden público o diferencias en el calendario académico del Centro de Idiomas respecto al calendario académ"&amp;"ico de los programas de pregrado.")</f>
        <v>Afectación económica y reputacional debido a interrupción en la prestación de los servicios a usuarios internos y externos, debido a alteraciones de orden público o diferencias en el calendario académico del Centro de Idiomas respecto al calendario académico de los programas de pregrado.</v>
      </c>
      <c r="E53" s="144" t="str">
        <f>IFERROR(__xludf.DUMMYFUNCTION("""COMPUTED_VALUE"""),"Centro de Idiomas")</f>
        <v>Centro de Idiomas</v>
      </c>
      <c r="F53" s="144" t="str">
        <f>IFERROR(__xludf.DUMMYFUNCTION("""COMPUTED_VALUE"""),"Gestión")</f>
        <v>Gestión</v>
      </c>
      <c r="G53" s="144" t="str">
        <f>IFERROR(__xludf.DUMMYFUNCTION("""COMPUTED_VALUE"""),"- Debilidades en la normatividad interna, que regule la prestación de los servicios del Centro de Idiomas, para estudiantes BULL
- Diferencias en el calendario académico del Centro de Idiomas respecto al calendario académico de los programas de pregrado, "&amp;"lo cual genera insuficiencia de personal académico administrativo
- Infraestructura física insuficiente para la prestación del servicio")</f>
        <v>- Debilidades en la normatividad interna, que regule la prestación de los servicios del Centro de Idiomas, para estudiantes BULL
- Diferencias en el calendario académico del Centro de Idiomas respecto al calendario académico de los programas de pregrado, lo cual genera insuficiencia de personal académico administrativo
- Infraestructura física insuficiente para la prestación del servicio</v>
      </c>
      <c r="H53" s="144" t="str">
        <f>IFERROR(__xludf.DUMMYFUNCTION("""COMPUTED_VALUE"""),"1. Retrasos en el calendario académico
2. Afectación a los usuarios
3. Descenso en la cantidad de usuarios externos
4. Detrimentro patrimonial
5. Baja satisfacción de los usuarios, especialmente los externos")</f>
        <v>1. Retrasos en el calendario académico
2. Afectación a los usuarios
3. Descenso en la cantidad de usuarios externos
4. Detrimentro patrimonial
5. Baja satisfacción de los usuarios, especialmente los externos</v>
      </c>
      <c r="I53" s="145" t="str">
        <f>IFERROR(__xludf.DUMMYFUNCTION("""COMPUTED_VALUE"""),"DOC_05")</f>
        <v>DOC_05</v>
      </c>
      <c r="J53" s="145" t="str">
        <f>IFERROR(__xludf.DUMMYFUNCTION("""COMPUTED_VALUE"""),"Media")</f>
        <v>Media</v>
      </c>
      <c r="K53" s="145" t="str">
        <f>IFERROR(__xludf.DUMMYFUNCTION("""COMPUTED_VALUE"""),"Moderado")</f>
        <v>Moderado</v>
      </c>
      <c r="L53" s="145" t="str">
        <f>IFERROR(__xludf.DUMMYFUNCTION("""COMPUTED_VALUE"""),"Alta")</f>
        <v>Alta</v>
      </c>
      <c r="M53" s="144" t="str">
        <f>IFERROR(__xludf.DUMMYFUNCTION("""COMPUTED_VALUE"""),"- Se actualizó la normatividad interna que regula la prestación de los servicios del Centro de Idiomas a estudiantes BULL (Acuerdo Académico 003 de 2023) - El director del Centro de Idiomas, o quien haga sus veces solicita con antelación la contratación d"&amp;"el personal académico y administrativo necesario para garantizar la prestación de los servicios del Centro de Idiomas - Los docentes del Centro de Idiomas, concertan con los estudiantes horarios para la reposición de clases o actividades complementarias  ")</f>
        <v>- Se actualizó la normatividad interna que regula la prestación de los servicios del Centro de Idiomas a estudiantes BULL (Acuerdo Académico 003 de 2023) - El director del Centro de Idiomas, o quien haga sus veces solicita con antelación la contratación del personal académico y administrativo necesario para garantizar la prestación de los servicios del Centro de Idiomas - Los docentes del Centro de Idiomas, concertan con los estudiantes horarios para la reposición de clases o actividades complementarias  </v>
      </c>
      <c r="N53" s="145" t="str">
        <f>IFERROR(__xludf.DUMMYFUNCTION("""COMPUTED_VALUE"""),"Baja")</f>
        <v>Baja</v>
      </c>
      <c r="O53" s="145" t="str">
        <f>IFERROR(__xludf.DUMMYFUNCTION("""COMPUTED_VALUE"""),"Moderado")</f>
        <v>Moderado</v>
      </c>
      <c r="P53" s="145" t="str">
        <f>IFERROR(__xludf.DUMMYFUNCTION("""COMPUTED_VALUE"""),"Media")</f>
        <v>Media</v>
      </c>
      <c r="Q53" s="185" t="str">
        <f>IFERROR(__xludf.DUMMYFUNCTION("""COMPUTED_VALUE"""),"Reducir")</f>
        <v>Reducir</v>
      </c>
      <c r="R53" s="186" t="str">
        <f>IFERROR(__xludf.DUMMYFUNCTION("""COMPUTED_VALUE"""),"Documentar un protocolo de reprogramación y comunicación a los usuarios, con el fin de garantizar la continuidad del servicio")</f>
        <v>Documentar un protocolo de reprogramación y comunicación a los usuarios, con el fin de garantizar la continuidad del servicio</v>
      </c>
      <c r="S53" s="187">
        <f>IFERROR(__xludf.DUMMYFUNCTION("""COMPUTED_VALUE"""),45930.0)</f>
        <v>45930</v>
      </c>
      <c r="T53" s="188" t="str">
        <f>IFERROR(__xludf.DUMMYFUNCTION("""COMPUTED_VALUE"""),"Director del Centro de Idiomas")</f>
        <v>Director del Centro de Idiomas</v>
      </c>
      <c r="U53" s="188" t="str">
        <f>IFERROR(__xludf.DUMMYFUNCTION("""COMPUTED_VALUE"""),"Protocolo de reprogramación y comunicación a los usuarios del Centro de Idiomas")</f>
        <v>Protocolo de reprogramación y comunicación a los usuarios del Centro de Idiomas</v>
      </c>
      <c r="V53" s="189" t="str">
        <f>IFERROR(__xludf.DUMMYFUNCTION("""COMPUTED_VALUE"""),"Los docentes del Centro de Idiomas, concertan con los estudiantes horarios para la reposición de clases o actividades complementarias")</f>
        <v>Los docentes del Centro de Idiomas, concertan con los estudiantes horarios para la reposición de clases o actividades complementarias</v>
      </c>
      <c r="W53" s="189" t="str">
        <f>IFERROR(__xludf.DUMMYFUNCTION("""COMPUTED_VALUE"""),"Acta de reunión")</f>
        <v>Acta de reunión</v>
      </c>
      <c r="X53" s="189" t="str">
        <f>IFERROR(__xludf.DUMMYFUNCTION("""COMPUTED_VALUE"""),"Docentes del Centro de Idiomas")</f>
        <v>Docentes del Centro de Idiomas</v>
      </c>
      <c r="Y53" s="190" t="str">
        <f>IFERROR(__xludf.DUMMYFUNCTION("""COMPUTED_VALUE"""),"15 días hábiles")</f>
        <v>15 días hábiles</v>
      </c>
      <c r="Z53" s="191" t="str">
        <f>IFERROR(__xludf.DUMMYFUNCTION("""COMPUTED_VALUE"""),"30 de abril")</f>
        <v>30 de abril</v>
      </c>
      <c r="AA53" s="32" t="str">
        <f>IFERROR(__xludf.DUMMYFUNCTION("""COMPUTED_VALUE"""),"30 de abril del 2025")</f>
        <v>30 de abril del 2025</v>
      </c>
      <c r="AB53" s="150" t="str">
        <f>IFERROR(__xludf.DUMMYFUNCTION("""COMPUTED_VALUE"""),"Para este corte, se continuaron con los controles establecidos en relación con la contratación del personal académico y administrativo necesario para garantizar la prestación de los servicios del Centro de Idiomas. En cuanto a la acción de mejora o contro"&amp;"l propuesta, que consiste en documentar un protocolo de reprogramación y comunicación a los usuarios para asegurar la continuidad del servicio, aún no se ha ejecutado, ya que se encuentra en proceso, con fecha de ejecución programada para el 30 de septiem"&amp;"bre de 2025. 
En lo que respecta a la acción de contingencia, que establece que los docentes del Centro de Idiomas coordinen con los estudiantes horarios para la reposición de clases o actividades complementarias, esta acción no se ejecutó, ya que el ri"&amp;"esgo no se materializó.")</f>
        <v>Para este corte, se continuaron con los controles establecidos en relación con la contratación del personal académico y administrativo necesario para garantizar la prestación de los servicios del Centro de Idiomas. En cuanto a la acción de mejora o control propuesta, que consiste en documentar un protocolo de reprogramación y comunicación a los usuarios para asegurar la continuidad del servicio, aún no se ha ejecutado, ya que se encuentra en proceso, con fecha de ejecución programada para el 30 de septiembre de 2025. 
En lo que respecta a la acción de contingencia, que establece que los docentes del Centro de Idiomas coordinen con los estudiantes horarios para la reposición de clases o actividades complementarias, esta acción no se ejecutó, ya que el riesgo no se materializó.</v>
      </c>
      <c r="AC53" s="152" t="str">
        <f>IFERROR(__xludf.DUMMYFUNCTION("""COMPUTED_VALUE"""),"Dirección centro de idiomas")</f>
        <v>Dirección centro de idiomas</v>
      </c>
      <c r="AD53" s="153" t="str">
        <f>IFERROR(__xludf.DUMMYFUNCTION("""COMPUTED_VALUE"""),"Evidencia")</f>
        <v>Evidencia</v>
      </c>
      <c r="AE53" s="150" t="str">
        <f>IFERROR(__xludf.DUMMYFUNCTION("""COMPUTED_VALUE"""),"Si")</f>
        <v>Si</v>
      </c>
      <c r="AF53" s="150" t="str">
        <f>IFERROR(__xludf.DUMMYFUNCTION("""COMPUTED_VALUE"""),"En proceso")</f>
        <v>En proceso</v>
      </c>
      <c r="AG53" s="32" t="str">
        <f>IFERROR(__xludf.DUMMYFUNCTION("""COMPUTED_VALUE"""),"Se evidencia que la dependencia genera reporte sobre la no materialización del riesgo. 
Sobre los controles y acciones de mejora: 
Se verifica en los soportes cargados el reporte entregado sobre la solicitud de personal academico y administrativo para l"&amp;"a prestación de los servicios del centro de idiomas, información justificada por medio de copia de correos electronicos dando cumplimiento a el control 1 y 2 del riesgo, asi como la asignación de responsabilidades de los docentes, se recomienda en el prox"&amp;"imo monitoreo presentar avance sobre el control 3, sobre las acciones de mejora se menciona que no se ha coordinado horarios de reposición dado que no se materializó el riesgo. 
")</f>
        <v>Se evidencia que la dependencia genera reporte sobre la no materialización del riesgo. 
Sobre los controles y acciones de mejora: 
Se verifica en los soportes cargados el reporte entregado sobre la solicitud de personal academico y administrativo para la prestación de los servicios del centro de idiomas, información justificada por medio de copia de correos electronicos dando cumplimiento a el control 1 y 2 del riesgo, asi como la asignación de responsabilidades de los docentes, se recomienda en el proximo monitoreo presentar avance sobre el control 3, sobre las acciones de mejora se menciona que no se ha coordinado horarios de reposición dado que no se materializó el riesgo. 
</v>
      </c>
      <c r="AH53" s="150" t="str">
        <f>IFERROR(__xludf.DUMMYFUNCTION("""COMPUTED_VALUE"""),"30 de abril")</f>
        <v>30 de abril</v>
      </c>
      <c r="AI53" s="32" t="str">
        <f>IFERROR(__xludf.DUMMYFUNCTION("""COMPUTED_VALUE"""),"Si")</f>
        <v>Si</v>
      </c>
      <c r="AJ53" s="32" t="str">
        <f>IFERROR(__xludf.DUMMYFUNCTION("""COMPUTED_VALUE"""),"Si")</f>
        <v>Si</v>
      </c>
      <c r="AK53" s="32" t="str">
        <f>IFERROR(__xludf.DUMMYFUNCTION("""COMPUTED_VALUE"""),"Si")</f>
        <v>Si</v>
      </c>
      <c r="AL53" s="32" t="str">
        <f>IFERROR(__xludf.DUMMYFUNCTION("""COMPUTED_VALUE"""),"Si")</f>
        <v>Si</v>
      </c>
      <c r="AM53" s="32" t="str">
        <f>IFERROR(__xludf.DUMMYFUNCTION("""COMPUTED_VALUE"""),"Parcial")</f>
        <v>Parcial</v>
      </c>
      <c r="AN53" s="32" t="str">
        <f>IFERROR(__xludf.DUMMYFUNCTION("""COMPUTED_VALUE"""),"Si")</f>
        <v>Si</v>
      </c>
      <c r="AO53" s="32" t="str">
        <f>IFERROR(__xludf.DUMMYFUNCTION("""COMPUTED_VALUE"""),"Si")</f>
        <v>Si</v>
      </c>
      <c r="AP53" s="32" t="str">
        <f>IFERROR(__xludf.DUMMYFUNCTION("""COMPUTED_VALUE"""),"No aplica")</f>
        <v>No aplica</v>
      </c>
      <c r="AQ53" s="32" t="str">
        <f>IFERROR(__xludf.DUMMYFUNCTION("""COMPUTED_VALUE"""),"No aplica")</f>
        <v>No aplica</v>
      </c>
      <c r="AR53" s="32" t="str">
        <f>IFERROR(__xludf.DUMMYFUNCTION("""COMPUTED_VALUE"""),"No aplica")</f>
        <v>No aplica</v>
      </c>
      <c r="AS53" s="150" t="str">
        <f>IFERROR(__xludf.DUMMYFUNCTION("""COMPUTED_VALUE"""),"Recomendación: 
*Fortalecer la descripción de los controles conforme a la metodología propuesta en la Guía para la Administración del Riesgo y el diseño de controles en entidades públicas Versión 6, que propone los elementos que debe contemplar el diseño "&amp;"del control, como son: 
Responsable de ejecutar el control: identifica el cargo del servidor que ejecuta el control, en caso de que sean controles automáticos se identificará el sistema que realiza la actividad. 
Acción: se determina mediante verbos que i"&amp;"ndican la acción que deben realizar como parte del control (ejemplos de verbos que indican control: Verificar, autorizar validar, regular, dirigir, guiar, supervisar, manejar, prohibir, permitir). 
Complemento: corresponde a los detalles que permiten iden"&amp;"tificar claramente el objeto del control. 
*Garantizar el reporte del cumplimiento de cada uno de los controles establecios. En concordancia con el monitoreo realizado por la segunda línea de defensa, no se reportó lo relacionado a la ejecución del contro"&amp;"l No. 3.")</f>
        <v>Recomendación: 
*Fortalecer la descripción de los controles conforme a la metodología propuesta en la Guía para la Administración del Riesgo y el diseño de controles en entidades públicas Versión 6, que propone los elementos que debe contemplar el diseño del control, como son: 
Responsable de ejecutar el control: identifica el cargo del servidor que ejecuta el control, en caso de que sean controles automáticos se identificará el sistema que realiza la actividad. 
Acción: se determina mediante verbos que indican la acción que deben realizar como parte del control (ejemplos de verbos que indican control: Verificar, autorizar validar, regular, dirigir, guiar, supervisar, manejar, prohibir, permitir). 
Complemento: corresponde a los detalles que permiten identificar claramente el objeto del control. 
*Garantizar el reporte del cumplimiento de cada uno de los controles establecios. En concordancia con el monitoreo realizado por la segunda línea de defensa, no se reportó lo relacionado a la ejecución del control No. 3.</v>
      </c>
      <c r="AT53" s="139"/>
    </row>
    <row r="54">
      <c r="A54" s="86"/>
      <c r="B54" s="73"/>
      <c r="C54" s="73"/>
      <c r="D54" s="94"/>
      <c r="E54" s="156"/>
      <c r="F54" s="156"/>
      <c r="G54" s="156"/>
      <c r="H54" s="156"/>
      <c r="I54" s="156"/>
      <c r="J54" s="156"/>
      <c r="K54" s="156"/>
      <c r="L54" s="156"/>
      <c r="M54" s="156"/>
      <c r="N54" s="156"/>
      <c r="O54" s="156"/>
      <c r="P54" s="156"/>
      <c r="Q54" s="93"/>
      <c r="R54" s="192" t="str">
        <f>IFERROR(__xludf.DUMMYFUNCTION("""COMPUTED_VALUE"""),"")</f>
        <v/>
      </c>
      <c r="S54" s="193" t="str">
        <f>IFERROR(__xludf.DUMMYFUNCTION("""COMPUTED_VALUE"""),"")</f>
        <v/>
      </c>
      <c r="T54" s="194"/>
      <c r="U54" s="194"/>
      <c r="V54" s="94"/>
      <c r="W54" s="94"/>
      <c r="X54" s="94"/>
      <c r="Y54" s="9"/>
      <c r="Z54" s="191" t="str">
        <f>IFERROR(__xludf.DUMMYFUNCTION("""COMPUTED_VALUE"""),"30 de agosto")</f>
        <v>30 de agosto</v>
      </c>
      <c r="AA54" s="32" t="str">
        <f>IFERROR(__xludf.DUMMYFUNCTION("""COMPUTED_VALUE"""),"29 de agosto del 2025")</f>
        <v>29 de agosto del 2025</v>
      </c>
      <c r="AB54" s="150" t="str">
        <f>IFERROR(__xludf.DUMMYFUNCTION("""COMPUTED_VALUE"""),"Durante este periodo evaluado se mantuvieron los controles establecidos en relación con la contratación del personal académico y administrativo, garantizando así la prestación de los servicios del Centro de Idiomas. La acción de mejora propuesta, acerca d"&amp;"e documentar un protocolo de reprogramación y comunicación a los usuarios para asegurar la continuidad del servicio, se encuentra en proceso de revisión por parte de Planeación, con fecha de entrega programada para el 30 de septiembre de 2025.
Respecto a"&amp;" la acción de contingencia, que contemplaba la coordinación entre docentes y estudiantes para la reposición de clases o actividades complementarias, no fue necesario ejecutarla, ya que el riesgo no se materializó.")</f>
        <v>Durante este periodo evaluado se mantuvieron los controles establecidos en relación con la contratación del personal académico y administrativo, garantizando así la prestación de los servicios del Centro de Idiomas. La acción de mejora propuesta, acerca de documentar un protocolo de reprogramación y comunicación a los usuarios para asegurar la continuidad del servicio, se encuentra en proceso de revisión por parte de Planeación, con fecha de entrega programada para el 30 de septiembre de 2025.
Respecto a la acción de contingencia, que contemplaba la coordinación entre docentes y estudiantes para la reposición de clases o actividades complementarias, no fue necesario ejecutarla, ya que el riesgo no se materializó.</v>
      </c>
      <c r="AC54" s="152" t="str">
        <f>IFERROR(__xludf.DUMMYFUNCTION("""COMPUTED_VALUE"""),"Dirección centro de idiomas")</f>
        <v>Dirección centro de idiomas</v>
      </c>
      <c r="AD54" s="153" t="str">
        <f>IFERROR(__xludf.DUMMYFUNCTION("""COMPUTED_VALUE"""),"Evidencia")</f>
        <v>Evidencia</v>
      </c>
      <c r="AE54" s="150" t="str">
        <f>IFERROR(__xludf.DUMMYFUNCTION("""COMPUTED_VALUE"""),"Si")</f>
        <v>Si</v>
      </c>
      <c r="AF54" s="152" t="str">
        <f>IFERROR(__xludf.DUMMYFUNCTION("""COMPUTED_VALUE"""),"En proceso")</f>
        <v>En proceso</v>
      </c>
      <c r="AG54" s="32" t="str">
        <f>IFERROR(__xludf.DUMMYFUNCTION("""COMPUTED_VALUE"""),"Se evidencia que la dependencia genera reporte sobre la NO materialización del riesgo.
Sobre los controles:
Durante este período evaluado, el proceso reporta el cumplimiento de los controles establecidos en relación con la contratación del personal acadé"&amp;"mico y administrativo, garantizando de esta manera la prestación de los servicios del Centro de Idiomas.
Sobre las acciones de mejora:
Se indica que la acción de mejora orientada a documentar un protocolo de reprogramación y comunicación a los usuarios, "&amp;"con el fin de asegurar la continuidad del servicio, se encuentra actualmente en proceso de revisión por parte de la Oficina Asesora de Planeación, con fecha de entrega programada para el 30 de septiembre de 2025.
Sobre las acciones de contingencia:
Respe"&amp;"cto a la acción de contingencia que contemplaba la coordinación entre docentes y estudiantes para la reposición de clases o actividades complementarias, no fue necesario ejecutarla dado que el riesgo no se materializó.")</f>
        <v>Se evidencia que la dependencia genera reporte sobre la NO materialización del riesgo.
Sobre los controles:
Durante este período evaluado, el proceso reporta el cumplimiento de los controles establecidos en relación con la contratación del personal académico y administrativo, garantizando de esta manera la prestación de los servicios del Centro de Idiomas.
Sobre las acciones de mejora:
Se indica que la acción de mejora orientada a documentar un protocolo de reprogramación y comunicación a los usuarios, con el fin de asegurar la continuidad del servicio, se encuentra actualmente en proceso de revisión por parte de la Oficina Asesora de Planeación, con fecha de entrega programada para el 30 de septiembre de 2025.
Sobre las acciones de contingencia:
Respecto a la acción de contingencia que contemplaba la coordinación entre docentes y estudiantes para la reposición de clases o actividades complementarias, no fue necesario ejecutarla dado que el riesgo no se materializó.</v>
      </c>
      <c r="AH54" s="150" t="str">
        <f>IFERROR(__xludf.DUMMYFUNCTION("""COMPUTED_VALUE"""),"31 de agosto")</f>
        <v>31 de agosto</v>
      </c>
      <c r="AI54" s="32" t="str">
        <f>IFERROR(__xludf.DUMMYFUNCTION("""COMPUTED_VALUE"""),"Si")</f>
        <v>Si</v>
      </c>
      <c r="AJ54" s="32" t="str">
        <f>IFERROR(__xludf.DUMMYFUNCTION("""COMPUTED_VALUE"""),"Si")</f>
        <v>Si</v>
      </c>
      <c r="AK54" s="32" t="str">
        <f>IFERROR(__xludf.DUMMYFUNCTION("""COMPUTED_VALUE"""),"Si")</f>
        <v>Si</v>
      </c>
      <c r="AL54" s="32" t="str">
        <f>IFERROR(__xludf.DUMMYFUNCTION("""COMPUTED_VALUE"""),"Si")</f>
        <v>Si</v>
      </c>
      <c r="AM54" s="32" t="str">
        <f>IFERROR(__xludf.DUMMYFUNCTION("""COMPUTED_VALUE"""),"Parcial")</f>
        <v>Parcial</v>
      </c>
      <c r="AN54" s="32" t="str">
        <f>IFERROR(__xludf.DUMMYFUNCTION("""COMPUTED_VALUE"""),"Si")</f>
        <v>Si</v>
      </c>
      <c r="AO54" s="32" t="str">
        <f>IFERROR(__xludf.DUMMYFUNCTION("""COMPUTED_VALUE"""),"Si")</f>
        <v>Si</v>
      </c>
      <c r="AP54" s="32" t="str">
        <f>IFERROR(__xludf.DUMMYFUNCTION("""COMPUTED_VALUE"""),"No aplica")</f>
        <v>No aplica</v>
      </c>
      <c r="AQ54" s="32" t="str">
        <f>IFERROR(__xludf.DUMMYFUNCTION("""COMPUTED_VALUE"""),"No aplica")</f>
        <v>No aplica</v>
      </c>
      <c r="AR54" s="32" t="str">
        <f>IFERROR(__xludf.DUMMYFUNCTION("""COMPUTED_VALUE"""),"No aplica")</f>
        <v>No aplica</v>
      </c>
      <c r="AS54" s="150" t="str">
        <f>IFERROR(__xludf.DUMMYFUNCTION("""COMPUTED_VALUE"""),"Se reitera recomendación realizada en la evaluación del primer cuatrimestre: 
*Fortalecer la descripción de los controles conforme a la metodología propuesta en la Guía para la Administración del Riesgo y el diseño de controles en entidades públicas Versi"&amp;"ón 6, que propone los elementos que debe contemplar el diseño del control, como son: 
Responsable de ejecutar el control: identifica el cargo del servidor que ejecuta el control, en caso de que sean controles automáticos se identificará el sistema que rea"&amp;"liza la actividad. 
Acción: se determina mediante verbos que indican la acción que deben realizar como parte del control (ejemplos de verbos que indican control: Verificar, autorizar validar, regular, dirigir, guiar, supervisar, manejar, prohibir, permiti"&amp;"r). 
Complemento: corresponde a los detalles que permiten identificar claramente el objeto del control. 
*Garantizar el reporte del cumplimiento de cada uno de los controles establecios. En concordancia con el monitoreo realizado por la segunda línea de d"&amp;"efensa, no se reportó lo relacionado a la ejecución del control No. 3.")</f>
        <v>Se reitera recomendación realizada en la evaluación del primer cuatrimestre: 
*Fortalecer la descripción de los controles conforme a la metodología propuesta en la Guía para la Administración del Riesgo y el diseño de controles en entidades públicas Versión 6, que propone los elementos que debe contemplar el diseño del control, como son: 
Responsable de ejecutar el control: identifica el cargo del servidor que ejecuta el control, en caso de que sean controles automáticos se identificará el sistema que realiza la actividad. 
Acción: se determina mediante verbos que indican la acción que deben realizar como parte del control (ejemplos de verbos que indican control: Verificar, autorizar validar, regular, dirigir, guiar, supervisar, manejar, prohibir, permitir). 
Complemento: corresponde a los detalles que permiten identificar claramente el objeto del control. 
*Garantizar el reporte del cumplimiento de cada uno de los controles establecios. En concordancia con el monitoreo realizado por la segunda línea de defensa, no se reportó lo relacionado a la ejecución del control No. 3.</v>
      </c>
      <c r="AT54" s="139"/>
    </row>
    <row r="55">
      <c r="A55" s="86"/>
      <c r="B55" s="38"/>
      <c r="C55" s="38"/>
      <c r="D55" s="98"/>
      <c r="E55" s="119"/>
      <c r="F55" s="119"/>
      <c r="G55" s="119"/>
      <c r="H55" s="119"/>
      <c r="I55" s="119"/>
      <c r="J55" s="119"/>
      <c r="K55" s="119"/>
      <c r="L55" s="119"/>
      <c r="M55" s="119"/>
      <c r="N55" s="119"/>
      <c r="O55" s="119"/>
      <c r="P55" s="119"/>
      <c r="Q55" s="97"/>
      <c r="R55" s="195" t="str">
        <f>IFERROR(__xludf.DUMMYFUNCTION("""COMPUTED_VALUE"""),"")</f>
        <v/>
      </c>
      <c r="S55" s="196" t="str">
        <f>IFERROR(__xludf.DUMMYFUNCTION("""COMPUTED_VALUE"""),"")</f>
        <v/>
      </c>
      <c r="T55" s="197"/>
      <c r="U55" s="197"/>
      <c r="V55" s="198"/>
      <c r="W55" s="198"/>
      <c r="X55" s="198"/>
      <c r="Y55" s="13"/>
      <c r="Z55" s="191" t="str">
        <f>IFERROR(__xludf.DUMMYFUNCTION("""COMPUTED_VALUE"""),"30 de diciembre")</f>
        <v>30 de diciembre</v>
      </c>
      <c r="AA55" s="32" t="str">
        <f>IFERROR(__xludf.DUMMYFUNCTION("""COMPUTED_VALUE"""),"28 de noviembre del 2025")</f>
        <v>28 de noviembre del 2025</v>
      </c>
      <c r="AB55" s="150" t="str">
        <f>IFERROR(__xludf.DUMMYFUNCTION("""COMPUTED_VALUE"""),"Durante este periodo se mantuvieron los controles establecidos. En cuanto a la acción de mejora propuesta, se elaboró el PT-DOC-02 Protocolo de Reprogramación y Comunicación a los Usuarios del Centro de Idiomas en su primera versión, aprobado el 4 de sept"&amp;"iembre de 2025. Este protocolo fue socializado a los colaboradores del Centro de Idiomas durante el Acta 40 del 3 de octubre de 2025, dando a conocer las directrices para la reprogramación de servicios y los mecanismos de comunicación a los usuarios, con "&amp;"el fin de garantizar la continuidad y calidad del servicio.
Respecto a la acción de contingencia, relacionada con la coordinación entre docentes y estudiantes para la reposición de clases o actividades complementarias, esta fue ejecutada debido a la mate"&amp;"rialización del riesgo. El 3 de octubre de 2025 se emitió un comunicado informando que no se desarrollarían clases el sábado 4 de octubre para los estudiantes de extensión a la comunidad, y que las clases se retomarían el 18 de octubre en los horarios hab"&amp;"ituales. Los docentes fueron orientados para coordinar con sus grupos la reposición de la clase correspondiente al 4 de octubre, con plazo hasta la finalización del periodo académico.
")</f>
        <v>Durante este periodo se mantuvieron los controles establecidos. En cuanto a la acción de mejora propuesta, se elaboró el PT-DOC-02 Protocolo de Reprogramación y Comunicación a los Usuarios del Centro de Idiomas en su primera versión, aprobado el 4 de septiembre de 2025. Este protocolo fue socializado a los colaboradores del Centro de Idiomas durante el Acta 40 del 3 de octubre de 2025, dando a conocer las directrices para la reprogramación de servicios y los mecanismos de comunicación a los usuarios, con el fin de garantizar la continuidad y calidad del servicio.
Respecto a la acción de contingencia, relacionada con la coordinación entre docentes y estudiantes para la reposición de clases o actividades complementarias, esta fue ejecutada debido a la materialización del riesgo. El 3 de octubre de 2025 se emitió un comunicado informando que no se desarrollarían clases el sábado 4 de octubre para los estudiantes de extensión a la comunidad, y que las clases se retomarían el 18 de octubre en los horarios habituales. Los docentes fueron orientados para coordinar con sus grupos la reposición de la clase correspondiente al 4 de octubre, con plazo hasta la finalización del periodo académico.
</v>
      </c>
      <c r="AC55" s="152" t="str">
        <f>IFERROR(__xludf.DUMMYFUNCTION("""COMPUTED_VALUE"""),"Dirección centro de idiomas")</f>
        <v>Dirección centro de idiomas</v>
      </c>
      <c r="AD55" s="153" t="str">
        <f>IFERROR(__xludf.DUMMYFUNCTION("""COMPUTED_VALUE"""),"Evidencia")</f>
        <v>Evidencia</v>
      </c>
      <c r="AE55" s="150" t="str">
        <f>IFERROR(__xludf.DUMMYFUNCTION("""COMPUTED_VALUE"""),"Si")</f>
        <v>Si</v>
      </c>
      <c r="AF55" s="150" t="str">
        <f>IFERROR(__xludf.DUMMYFUNCTION("""COMPUTED_VALUE"""),"Ejecutada")</f>
        <v>Ejecutada</v>
      </c>
      <c r="AG55" s="32" t="str">
        <f>IFERROR(__xludf.DUMMYFUNCTION("""COMPUTED_VALUE"""),"Sobre la materialización del riesgo
De acuerdo con la información remitida por el proceso, durante el periodo evaluado se materializó el riesgo, lo cual requirió la activación de acciones de contingencia para garantizar la continuidad del servicio y la a"&amp;"tención a los usuarios del Centro de Idiomas.
Sobre las acciones de tratamiento del riesgo
Como acción de mejora, se elaboró el PT-DOC-02 – Protocolo de Reprogramación y Comunicación a los Usuarios del Centro de Idiomas, en su primera versión, el cual f"&amp;"ue aprobado el 4 de septiembre de 2025. Posteriormente, dicho protocolo fue socializado a los colaboradores del Centro de Idiomas mediante el Acta No. 40 del 3 de octubre de 2025, con el propósito de dar a conocer las directrices para la reprogramación de"&amp;" servicios y los mecanismos de comunicación a los usuarios, orientados a asegurar la continuidad y calidad del servicio.
Sobre los controles
Durante el periodo se mantuvieron los controles establecidos. Adicionalmente, ante la materialización del riesgo"&amp;", se ejecutó la acción de contingencia relacionada con la coordinación entre docentes y estudiantes para la reposición de clases o actividades complementarias.
En este marco, el 3 de octubre de 2025 se emitió un comunicado informando la suspensión de cla"&amp;"ses del sábado 4 de octubre para los estudiantes de extensión a la comunidad, así como la reanudación de las actividades académicas el 18 de octubre en los horarios habituales. Asimismo, los docentes fueron orientados para coordinar con sus respectivos gr"&amp;"upos la reposición de la clase correspondiente, con plazo hasta la finalización del periodo académico, lo cual permitió mitigar el impacto del riesgo en la prestación del servicio.")</f>
        <v>Sobre la materialización del riesgo
De acuerdo con la información remitida por el proceso, durante el periodo evaluado se materializó el riesgo, lo cual requirió la activación de acciones de contingencia para garantizar la continuidad del servicio y la atención a los usuarios del Centro de Idiomas.
Sobre las acciones de tratamiento del riesgo
Como acción de mejora, se elaboró el PT-DOC-02 – Protocolo de Reprogramación y Comunicación a los Usuarios del Centro de Idiomas, en su primera versión, el cual fue aprobado el 4 de septiembre de 2025. Posteriormente, dicho protocolo fue socializado a los colaboradores del Centro de Idiomas mediante el Acta No. 40 del 3 de octubre de 2025, con el propósito de dar a conocer las directrices para la reprogramación de servicios y los mecanismos de comunicación a los usuarios, orientados a asegurar la continuidad y calidad del servicio.
Sobre los controles
Durante el periodo se mantuvieron los controles establecidos. Adicionalmente, ante la materialización del riesgo, se ejecutó la acción de contingencia relacionada con la coordinación entre docentes y estudiantes para la reposición de clases o actividades complementarias.
En este marco, el 3 de octubre de 2025 se emitió un comunicado informando la suspensión de clases del sábado 4 de octubre para los estudiantes de extensión a la comunidad, así como la reanudación de las actividades académicas el 18 de octubre en los horarios habituales. Asimismo, los docentes fueron orientados para coordinar con sus respectivos grupos la reposición de la clase correspondiente, con plazo hasta la finalización del periodo académico, lo cual permitió mitigar el impacto del riesgo en la prestación del servicio.</v>
      </c>
      <c r="AH55" s="150" t="str">
        <f>IFERROR(__xludf.DUMMYFUNCTION("""COMPUTED_VALUE"""),"31 de diciembre")</f>
        <v>31 de diciembre</v>
      </c>
      <c r="AI55" s="32" t="str">
        <f>IFERROR(__xludf.DUMMYFUNCTION("""COMPUTED_VALUE"""),"Si")</f>
        <v>Si</v>
      </c>
      <c r="AJ55" s="32" t="str">
        <f>IFERROR(__xludf.DUMMYFUNCTION("""COMPUTED_VALUE"""),"Si")</f>
        <v>Si</v>
      </c>
      <c r="AK55" s="32" t="str">
        <f>IFERROR(__xludf.DUMMYFUNCTION("""COMPUTED_VALUE"""),"Si")</f>
        <v>Si</v>
      </c>
      <c r="AL55" s="32" t="str">
        <f>IFERROR(__xludf.DUMMYFUNCTION("""COMPUTED_VALUE"""),"Si")</f>
        <v>Si</v>
      </c>
      <c r="AM55" s="32" t="str">
        <f>IFERROR(__xludf.DUMMYFUNCTION("""COMPUTED_VALUE"""),"Parcial")</f>
        <v>Parcial</v>
      </c>
      <c r="AN55" s="32" t="str">
        <f>IFERROR(__xludf.DUMMYFUNCTION("""COMPUTED_VALUE"""),"Si")</f>
        <v>Si</v>
      </c>
      <c r="AO55" s="32" t="str">
        <f>IFERROR(__xludf.DUMMYFUNCTION("""COMPUTED_VALUE"""),"Si")</f>
        <v>Si</v>
      </c>
      <c r="AP55" s="32" t="str">
        <f>IFERROR(__xludf.DUMMYFUNCTION("""COMPUTED_VALUE"""),"No aplica")</f>
        <v>No aplica</v>
      </c>
      <c r="AQ55" s="32" t="str">
        <f>IFERROR(__xludf.DUMMYFUNCTION("""COMPUTED_VALUE"""),"No aplica")</f>
        <v>No aplica</v>
      </c>
      <c r="AR55" s="32" t="str">
        <f>IFERROR(__xludf.DUMMYFUNCTION("""COMPUTED_VALUE"""),"No aplica")</f>
        <v>No aplica</v>
      </c>
      <c r="AS55" s="150" t="str">
        <f>IFERROR(__xludf.DUMMYFUNCTION("""COMPUTED_VALUE"""),"Se reitera recomendación realizada en la evaluación del primer y segundo cuatrimestre: 
*Fortalecer la descripción de los controles conforme a la metodología propuesta en la Guía para la Administración del Riesgo y el diseño de controles en entidades públ"&amp;"icas Versión 6, que propone los elementos que debe contemplar el diseño del control, como son: 
Responsable de ejecutar el control: identifica el cargo del servidor que ejecuta el control, en caso de que sean controles automáticos se identificará el siste"&amp;"ma que realiza la actividad. 
Acción: se determina mediante verbos que indican la acción que deben realizar como parte del control (ejemplos de verbos que indican control: Verificar, autorizar validar, regular, dirigir, guiar, supervisar, manejar, prohibi"&amp;"r, permitir). 
Complemento: corresponde a los detalles que permiten identificar claramente el objeto del control. 
*Garantizar el reporte del cumplimiento de cada uno de los controles establecios. En concordancia con el monitoreo realizado por la segunda "&amp;"línea de defensa, no se reportó lo relacionado a la ejecución del control No. 3.")</f>
        <v>Se reitera recomendación realizada en la evaluación del primer y segundo cuatrimestre: 
*Fortalecer la descripción de los controles conforme a la metodología propuesta en la Guía para la Administración del Riesgo y el diseño de controles en entidades públicas Versión 6, que propone los elementos que debe contemplar el diseño del control, como son: 
Responsable de ejecutar el control: identifica el cargo del servidor que ejecuta el control, en caso de que sean controles automáticos se identificará el sistema que realiza la actividad. 
Acción: se determina mediante verbos que indican la acción que deben realizar como parte del control (ejemplos de verbos que indican control: Verificar, autorizar validar, regular, dirigir, guiar, supervisar, manejar, prohibir, permitir). 
Complemento: corresponde a los detalles que permiten identificar claramente el objeto del control. 
*Garantizar el reporte del cumplimiento de cada uno de los controles establecios. En concordancia con el monitoreo realizado por la segunda línea de defensa, no se reportó lo relacionado a la ejecución del control No. 3.</v>
      </c>
      <c r="AT55" s="139"/>
    </row>
    <row r="56">
      <c r="A56" s="86"/>
      <c r="B56" s="199" t="s">
        <v>223</v>
      </c>
      <c r="C56" s="200" t="str">
        <f>IFERROR(__xludf.DUMMYFUNCTION("IMPORTRANGE(""https://docs.google.com/spreadsheets/d/1_PSRZZApqpxrcNH-MMkoGpkkh3P3ERToRGG5K7BH40s/edit?gid=137765439#gid=137765439"",""Matriz_riesgos!C11:AS19"")"),"Fomentar y apoyar las actividades conducentes a la generación y aplicación del conocimiento, a través de investigación científica y desarrollo tecnológico. ")</f>
        <v>Fomentar y apoyar las actividades conducentes a la generación y aplicación del conocimiento, a través de investigación científica y desarrollo tecnológico. </v>
      </c>
      <c r="D56" s="143" t="str">
        <f>IFERROR(__xludf.DUMMYFUNCTION("""COMPUTED_VALUE"""),"Afectación reputacional y economica por plagio de obras y productos de investigación debido al bajo uso de herramientas tecnologicas, desconocimiento de la normatividad o indebido cuidado profesional de los autores.")</f>
        <v>Afectación reputacional y economica por plagio de obras y productos de investigación debido al bajo uso de herramientas tecnologicas, desconocimiento de la normatividad o indebido cuidado profesional de los autores.</v>
      </c>
      <c r="E56" s="144" t="str">
        <f>IFERROR(__xludf.DUMMYFUNCTION("""COMPUTED_VALUE"""),"Dirección General de Investigaciones")</f>
        <v>Dirección General de Investigaciones</v>
      </c>
      <c r="F56" s="144" t="str">
        <f>IFERROR(__xludf.DUMMYFUNCTION("""COMPUTED_VALUE"""),"Gestión")</f>
        <v>Gestión</v>
      </c>
      <c r="G56" s="144" t="str">
        <f>IFERROR(__xludf.DUMMYFUNCTION("""COMPUTED_VALUE"""),"
- Desconocimiento de la normatividad
- Bajo uso de la herramienta tecnológica para la identificación de plagio")</f>
        <v>
- Desconocimiento de la normatividad
- Bajo uso de la herramienta tecnológica para la identificación de plagio</v>
      </c>
      <c r="H56" s="144" t="str">
        <f>IFERROR(__xludf.DUMMYFUNCTION("""COMPUTED_VALUE"""),"1. Intervención de órganos de control.
2. Detrimento patrimonial.
3. Disminución de los indicadores institucionales.
4. Deterioro de la imagen institucional.
5. Perdida de recursos financieros.")</f>
        <v>1. Intervención de órganos de control.
2. Detrimento patrimonial.
3. Disminución de los indicadores institucionales.
4. Deterioro de la imagen institucional.
5. Perdida de recursos financieros.</v>
      </c>
      <c r="I56" s="145" t="str">
        <f>IFERROR(__xludf.DUMMYFUNCTION("""COMPUTED_VALUE"""),"INV_01")</f>
        <v>INV_01</v>
      </c>
      <c r="J56" s="145" t="str">
        <f>IFERROR(__xludf.DUMMYFUNCTION("""COMPUTED_VALUE"""),"Media")</f>
        <v>Media</v>
      </c>
      <c r="K56" s="145" t="str">
        <f>IFERROR(__xludf.DUMMYFUNCTION("""COMPUTED_VALUE"""),"Mayor")</f>
        <v>Mayor</v>
      </c>
      <c r="L56" s="145" t="str">
        <f>IFERROR(__xludf.DUMMYFUNCTION("""COMPUTED_VALUE"""),"Extrema")</f>
        <v>Extrema</v>
      </c>
      <c r="M56" s="144" t="str">
        <f>IFERROR(__xludf.DUMMYFUNCTION("""COMPUTED_VALUE"""),"- El Director Técnico de Investigaciones, directores de centro de investigacion de facultad o Vicerrector académico efectuan capacitaciones de la normatividad relacionada con la citación de textos, manual de ética, entre otros.
- El Director Técnico de In"&amp;"vestigaciones gestiona la suscripción anual de la herramienta virtual para la detección de plagio. 
  ")</f>
        <v>- El Director Técnico de Investigaciones, directores de centro de investigacion de facultad o Vicerrector académico efectuan capacitaciones de la normatividad relacionada con la citación de textos, manual de ética, entre otros.
- El Director Técnico de Investigaciones gestiona la suscripción anual de la herramienta virtual para la detección de plagio. 
  </v>
      </c>
      <c r="N56" s="145" t="str">
        <f>IFERROR(__xludf.DUMMYFUNCTION("""COMPUTED_VALUE"""),"Muy baja")</f>
        <v>Muy baja</v>
      </c>
      <c r="O56" s="145" t="str">
        <f>IFERROR(__xludf.DUMMYFUNCTION("""COMPUTED_VALUE"""),"Mayor")</f>
        <v>Mayor</v>
      </c>
      <c r="P56" s="145" t="str">
        <f>IFERROR(__xludf.DUMMYFUNCTION("""COMPUTED_VALUE"""),"Alta")</f>
        <v>Alta</v>
      </c>
      <c r="Q56" s="185" t="str">
        <f>IFERROR(__xludf.DUMMYFUNCTION("""COMPUTED_VALUE"""),"Reducir")</f>
        <v>Reducir</v>
      </c>
      <c r="R56" s="186" t="str">
        <f>IFERROR(__xludf.DUMMYFUNCTION("""COMPUTED_VALUE"""),"- Divulgación del estatuto de propiedad intelectual y/o normatividad de citación de textos.")</f>
        <v>- Divulgación del estatuto de propiedad intelectual y/o normatividad de citación de textos.</v>
      </c>
      <c r="S56" s="187" t="str">
        <f>IFERROR(__xludf.DUMMYFUNCTION("""COMPUTED_VALUE"""),"Anual")</f>
        <v>Anual</v>
      </c>
      <c r="T56" s="187" t="str">
        <f>IFERROR(__xludf.DUMMYFUNCTION("""COMPUTED_VALUE"""),"Directora Técnica de Investigaciones
Directores de centro de investigacion de facultad
Vicerrector académico o profesional de apoyo")</f>
        <v>Directora Técnica de Investigaciones
Directores de centro de investigacion de facultad
Vicerrector académico o profesional de apoyo</v>
      </c>
      <c r="U56" s="187" t="str">
        <f>IFERROR(__xludf.DUMMYFUNCTION("""COMPUTED_VALUE"""),"Correos electronicos")</f>
        <v>Correos electronicos</v>
      </c>
      <c r="V56" s="167" t="str">
        <f>IFERROR(__xludf.DUMMYFUNCTION("""COMPUTED_VALUE"""),"Se investiga con el posible autor del plagio y se asumen medidas internas para mitigar el impacto, si no se aceptan se remite informe a las instancias de control de la Universidad.")</f>
        <v>Se investiga con el posible autor del plagio y se asumen medidas internas para mitigar el impacto, si no se aceptan se remite informe a las instancias de control de la Universidad.</v>
      </c>
      <c r="W56" s="167" t="str">
        <f>IFERROR(__xludf.DUMMYFUNCTION("""COMPUTED_VALUE"""),"El documento presentado (proyecto, tesis, monografía)")</f>
        <v>El documento presentado (proyecto, tesis, monografía)</v>
      </c>
      <c r="X56" s="169" t="str">
        <f>IFERROR(__xludf.DUMMYFUNCTION("""COMPUTED_VALUE"""),"Directora Técnico de Investigaciones")</f>
        <v>Directora Técnico de Investigaciones</v>
      </c>
      <c r="Y56" s="169" t="str">
        <f>IFERROR(__xludf.DUMMYFUNCTION("""COMPUTED_VALUE"""),"Anual")</f>
        <v>Anual</v>
      </c>
      <c r="Z56" s="150" t="str">
        <f>IFERROR(__xludf.DUMMYFUNCTION("""COMPUTED_VALUE"""),"30 de abril")</f>
        <v>30 de abril</v>
      </c>
      <c r="AA56" s="32" t="str">
        <f>IFERROR(__xludf.DUMMYFUNCTION("""COMPUTED_VALUE"""),"01/01/2025 - 30/04/2025")</f>
        <v>01/01/2025 - 30/04/2025</v>
      </c>
      <c r="AB56" s="150" t="str">
        <f>IFERROR(__xludf.DUMMYFUNCTION("""COMPUTED_VALUE"""),"Durante el período de monitoreo NO se materializó el riesgo.
Acciones asociadas a la aplicación de controles de los riesgos:
-Desde la dirección General de Investigaciones se enviaron invitaciones a charlas, encuentros y talleres a los docentes y direct"&amp;"ores de centros de investigación de cada facultad, con el fin de socializar y fortalecer los procesos relacionados con Investigaciones y normatividad incluido el estatuto de propiedad intelectual (Anexo 6., 6.1.,6.2.), uso de plataforma Turnitin (Anexo 7)"&amp;" propiedad intelectual (Anexo 7.1., 7.2.) y procesos de publicación de artículos científicos (Anexo 8, 8.1, 8.2).
- Desde la Dirección General de Investigaciones se gestionó la renovación de la suscripción con la plataforma Turnitin (herramienta de softwa"&amp;"re diseñada para detectar plagio en textos) por medio del contrato de prestación de servicios 1293 del 2024 (Anexo 1)
Acciones asociadas al tratamiento del riesgo:
- Desde la dirección General de Investigaciones se envió mediante correo electrónico a l"&amp;"os docentes, estudiantes y líderes de grupos, la invitación a consultar la normatividad vigente relacionada con el proceso de investigaciones incluido el estatuto de propiedad intelectual (Anexo 6.2). Así mismo se compartieron invitaciones a charlas, encu"&amp;"entros y talleres a los docentes y directores de centros de investigación de cada facultad, con el fin de socializar y fortalecer los procesos relacionados con Investigaciones (Anexo 6, 6.1), uso de plataforma Turnitin (Anexo 7) propiedad intelectual (Ane"&amp;"xo 7.1., 7.2.) y procesos de publicación de artículos científicos (Anexo 8, 8.1, 8.2). Adicional, se realizaron dos sesiones del Comité de Propiedad Intelectual con el fin de realizar la revisión del Procedimiento de Protección Intelectual y los formatos "&amp;"relacionados con los procesos de protección intelectual de patentes de invención o modelos de utilidad, la revisión de una solicitud de patente derivada de un proyecto de investigación y la revisión de la solicitud realizada por el Consejo Editorial. Se a"&amp;"nexan actas sesión 001 (Anexo 4) y copia de la citación sesión 002 (Anexo 5).
-Se realizó seguimiento al uso de la herramienta anti-plagio Turnitin, en la que se registraron 1.702 actividades de uso, un total de 6.662 reportes de similitud, esto correspon"&amp;"de al periodo comprendido de enero a abril de 2025, se anexan evidencia descargada de la plataforma de Turnitin (Anexo 2). Adicionalmente se reportaron 4.731 informes con detección de uso de Inteligencia Artificial (Anexo 3).")</f>
        <v>Durante el período de monitoreo NO se materializó el riesgo.
Acciones asociadas a la aplicación de controles de los riesgos:
-Desde la dirección General de Investigaciones se enviaron invitaciones a charlas, encuentros y talleres a los docentes y directores de centros de investigación de cada facultad, con el fin de socializar y fortalecer los procesos relacionados con Investigaciones y normatividad incluido el estatuto de propiedad intelectual (Anexo 6., 6.1.,6.2.), uso de plataforma Turnitin (Anexo 7) propiedad intelectual (Anexo 7.1., 7.2.) y procesos de publicación de artículos científicos (Anexo 8, 8.1, 8.2).
- Desde la Dirección General de Investigaciones se gestionó la renovación de la suscripción con la plataforma Turnitin (herramienta de software diseñada para detectar plagio en textos) por medio del contrato de prestación de servicios 1293 del 2024 (Anexo 1)
Acciones asociadas al tratamiento del riesgo:
- Desde la dirección General de Investigaciones se envió mediante correo electrónico a los docentes, estudiantes y líderes de grupos, la invitación a consultar la normatividad vigente relacionada con el proceso de investigaciones incluido el estatuto de propiedad intelectual (Anexo 6.2). Así mismo se compartieron invitaciones a charlas, encuentros y talleres a los docentes y directores de centros de investigación de cada facultad, con el fin de socializar y fortalecer los procesos relacionados con Investigaciones (Anexo 6, 6.1), uso de plataforma Turnitin (Anexo 7) propiedad intelectual (Anexo 7.1., 7.2.) y procesos de publicación de artículos científicos (Anexo 8, 8.1, 8.2). Adicional, se realizaron dos sesiones del Comité de Propiedad Intelectual con el fin de realizar la revisión del Procedimiento de Protección Intelectual y los formatos relacionados con los procesos de protección intelectual de patentes de invención o modelos de utilidad, la revisión de una solicitud de patente derivada de un proyecto de investigación y la revisión de la solicitud realizada por el Consejo Editorial. Se anexan actas sesión 001 (Anexo 4) y copia de la citación sesión 002 (Anexo 5).
-Se realizó seguimiento al uso de la herramienta anti-plagio Turnitin, en la que se registraron 1.702 actividades de uso, un total de 6.662 reportes de similitud, esto corresponde al periodo comprendido de enero a abril de 2025, se anexan evidencia descargada de la plataforma de Turnitin (Anexo 2). Adicionalmente se reportaron 4.731 informes con detección de uso de Inteligencia Artificial (Anexo 3).</v>
      </c>
      <c r="AC56" s="152" t="str">
        <f>IFERROR(__xludf.DUMMYFUNCTION("""COMPUTED_VALUE"""),"Yohana Maria Velasco Santamaria /Directora Técnica de Investigaciones")</f>
        <v>Yohana Maria Velasco Santamaria /Directora Técnica de Investigaciones</v>
      </c>
      <c r="AD56" s="153" t="str">
        <f>IFERROR(__xludf.DUMMYFUNCTION("""COMPUTED_VALUE"""),"Evidencia")</f>
        <v>Evidencia</v>
      </c>
      <c r="AE56" s="150" t="str">
        <f>IFERROR(__xludf.DUMMYFUNCTION("""COMPUTED_VALUE"""),"Si")</f>
        <v>Si</v>
      </c>
      <c r="AF56" s="150" t="str">
        <f>IFERROR(__xludf.DUMMYFUNCTION("""COMPUTED_VALUE"""),"En proceso")</f>
        <v>En proceso</v>
      </c>
      <c r="AG56" s="32" t="str">
        <f>IFERROR(__xludf.DUMMYFUNCTION("""COMPUTED_VALUE"""),"Se evidencia reporte oportuno sobre la NO materialización del riesgo. 
Sobre las acciones asociadas a la aplicación de controles reportadas: 
Se evidencia el reporte de 2 controles, el primero sobre la invitación a charlas, encuentros y talleres a los "&amp;"docentes y directores de centro, con el proposito de fortalecer procesos que se relacionan con investigación, se revisa el anexo del control dando cumplimiento al primer avance de este monitoreo. En relación al control sobre el uso de una herramienta de s"&amp;"oftware diseñada para detectar el plagio, se evidencia el cumplimiento a traves de la renovación de la suscripción a la plataforma turnitin. 
Sobre las acciones asociadas al tratamiento del riesgo: 
Acción 1: Divulgación del estatuto de propiedad intel"&amp;"ectual y/o normatividad de citación de textos, acción con periodicidad anual que se reporta por medio de correo electronico, lo anterior justificado desde el proceso por medio de correos electronicos divulgados a la comunidad universitaria a fin de consul"&amp;"ta de normatividad vigente co procesos de investigación, los anexos son pertinentes para el presente monitoreo. 
Acción 2: Seguimiento del uso de la herramienta anti-plagio por parte de los docentes y estudiantes de posgrado, con una frecuencia semestral"&amp;", se justifica por medio de reporte de entrega de documentos a plataforma de turnitin y relación de los usuarios, se verifica que se registraron los reportes de seguimiento a la herramienta en el anexo 2 y 3, dando cumplimiento a lo proyectado dentro del "&amp;"control para el actual monitoreo. ")</f>
        <v>Se evidencia reporte oportuno sobre la NO materialización del riesgo. 
Sobre las acciones asociadas a la aplicación de controles reportadas: 
Se evidencia el reporte de 2 controles, el primero sobre la invitación a charlas, encuentros y talleres a los docentes y directores de centro, con el proposito de fortalecer procesos que se relacionan con investigación, se revisa el anexo del control dando cumplimiento al primer avance de este monitoreo. En relación al control sobre el uso de una herramienta de software diseñada para detectar el plagio, se evidencia el cumplimiento a traves de la renovación de la suscripción a la plataforma turnitin. 
Sobre las acciones asociadas al tratamiento del riesgo: 
Acción 1: Divulgación del estatuto de propiedad intelectual y/o normatividad de citación de textos, acción con periodicidad anual que se reporta por medio de correo electronico, lo anterior justificado desde el proceso por medio de correos electronicos divulgados a la comunidad universitaria a fin de consulta de normatividad vigente co procesos de investigación, los anexos son pertinentes para el presente monitoreo. 
Acción 2: Seguimiento del uso de la herramienta anti-plagio por parte de los docentes y estudiantes de posgrado, con una frecuencia semestral, se justifica por medio de reporte de entrega de documentos a plataforma de turnitin y relación de los usuarios, se verifica que se registraron los reportes de seguimiento a la herramienta en el anexo 2 y 3, dando cumplimiento a lo proyectado dentro del control para el actual monitoreo. </v>
      </c>
      <c r="AH56" s="150" t="str">
        <f>IFERROR(__xludf.DUMMYFUNCTION("""COMPUTED_VALUE"""),"30 de abril")</f>
        <v>30 de abril</v>
      </c>
      <c r="AI56" s="32" t="str">
        <f>IFERROR(__xludf.DUMMYFUNCTION("""COMPUTED_VALUE"""),"Si")</f>
        <v>Si</v>
      </c>
      <c r="AJ56" s="32" t="str">
        <f>IFERROR(__xludf.DUMMYFUNCTION("""COMPUTED_VALUE"""),"Si")</f>
        <v>Si</v>
      </c>
      <c r="AK56" s="32" t="str">
        <f>IFERROR(__xludf.DUMMYFUNCTION("""COMPUTED_VALUE"""),"Si")</f>
        <v>Si</v>
      </c>
      <c r="AL56" s="32" t="str">
        <f>IFERROR(__xludf.DUMMYFUNCTION("""COMPUTED_VALUE"""),"Si")</f>
        <v>Si</v>
      </c>
      <c r="AM56" s="32" t="str">
        <f>IFERROR(__xludf.DUMMYFUNCTION("""COMPUTED_VALUE"""),"Si")</f>
        <v>Si</v>
      </c>
      <c r="AN56" s="32" t="str">
        <f>IFERROR(__xludf.DUMMYFUNCTION("""COMPUTED_VALUE"""),"Si")</f>
        <v>Si</v>
      </c>
      <c r="AO56" s="32" t="str">
        <f>IFERROR(__xludf.DUMMYFUNCTION("""COMPUTED_VALUE"""),"Si")</f>
        <v>Si</v>
      </c>
      <c r="AP56" s="32" t="str">
        <f>IFERROR(__xludf.DUMMYFUNCTION("""COMPUTED_VALUE"""),"No aplica")</f>
        <v>No aplica</v>
      </c>
      <c r="AQ56" s="32" t="str">
        <f>IFERROR(__xludf.DUMMYFUNCTION("""COMPUTED_VALUE"""),"No aplica")</f>
        <v>No aplica</v>
      </c>
      <c r="AR56" s="32" t="str">
        <f>IFERROR(__xludf.DUMMYFUNCTION("""COMPUTED_VALUE"""),"No aplica")</f>
        <v>No aplica</v>
      </c>
      <c r="AS56" s="150" t="str">
        <f>IFERROR(__xludf.DUMMYFUNCTION("""COMPUTED_VALUE"""),"Ninguna")</f>
        <v>Ninguna</v>
      </c>
      <c r="AT56" s="139"/>
    </row>
    <row r="57">
      <c r="A57" s="86"/>
      <c r="B57" s="73"/>
      <c r="C57" s="73"/>
      <c r="D57" s="94"/>
      <c r="E57" s="156"/>
      <c r="F57" s="156"/>
      <c r="G57" s="156"/>
      <c r="H57" s="156"/>
      <c r="I57" s="156"/>
      <c r="J57" s="156"/>
      <c r="K57" s="156"/>
      <c r="L57" s="156"/>
      <c r="M57" s="156"/>
      <c r="N57" s="156"/>
      <c r="O57" s="156"/>
      <c r="P57" s="156"/>
      <c r="Q57" s="93"/>
      <c r="R57" s="192" t="str">
        <f>IFERROR(__xludf.DUMMYFUNCTION("""COMPUTED_VALUE"""),"- Seguimiento del uso de la herramienta anti-plagio por parte de los docentes y estudiantes de posgrado.")</f>
        <v>- Seguimiento del uso de la herramienta anti-plagio por parte de los docentes y estudiantes de posgrado.</v>
      </c>
      <c r="S57" s="193" t="str">
        <f>IFERROR(__xludf.DUMMYFUNCTION("""COMPUTED_VALUE"""),"Semestral")</f>
        <v>Semestral</v>
      </c>
      <c r="T57" s="193" t="str">
        <f>IFERROR(__xludf.DUMMYFUNCTION("""COMPUTED_VALUE"""),"Directora Técnica de Investigaciones")</f>
        <v>Directora Técnica de Investigaciones</v>
      </c>
      <c r="U57" s="193" t="str">
        <f>IFERROR(__xludf.DUMMYFUNCTION("""COMPUTED_VALUE"""),"Reporte de entregas de documentos a plataforma de Turnitin y relación de los usuarios.")</f>
        <v>Reporte de entregas de documentos a plataforma de Turnitin y relación de los usuarios.</v>
      </c>
      <c r="V57" s="94"/>
      <c r="W57" s="94"/>
      <c r="X57" s="94"/>
      <c r="Y57" s="94"/>
      <c r="Z57" s="150" t="str">
        <f>IFERROR(__xludf.DUMMYFUNCTION("""COMPUTED_VALUE"""),"30 de agosto")</f>
        <v>30 de agosto</v>
      </c>
      <c r="AA57" s="32" t="str">
        <f>IFERROR(__xludf.DUMMYFUNCTION("""COMPUTED_VALUE"""),"01/05/2025 - 29/08/2025")</f>
        <v>01/05/2025 - 29/08/2025</v>
      </c>
      <c r="AB57" s="150" t="str">
        <f>IFERROR(__xludf.DUMMYFUNCTION("""COMPUTED_VALUE"""),"Durante el período de monitoreo NO se materializó el riesgo.
Acciones asociadas a la aplicación de controles de los riesgos:
-Desde la Dirección General de Investigaciones se enviaron invitaciones a charlas, encuentros y talleres a los docentes y direct"&amp;"ores de centros de investigación de cada facultad, con el fin de socializar y fortalecer los procesos relacionados con Investigaciones gracias al convenio con Consorcio Colombia (Anexo 2,3,4 y 5.), se realizó una capacitación del uso de plataforma Turniti"&amp;"n con los docentes (Anexo 6) donde se obtuvo una participación de 127 docentes (Anexo 7 y 8), asi mismo se comparte a los docentes la capacitación sobre Inteligencia Artificial ofertado por Turnitin (Anexo 9 y 10), en términos de propiedad intelectual se "&amp;"comparte con los docentes las capacitaciones ofertadas por SIC (Anexo 11.) Adicionalmente, se realizaron reuniones con la Universidad Tecnológica de Pereira (Anexo 12) y la empresa Olarte Moure (Anexo 13) con el fin de revisar las propuestas direccionadas"&amp;" a la actualización del Reglamento de Propiedad Intelectual y la creación de la Política de Propiedad Intelectual requerida para la actualización de la normatividad de la Universidad de los Llanos. La dirección General de Investigaciones actualiza los tér"&amp;"minos de Referencia de las convocatorias internas la inclusión dentro de los requisitos de presentación el ítem: ""El proyecto deberá incluir como anexo el reporte de similitud de Turnitin, el cual no podrá ser mayor al 20% (excluyendo bibliografía y lo r"&amp;"eferente al esquema del formato)"" (Anexo 25)
- Desde la Dirección General de Investigaciones se gestionó la renovación de la suscripción con la plataforma Turnitin (herramienta de software diseñada para detectar plagio en textos) por medio del contrato d"&amp;"e prestación de servicios 1293 del 2024 (Anexo 1). Se han desarrollado reuniones con el fin de iniciar el proceso de suscripción de la plataforma turnitin para el año 2026. (Anexo 15).  
Acciones asociadas al tratamiento del riesgo:
- Desde la Dirección"&amp;" General de Investigaciones se habilitó una sección en el micrositio de investigaciones con imágenes y videos divulgativos del Estatuto de Propiedad Intelectual (https://investigaciones.unillanos.edu.co/index.php/sistema-de-investigaciones/propiedad-intel"&amp;"ectual) (Anexo 16). Así mismo, se compartieron  invitaciones a charlas, encuentros y talleres a los docentes y directores de centros de investigación de cada facultad, con el fin de socializar y fortalecer los procesos relacionados con Investigaciones gra"&amp;"cias al convenio con Consorcio Colombia (Anexo 2,3,4 y 5.), se realizó una capacitación del uso de plataforma Turnitin con los docentes (Anexo 6) donde se obtuvo una participación de 127 docentes (Anexo 7 y 8), así mismo se comparte a los docentes la capa"&amp;"citación sobre Inteligencia Artificial ofertado por Turnitin (Anexo 9 y 10), en términos de propiedad intelectual se comparte con los docentes las capacitaciones ofertadas por SIC (Anexo 11.) 
-Se realizó seguimiento al uso de la herramienta anti-plagio T"&amp;"urnitin, para el periodo comprendido de mayo a agosto de 2025 se realizaron 7.243 entregas, 2.050 actividades de uso, un total de 6.538 reportes de similitud, adicionalmente se reportaron 4.244 informes con detección de uso de Inteligencia Artificial se a"&amp;"nexan evidencia descargada de la plataforma de Turnitin (Anexo 17). """)</f>
        <v>Durante el período de monitoreo NO se materializó el riesgo.
Acciones asociadas a la aplicación de controles de los riesgos:
-Desde la Dirección General de Investigaciones se enviaron invitaciones a charlas, encuentros y talleres a los docentes y directores de centros de investigación de cada facultad, con el fin de socializar y fortalecer los procesos relacionados con Investigaciones gracias al convenio con Consorcio Colombia (Anexo 2,3,4 y 5.), se realizó una capacitación del uso de plataforma Turnitin con los docentes (Anexo 6) donde se obtuvo una participación de 127 docentes (Anexo 7 y 8), asi mismo se comparte a los docentes la capacitación sobre Inteligencia Artificial ofertado por Turnitin (Anexo 9 y 10), en términos de propiedad intelectual se comparte con los docentes las capacitaciones ofertadas por SIC (Anexo 11.) Adicionalmente, se realizaron reuniones con la Universidad Tecnológica de Pereira (Anexo 12) y la empresa Olarte Moure (Anexo 13) con el fin de revisar las propuestas direccionadas a la actualización del Reglamento de Propiedad Intelectual y la creación de la Política de Propiedad Intelectual requerida para la actualización de la normatividad de la Universidad de los Llanos. La dirección General de Investigaciones actualiza los términos de Referencia de las convocatorias internas la inclusión dentro de los requisitos de presentación el ítem: "El proyecto deberá incluir como anexo el reporte de similitud de Turnitin, el cual no podrá ser mayor al 20% (excluyendo bibliografía y lo referente al esquema del formato)" (Anexo 25)
- Desde la Dirección General de Investigaciones se gestionó la renovación de la suscripción con la plataforma Turnitin (herramienta de software diseñada para detectar plagio en textos) por medio del contrato de prestación de servicios 1293 del 2024 (Anexo 1). Se han desarrollado reuniones con el fin de iniciar el proceso de suscripción de la plataforma turnitin para el año 2026. (Anexo 15).  
Acciones asociadas al tratamiento del riesgo:
- Desde la Dirección General de Investigaciones se habilitó una sección en el micrositio de investigaciones con imágenes y videos divulgativos del Estatuto de Propiedad Intelectual (https://investigaciones.unillanos.edu.co/index.php/sistema-de-investigaciones/propiedad-intelectual) (Anexo 16). Así mismo, se compartieron  invitaciones a charlas, encuentros y talleres a los docentes y directores de centros de investigación de cada facultad, con el fin de socializar y fortalecer los procesos relacionados con Investigaciones gracias al convenio con Consorcio Colombia (Anexo 2,3,4 y 5.), se realizó una capacitación del uso de plataforma Turnitin con los docentes (Anexo 6) donde se obtuvo una participación de 127 docentes (Anexo 7 y 8), así mismo se comparte a los docentes la capacitación sobre Inteligencia Artificial ofertado por Turnitin (Anexo 9 y 10), en términos de propiedad intelectual se comparte con los docentes las capacitaciones ofertadas por SIC (Anexo 11.) 
-Se realizó seguimiento al uso de la herramienta anti-plagio Turnitin, para el periodo comprendido de mayo a agosto de 2025 se realizaron 7.243 entregas, 2.050 actividades de uso, un total de 6.538 reportes de similitud, adicionalmente se reportaron 4.244 informes con detección de uso de Inteligencia Artificial se anexan evidencia descargada de la plataforma de Turnitin (Anexo 17). "</v>
      </c>
      <c r="AC57" s="152" t="str">
        <f>IFERROR(__xludf.DUMMYFUNCTION("""COMPUTED_VALUE"""),"Yohana Maria Velasco Santamaria /Directora Técnica de Investigaciones")</f>
        <v>Yohana Maria Velasco Santamaria /Directora Técnica de Investigaciones</v>
      </c>
      <c r="AD57" s="153" t="str">
        <f>IFERROR(__xludf.DUMMYFUNCTION("""COMPUTED_VALUE"""),"https://drive.google.com/drive/u/5/folders/10wzGT6elrO4XjLsjEDmJd-FBlDdPpEEN")</f>
        <v>https://drive.google.com/drive/u/5/folders/10wzGT6elrO4XjLsjEDmJd-FBlDdPpEEN</v>
      </c>
      <c r="AE57" s="150" t="str">
        <f>IFERROR(__xludf.DUMMYFUNCTION("""COMPUTED_VALUE"""),"Si")</f>
        <v>Si</v>
      </c>
      <c r="AF57" s="150" t="str">
        <f>IFERROR(__xludf.DUMMYFUNCTION("""COMPUTED_VALUE"""),"En proceso")</f>
        <v>En proceso</v>
      </c>
      <c r="AG57" s="32" t="str">
        <f>IFERROR(__xludf.DUMMYFUNCTION("""COMPUTED_VALUE"""),"
Se constata reporte por parte del proceso sobre la NO materialización del riesgo.
Sobre los controles:
Del análisis de evidencias se verifica que los controles definidos mantienen un nivel de implementación adecuado. Se encontraron soportes de convocato"&amp;"rias a charlas y talleres de fortalecimiento en investigación dirigidos a docentes y directores de centro, lo cual guarda correspondencia con el control orientado a la socialización de normatividad y buenas prácticas.
En cuanto al control asociado al uso"&amp;" de software antiplagio, se confirma la renovación de la suscripción a Turnitin mediante contrato 1293 de 2024, así como la gestión preliminar para garantizar la continuidad del servicio en 2026. Adicionalmente, se evidencia la inclusión formal del requis"&amp;"ito de reporte de similitud en los términos de referencia de las convocatorias internas, lo que refuerza la trazabilidad del control y asegura la aplicación homogénea del mismo.
Sobre las acciones de tratamiento:
Se revisan las actividades de divulgación"&amp;" del Estatuto de Propiedad Intelectual en el micrositio institucional, acompañadas de material de apoyo. Esta acción se considera consistente con la periodicidad definida y aporta a la sensibilización prevista.
Respecto al seguimiento del uso de la herra"&amp;"mienta Turnitin, se presentan cifras de utilización entre mayo y agosto de 2025 (7.243 entregas, 6.538 reportes de similitud y 4.244 informes de IA). Dichos registros permiten concluir que la acción de tratamiento se ejecuta conforme a lo planeado, con ev"&amp;"idencia cuantificable y verificable.
como resultado del monitoreo se evidencia cumplimiento en los controles y acciones de tratamiento establecidos, con un nivel de documentación suficiente. Se recomienda, sin embargo, que en próximos reportes se refuerc"&amp;"e la trazabilidad de las capacitaciones externas (SIC, Consorcio Colombia, entre otras) mediante registros consolidados de asistencia y resultados esperados, con el fin de mejorar la evaluación del impacto de dichas actividades.")</f>
        <v>
Se constata reporte por parte del proceso sobre la NO materialización del riesgo.
Sobre los controles:
Del análisis de evidencias se verifica que los controles definidos mantienen un nivel de implementación adecuado. Se encontraron soportes de convocatorias a charlas y talleres de fortalecimiento en investigación dirigidos a docentes y directores de centro, lo cual guarda correspondencia con el control orientado a la socialización de normatividad y buenas prácticas.
En cuanto al control asociado al uso de software antiplagio, se confirma la renovación de la suscripción a Turnitin mediante contrato 1293 de 2024, así como la gestión preliminar para garantizar la continuidad del servicio en 2026. Adicionalmente, se evidencia la inclusión formal del requisito de reporte de similitud en los términos de referencia de las convocatorias internas, lo que refuerza la trazabilidad del control y asegura la aplicación homogénea del mismo.
Sobre las acciones de tratamiento:
Se revisan las actividades de divulgación del Estatuto de Propiedad Intelectual en el micrositio institucional, acompañadas de material de apoyo. Esta acción se considera consistente con la periodicidad definida y aporta a la sensibilización prevista.
Respecto al seguimiento del uso de la herramienta Turnitin, se presentan cifras de utilización entre mayo y agosto de 2025 (7.243 entregas, 6.538 reportes de similitud y 4.244 informes de IA). Dichos registros permiten concluir que la acción de tratamiento se ejecuta conforme a lo planeado, con evidencia cuantificable y verificable.
como resultado del monitoreo se evidencia cumplimiento en los controles y acciones de tratamiento establecidos, con un nivel de documentación suficiente. Se recomienda, sin embargo, que en próximos reportes se refuerce la trazabilidad de las capacitaciones externas (SIC, Consorcio Colombia, entre otras) mediante registros consolidados de asistencia y resultados esperados, con el fin de mejorar la evaluación del impacto de dichas actividades.</v>
      </c>
      <c r="AH57" s="150" t="str">
        <f>IFERROR(__xludf.DUMMYFUNCTION("""COMPUTED_VALUE"""),"31 de agosto")</f>
        <v>31 de agosto</v>
      </c>
      <c r="AI57" s="32" t="str">
        <f>IFERROR(__xludf.DUMMYFUNCTION("""COMPUTED_VALUE"""),"Si")</f>
        <v>Si</v>
      </c>
      <c r="AJ57" s="32" t="str">
        <f>IFERROR(__xludf.DUMMYFUNCTION("""COMPUTED_VALUE"""),"Si")</f>
        <v>Si</v>
      </c>
      <c r="AK57" s="32" t="str">
        <f>IFERROR(__xludf.DUMMYFUNCTION("""COMPUTED_VALUE"""),"Si")</f>
        <v>Si</v>
      </c>
      <c r="AL57" s="32" t="str">
        <f>IFERROR(__xludf.DUMMYFUNCTION("""COMPUTED_VALUE"""),"Si")</f>
        <v>Si</v>
      </c>
      <c r="AM57" s="32" t="str">
        <f>IFERROR(__xludf.DUMMYFUNCTION("""COMPUTED_VALUE"""),"Si")</f>
        <v>Si</v>
      </c>
      <c r="AN57" s="32" t="str">
        <f>IFERROR(__xludf.DUMMYFUNCTION("""COMPUTED_VALUE"""),"Si")</f>
        <v>Si</v>
      </c>
      <c r="AO57" s="32" t="str">
        <f>IFERROR(__xludf.DUMMYFUNCTION("""COMPUTED_VALUE"""),"Si")</f>
        <v>Si</v>
      </c>
      <c r="AP57" s="32" t="str">
        <f>IFERROR(__xludf.DUMMYFUNCTION("""COMPUTED_VALUE"""),"No aplica")</f>
        <v>No aplica</v>
      </c>
      <c r="AQ57" s="32" t="str">
        <f>IFERROR(__xludf.DUMMYFUNCTION("""COMPUTED_VALUE"""),"No aplica")</f>
        <v>No aplica</v>
      </c>
      <c r="AR57" s="32" t="str">
        <f>IFERROR(__xludf.DUMMYFUNCTION("""COMPUTED_VALUE"""),"No aplica")</f>
        <v>No aplica</v>
      </c>
      <c r="AS57" s="150" t="str">
        <f>IFERROR(__xludf.DUMMYFUNCTION("""COMPUTED_VALUE"""),"Ninguna")</f>
        <v>Ninguna</v>
      </c>
      <c r="AT57" s="139"/>
    </row>
    <row r="58">
      <c r="A58" s="86"/>
      <c r="B58" s="73"/>
      <c r="C58" s="73"/>
      <c r="D58" s="98"/>
      <c r="E58" s="119"/>
      <c r="F58" s="119"/>
      <c r="G58" s="119"/>
      <c r="H58" s="119"/>
      <c r="I58" s="119"/>
      <c r="J58" s="119"/>
      <c r="K58" s="119"/>
      <c r="L58" s="119"/>
      <c r="M58" s="119"/>
      <c r="N58" s="119"/>
      <c r="O58" s="119"/>
      <c r="P58" s="119"/>
      <c r="Q58" s="97"/>
      <c r="R58" s="195" t="str">
        <f>IFERROR(__xludf.DUMMYFUNCTION("""COMPUTED_VALUE"""),"")</f>
        <v/>
      </c>
      <c r="S58" s="196" t="str">
        <f>IFERROR(__xludf.DUMMYFUNCTION("""COMPUTED_VALUE"""),"")</f>
        <v/>
      </c>
      <c r="T58" s="197"/>
      <c r="U58" s="197"/>
      <c r="V58" s="98"/>
      <c r="W58" s="98"/>
      <c r="X58" s="98"/>
      <c r="Y58" s="98"/>
      <c r="Z58" s="150" t="str">
        <f>IFERROR(__xludf.DUMMYFUNCTION("""COMPUTED_VALUE"""),"30 de diciembre")</f>
        <v>30 de diciembre</v>
      </c>
      <c r="AA58" s="32" t="str">
        <f>IFERROR(__xludf.DUMMYFUNCTION("""COMPUTED_VALUE"""),"01/09/2025 - 05/12/2025")</f>
        <v>01/09/2025 - 05/12/2025</v>
      </c>
      <c r="AB58" s="150" t="str">
        <f>IFERROR(__xludf.DUMMYFUNCTION("""COMPUTED_VALUE"""),"Durante el período de monitoreo NO se materializó el riesgo.
Acciones asociadas a la aplicación de controles de los riesgos:
- Desde la Dirección General de Investigaciones los profesionales de apoyo del equipo financiero realizan el seguimiento financier"&amp;"o de los proyectos vigentes de manera permanente y teniendo en cuenta las solicitudes de avances, contrataciones y compras realizadas por los docentes, con el fin de conocer en tiempo real la ejecución y afectación financiera del presupuesto pactado en lo"&amp;"s proyectos, a la fecha se cuenta con un total de 80 proyectos en ejecución, 171 proyectos no ejecutados y 485 ejecutados, el seguimiento financiero de los proyectos se realiza mediante una matriz de seguimiento y control, se adjunta copia de las dos matr"&amp;"ices internas de seguimiento y control con los proyectos vigentes (Anexo 7 y 8), la matriz se diseñó de manera tal que una vez el proyecto llegue a su fecha de vencimiento automáticamente pase a estado de vencido, de igual forma en la pestaña observacione"&amp;"s se registra toda la trazabilidad referente al proyectos. Así mismo, los profesionales de apoyo diligencian la matriz de seguimiento financiera del proyecto de inversión (Anexo 9) 
Así mismo, las profesionales de apoyo de la Dirección General de Investig"&amp;"aciones realizan la revisión de los soportes financieros entregados en los informes finales de cada proyecto, contrastando con las solicitudes recibidas en la dependencia, este seguimiento se realiza de manera permanente a través de las matrices de seguim"&amp;"iento y control (Anexo 7 y 8), todas las inconsistencias o falta de soportes financieros se reportan vía correo electrónico al docente y al centro de investigaciones (se adjunta ejemplo, ver Anexo 10) 
-La Dirección General de Investigaciones presentará e"&amp;"n enero del año 2026 ante el Consejo Institucional de Investigaciones un informe del estado de los proyectos de investigación esto con el fin de entregar el reporte a corte de diciembre.
Acciones asociadas al tratamiento del riesgo:
-  La Dirección Genera"&amp;"l de Investigaciones presentará en enero del año 2026 ante el Consejo Institucional de Investigaciones un informe del estado de los proyectos de investigación esto con el fin de entregar el reporte a corte de diciembre. Además, desde la Dirección General "&amp;"de Investigaciones se presentó una propuesta de acta compromisoria ante el consejo de investigaciones, dicha acta será el insumo que permitirá la normalización de los proyectos de investigación que se encuentra pendientes de entrega de productos. Acta 20 "&amp;"del 20 de agosto de 2025 (Anexo 11).
La Dirección General de Investigaciones envía a los centros de investigación las observaciones de los proyectos en estado no ejecutados con pendientes, con el fin de que los centros identifiquen qué proyectos pueden se"&amp;"r susceptibles de elaborar un acta compromisoria. (Anexo 12)
")</f>
        <v>Durante el período de monitoreo NO se materializó el riesgo.
Acciones asociadas a la aplicación de controles de los riesgos:
- Desde la Dirección General de Investigaciones los profesionales de apoyo del equipo financiero realizan el seguimiento financiero de los proyectos vigentes de manera permanente y teniendo en cuenta las solicitudes de avances, contrataciones y compras realizadas por los docentes, con el fin de conocer en tiempo real la ejecución y afectación financiera del presupuesto pactado en los proyectos, a la fecha se cuenta con un total de 80 proyectos en ejecución, 171 proyectos no ejecutados y 485 ejecutados, el seguimiento financiero de los proyectos se realiza mediante una matriz de seguimiento y control, se adjunta copia de las dos matrices internas de seguimiento y control con los proyectos vigentes (Anexo 7 y 8), la matriz se diseñó de manera tal que una vez el proyecto llegue a su fecha de vencimiento automáticamente pase a estado de vencido, de igual forma en la pestaña observaciones se registra toda la trazabilidad referente al proyectos. Así mismo, los profesionales de apoyo diligencian la matriz de seguimiento financiera del proyecto de inversión (Anexo 9) 
Así mismo, las profesionales de apoyo de la Dirección General de Investigaciones realizan la revisión de los soportes financieros entregados en los informes finales de cada proyecto, contrastando con las solicitudes recibidas en la dependencia, este seguimiento se realiza de manera permanente a través de las matrices de seguimiento y control (Anexo 7 y 8), todas las inconsistencias o falta de soportes financieros se reportan vía correo electrónico al docente y al centro de investigaciones (se adjunta ejemplo, ver Anexo 10) 
-La Dirección General de Investigaciones presentará en enero del año 2026 ante el Consejo Institucional de Investigaciones un informe del estado de los proyectos de investigación esto con el fin de entregar el reporte a corte de diciembre.
Acciones asociadas al tratamiento del riesgo:
-  La Dirección General de Investigaciones presentará en enero del año 2026 ante el Consejo Institucional de Investigaciones un informe del estado de los proyectos de investigación esto con el fin de entregar el reporte a corte de diciembre. Además, desde la Dirección General de Investigaciones se presentó una propuesta de acta compromisoria ante el consejo de investigaciones, dicha acta será el insumo que permitirá la normalización de los proyectos de investigación que se encuentra pendientes de entrega de productos. Acta 20 del 20 de agosto de 2025 (Anexo 11).
La Dirección General de Investigaciones envía a los centros de investigación las observaciones de los proyectos en estado no ejecutados con pendientes, con el fin de que los centros identifiquen qué proyectos pueden ser susceptibles de elaborar un acta compromisoria. (Anexo 12)
</v>
      </c>
      <c r="AC58" s="152" t="str">
        <f>IFERROR(__xludf.DUMMYFUNCTION("""COMPUTED_VALUE"""),"Yohana Maria Velasco Santamaria /Directora Técnica de Investigaciones")</f>
        <v>Yohana Maria Velasco Santamaria /Directora Técnica de Investigaciones</v>
      </c>
      <c r="AD58" s="153" t="str">
        <f>IFERROR(__xludf.DUMMYFUNCTION("""COMPUTED_VALUE"""),"Evidencia")</f>
        <v>Evidencia</v>
      </c>
      <c r="AE58" s="150" t="str">
        <f>IFERROR(__xludf.DUMMYFUNCTION("""COMPUTED_VALUE"""),"Si")</f>
        <v>Si</v>
      </c>
      <c r="AF58" s="150" t="str">
        <f>IFERROR(__xludf.DUMMYFUNCTION("""COMPUTED_VALUE"""),"Ejecutada")</f>
        <v>Ejecutada</v>
      </c>
      <c r="AG58" s="32" t="str">
        <f>IFERROR(__xludf.DUMMYFUNCTION("""COMPUTED_VALUE"""),"Resultado del monitoreo del riesgo
Se constata reporte por parte del proceso sobre la NO materialización del riesgo durante el período de monitoreo.
Sobre los controles
Del análisis de las evidencias remitidas se verifica que los controles definidos pr"&amp;"esentan un nivel de implementación adecuado. Se evidencia la ejecución permanente del seguimiento financiero a los proyectos de investigación vigentes por parte de la Dirección General de Investigaciones, a través de matrices internas de seguimiento y con"&amp;"trol, las cuales permiten conocer en tiempo real la ejecución presupuestal, identificar proyectos en estado vencido y registrar la trazabilidad de las actuaciones adelantadas.
Así mismo, se constata la existencia de soportes documentales correspondientes"&amp;" al seguimiento financiero de los proyectos de inversión y a la revisión de los informes financieros finales, en los cuales se realiza la contrastación de los soportes presentados por los docentes con las solicitudes tramitadas en la dependencia. Las inco"&amp;"nsistencias identificadas son comunicadas oportunamente a los responsables y a los centros de investigación, lo cual contribuye al fortalecimiento del control y a la mitigación del riesgo asociado.
Adicionalmente, se evidencia la programación de la prese"&amp;"ntación del informe consolidado del estado de los proyectos de investigación ante el Consejo Institucional de Investigaciones, con corte a diciembre, lo cual se considera coherente con los mecanismos de control definidos y con la necesidad de disponer de "&amp;"información oportuna para la toma de decisiones.
Sobre las acciones de tratamiento
Se revisan las acciones orientadas a la normalización de los proyectos de investigación con pendientes de ejecución y entrega de productos. En este sentido, se evidencia "&amp;"la formulación y presentación de una propuesta de acta compromisoria ante el Consejo Institucional de Investigaciones, la cual se constituye en un instrumento para la regularización de los proyectos en estado no ejecutado, conforme a lo registrado en el A"&amp;"cta No. 20 del 20 de agosto de 2025.
Así mismo, se verifica el envío de observaciones a los centros de investigación respecto de los proyectos no ejecutados con pendientes, con el fin de identificar aquellos susceptibles de acogerse a un acta compromisor"&amp;"ia. Estas acciones se consideran consistentes con el tratamiento definido y aportan al control del riesgo mediante el fortalecimiento del seguimiento y la regularización de los proyectos.")</f>
        <v>Resultado del monitoreo del riesgo
Se constata reporte por parte del proceso sobre la NO materialización del riesgo durante el período de monitoreo.
Sobre los controles
Del análisis de las evidencias remitidas se verifica que los controles definidos presentan un nivel de implementación adecuado. Se evidencia la ejecución permanente del seguimiento financiero a los proyectos de investigación vigentes por parte de la Dirección General de Investigaciones, a través de matrices internas de seguimiento y control, las cuales permiten conocer en tiempo real la ejecución presupuestal, identificar proyectos en estado vencido y registrar la trazabilidad de las actuaciones adelantadas.
Así mismo, se constata la existencia de soportes documentales correspondientes al seguimiento financiero de los proyectos de inversión y a la revisión de los informes financieros finales, en los cuales se realiza la contrastación de los soportes presentados por los docentes con las solicitudes tramitadas en la dependencia. Las inconsistencias identificadas son comunicadas oportunamente a los responsables y a los centros de investigación, lo cual contribuye al fortalecimiento del control y a la mitigación del riesgo asociado.
Adicionalmente, se evidencia la programación de la presentación del informe consolidado del estado de los proyectos de investigación ante el Consejo Institucional de Investigaciones, con corte a diciembre, lo cual se considera coherente con los mecanismos de control definidos y con la necesidad de disponer de información oportuna para la toma de decisiones.
Sobre las acciones de tratamiento
Se revisan las acciones orientadas a la normalización de los proyectos de investigación con pendientes de ejecución y entrega de productos. En este sentido, se evidencia la formulación y presentación de una propuesta de acta compromisoria ante el Consejo Institucional de Investigaciones, la cual se constituye en un instrumento para la regularización de los proyectos en estado no ejecutado, conforme a lo registrado en el Acta No. 20 del 20 de agosto de 2025.
Así mismo, se verifica el envío de observaciones a los centros de investigación respecto de los proyectos no ejecutados con pendientes, con el fin de identificar aquellos susceptibles de acogerse a un acta compromisoria. Estas acciones se consideran consistentes con el tratamiento definido y aportan al control del riesgo mediante el fortalecimiento del seguimiento y la regularización de los proyectos.</v>
      </c>
      <c r="AH58" s="150" t="str">
        <f>IFERROR(__xludf.DUMMYFUNCTION("""COMPUTED_VALUE"""),"31 de diciembre")</f>
        <v>31 de diciembre</v>
      </c>
      <c r="AI58" s="32" t="str">
        <f>IFERROR(__xludf.DUMMYFUNCTION("""COMPUTED_VALUE"""),"Si")</f>
        <v>Si</v>
      </c>
      <c r="AJ58" s="32" t="str">
        <f>IFERROR(__xludf.DUMMYFUNCTION("""COMPUTED_VALUE"""),"Si")</f>
        <v>Si</v>
      </c>
      <c r="AK58" s="32" t="str">
        <f>IFERROR(__xludf.DUMMYFUNCTION("""COMPUTED_VALUE"""),"Si")</f>
        <v>Si</v>
      </c>
      <c r="AL58" s="32" t="str">
        <f>IFERROR(__xludf.DUMMYFUNCTION("""COMPUTED_VALUE"""),"Si")</f>
        <v>Si</v>
      </c>
      <c r="AM58" s="32" t="str">
        <f>IFERROR(__xludf.DUMMYFUNCTION("""COMPUTED_VALUE"""),"Si")</f>
        <v>Si</v>
      </c>
      <c r="AN58" s="32" t="str">
        <f>IFERROR(__xludf.DUMMYFUNCTION("""COMPUTED_VALUE"""),"Si")</f>
        <v>Si</v>
      </c>
      <c r="AO58" s="32" t="str">
        <f>IFERROR(__xludf.DUMMYFUNCTION("""COMPUTED_VALUE"""),"Si")</f>
        <v>Si</v>
      </c>
      <c r="AP58" s="32" t="str">
        <f>IFERROR(__xludf.DUMMYFUNCTION("""COMPUTED_VALUE"""),"No aplica")</f>
        <v>No aplica</v>
      </c>
      <c r="AQ58" s="32" t="str">
        <f>IFERROR(__xludf.DUMMYFUNCTION("""COMPUTED_VALUE"""),"No aplica")</f>
        <v>No aplica</v>
      </c>
      <c r="AR58" s="32" t="str">
        <f>IFERROR(__xludf.DUMMYFUNCTION("""COMPUTED_VALUE"""),"No aplica")</f>
        <v>No aplica</v>
      </c>
      <c r="AS58" s="150" t="str">
        <f>IFERROR(__xludf.DUMMYFUNCTION("""COMPUTED_VALUE"""),"Se recomienda fortalecer el reporte del monitoreo por parte de la primrea línea, considerando la acción asociada al tratamiento de los riesgos y que se describe en los siguientes términos: ""-Seguimiento del uso de la herramienta anti-plagio por parte de "&amp;"los docentes y estudiantes de posgrado"". Lo anterior toda vez que, en el monitoreo no se reporta el resultado de la implentación de esta actividad.")</f>
        <v>Se recomienda fortalecer el reporte del monitoreo por parte de la primrea línea, considerando la acción asociada al tratamiento de los riesgos y que se describe en los siguientes términos: "-Seguimiento del uso de la herramienta anti-plagio por parte de los docentes y estudiantes de posgrado". Lo anterior toda vez que, en el monitoreo no se reporta el resultado de la implentación de esta actividad.</v>
      </c>
      <c r="AT58" s="139"/>
    </row>
    <row r="59">
      <c r="A59" s="86"/>
      <c r="B59" s="73"/>
      <c r="C59" s="73"/>
      <c r="D59" s="144" t="str">
        <f>IFERROR(__xludf.DUMMYFUNCTION("""COMPUTED_VALUE"""),"Afectación reputacional y economica por desvío y uso indebido de recursos de investigación en actividades de beneficio particular debido a la baja aplicación de los controles establecidos en los procedimientos para la gestión de proyectos de investigación"&amp;".")</f>
        <v>Afectación reputacional y economica por desvío y uso indebido de recursos de investigación en actividades de beneficio particular debido a la baja aplicación de los controles establecidos en los procedimientos para la gestión de proyectos de investigación.</v>
      </c>
      <c r="E59" s="144" t="str">
        <f>IFERROR(__xludf.DUMMYFUNCTION("""COMPUTED_VALUE"""),"Dirección General de Investigaciones")</f>
        <v>Dirección General de Investigaciones</v>
      </c>
      <c r="F59" s="144" t="str">
        <f>IFERROR(__xludf.DUMMYFUNCTION("""COMPUTED_VALUE"""),"Corrupción")</f>
        <v>Corrupción</v>
      </c>
      <c r="G59" s="144" t="str">
        <f>IFERROR(__xludf.DUMMYFUNCTION("""COMPUTED_VALUE"""),"-Baja aplicación de los controles establecidos en los procedimientos para la ejecución de proyectos de investigación")</f>
        <v>-Baja aplicación de los controles establecidos en los procedimientos para la ejecución de proyectos de investigación</v>
      </c>
      <c r="H59" s="144" t="str">
        <f>IFERROR(__xludf.DUMMYFUNCTION("""COMPUTED_VALUE"""),"1. Intervención de órganos de control.
2. Detrimento patrimonial.
3. Disminución de los indicadores institucionales.
4. Deterioro de la imagen institucional.")</f>
        <v>1. Intervención de órganos de control.
2. Detrimento patrimonial.
3. Disminución de los indicadores institucionales.
4. Deterioro de la imagen institucional.</v>
      </c>
      <c r="I59" s="145" t="str">
        <f>IFERROR(__xludf.DUMMYFUNCTION("""COMPUTED_VALUE"""),"INV_02")</f>
        <v>INV_02</v>
      </c>
      <c r="J59" s="145" t="str">
        <f>IFERROR(__xludf.DUMMYFUNCTION("""COMPUTED_VALUE"""),"Media")</f>
        <v>Media</v>
      </c>
      <c r="K59" s="145" t="str">
        <f>IFERROR(__xludf.DUMMYFUNCTION("""COMPUTED_VALUE"""),"Catastrófico")</f>
        <v>Catastrófico</v>
      </c>
      <c r="L59" s="145" t="str">
        <f>IFERROR(__xludf.DUMMYFUNCTION("""COMPUTED_VALUE"""),"Extrema")</f>
        <v>Extrema</v>
      </c>
      <c r="M59" s="144" t="str">
        <f>IFERROR(__xludf.DUMMYFUNCTION("""COMPUTED_VALUE"""),"- El director tecnico de investigaciones  y profesionales de apoyo verifican el estado financiero de los proyectos mediante la Matriz de seguimiento y control de los proyectos de investigación 
- El consejo de investigaciones revisa el estado general de l"&amp;"os proyectos de investIgación mediante un informe emitido por la dirección general de invetigaciones
 ")</f>
        <v>- El director tecnico de investigaciones  y profesionales de apoyo verifican el estado financiero de los proyectos mediante la Matriz de seguimiento y control de los proyectos de investigación 
- El consejo de investigaciones revisa el estado general de los proyectos de investIgación mediante un informe emitido por la dirección general de invetigaciones
 </v>
      </c>
      <c r="N59" s="145" t="str">
        <f>IFERROR(__xludf.DUMMYFUNCTION("""COMPUTED_VALUE"""),"Baja")</f>
        <v>Baja</v>
      </c>
      <c r="O59" s="145" t="str">
        <f>IFERROR(__xludf.DUMMYFUNCTION("""COMPUTED_VALUE"""),"Catastrófico")</f>
        <v>Catastrófico</v>
      </c>
      <c r="P59" s="145" t="str">
        <f>IFERROR(__xludf.DUMMYFUNCTION("""COMPUTED_VALUE"""),"Extrema")</f>
        <v>Extrema</v>
      </c>
      <c r="Q59" s="178" t="str">
        <f>IFERROR(__xludf.DUMMYFUNCTION("""COMPUTED_VALUE"""),"Reducir")</f>
        <v>Reducir</v>
      </c>
      <c r="R59" s="158" t="str">
        <f>IFERROR(__xludf.DUMMYFUNCTION("""COMPUTED_VALUE"""),"Realizar seguimiento a la ejecución de los proyectos de investigación mediante el Consejo Institucional de Investigaciones.")</f>
        <v>Realizar seguimiento a la ejecución de los proyectos de investigación mediante el Consejo Institucional de Investigaciones.</v>
      </c>
      <c r="S59" s="159" t="str">
        <f>IFERROR(__xludf.DUMMYFUNCTION("""COMPUTED_VALUE"""),"Semestral")</f>
        <v>Semestral</v>
      </c>
      <c r="T59" s="170" t="str">
        <f>IFERROR(__xludf.DUMMYFUNCTION("""COMPUTED_VALUE"""),"Directora Técnica de Investigaciones")</f>
        <v>Directora Técnica de Investigaciones</v>
      </c>
      <c r="U59" s="170" t="str">
        <f>IFERROR(__xludf.DUMMYFUNCTION("""COMPUTED_VALUE"""),"Actas del Consejo Institucional de Investigaciones")</f>
        <v>Actas del Consejo Institucional de Investigaciones</v>
      </c>
      <c r="V59" s="167" t="str">
        <f>IFERROR(__xludf.DUMMYFUNCTION("""COMPUTED_VALUE"""),"Realizar el reporte a los organismos de control de la Universidad.")</f>
        <v>Realizar el reporte a los organismos de control de la Universidad.</v>
      </c>
      <c r="W59" s="167" t="str">
        <f>IFERROR(__xludf.DUMMYFUNCTION("""COMPUTED_VALUE"""),"Informes, Actas")</f>
        <v>Informes, Actas</v>
      </c>
      <c r="X59" s="169" t="str">
        <f>IFERROR(__xludf.DUMMYFUNCTION("""COMPUTED_VALUE"""),"Directora Técnico de Investigaciones")</f>
        <v>Directora Técnico de Investigaciones</v>
      </c>
      <c r="Y59" s="169" t="str">
        <f>IFERROR(__xludf.DUMMYFUNCTION("""COMPUTED_VALUE"""),"Semestral")</f>
        <v>Semestral</v>
      </c>
      <c r="Z59" s="150" t="str">
        <f>IFERROR(__xludf.DUMMYFUNCTION("""COMPUTED_VALUE"""),"30 de abril")</f>
        <v>30 de abril</v>
      </c>
      <c r="AA59" s="32" t="str">
        <f>IFERROR(__xludf.DUMMYFUNCTION("""COMPUTED_VALUE"""),"01/01/2025 - 30/04/2025")</f>
        <v>01/01/2025 - 30/04/2025</v>
      </c>
      <c r="AB59" s="150" t="str">
        <f>IFERROR(__xludf.DUMMYFUNCTION("""COMPUTED_VALUE"""),"Durante el período de monitoreo NO se materializó el riesgo.
Acciones asociadas a la aplicación de controles de los riesgos:
- Desde la Dirección General de Investigaciones se realiza el seguimiento financiero de los proyectos vigentes, a la fecha se cu"&amp;"enta con un total de 51 proyectos vigentes y dos proyectos suspendidos, el seguimiento financiero de los proyectos vigentes se realiza mediante una matriz de seguimiento y control, se adjunta copia de las dos matrices interna de seguimiento y control con "&amp;"los proyectos vigentes (Anexo 10 y 11).
- La Dirección General de Investigaciones en la Sesión ordinaria No. 02 del 30 de enero 2025 (acta No 02 del 2025), presentó un informe general del estado de los proyectos de investigación (Anexo 9).
Acciones asoci"&amp;"adas al tratamiento del riesgo:
- La Dirección General de Investigaciones en la Sesión ordinaria No. 02 del 30 de enero 2025 (acta No 02 del 2025), presentó un informe general del estado de los proyectos de investigación de los cuales en ese momento se e"&amp;"ncontraban 35 proyectos vigentes, 136 vencidos, 30 terminados, 25 no ejecutados, 2 suspendidos, 442 finalizados, 27 en Control Interno, 8 aplazados y 5 caducados, para un total de 710 proyectos (Anexo 9). Adicional, se adjuntan resoluciones de horas de in"&amp;"vestigación asignadas para los proyectos internos vigentes para 2025-1 (Anexo 12, 12.1.,12.2,12.2. y 12.3.).
")</f>
        <v>Durante el período de monitoreo NO se materializó el riesgo.
Acciones asociadas a la aplicación de controles de los riesgos:
- Desde la Dirección General de Investigaciones se realiza el seguimiento financiero de los proyectos vigentes, a la fecha se cuenta con un total de 51 proyectos vigentes y dos proyectos suspendidos, el seguimiento financiero de los proyectos vigentes se realiza mediante una matriz de seguimiento y control, se adjunta copia de las dos matrices interna de seguimiento y control con los proyectos vigentes (Anexo 10 y 11).
- La Dirección General de Investigaciones en la Sesión ordinaria No. 02 del 30 de enero 2025 (acta No 02 del 2025), presentó un informe general del estado de los proyectos de investigación (Anexo 9).
Acciones asociadas al tratamiento del riesgo:
- La Dirección General de Investigaciones en la Sesión ordinaria No. 02 del 30 de enero 2025 (acta No 02 del 2025), presentó un informe general del estado de los proyectos de investigación de los cuales en ese momento se encontraban 35 proyectos vigentes, 136 vencidos, 30 terminados, 25 no ejecutados, 2 suspendidos, 442 finalizados, 27 en Control Interno, 8 aplazados y 5 caducados, para un total de 710 proyectos (Anexo 9). Adicional, se adjuntan resoluciones de horas de investigación asignadas para los proyectos internos vigentes para 2025-1 (Anexo 12, 12.1.,12.2,12.2. y 12.3.).
</v>
      </c>
      <c r="AC59" s="152" t="str">
        <f>IFERROR(__xludf.DUMMYFUNCTION("""COMPUTED_VALUE"""),"Yohana Maria Velasco Santamaria /Directora Técnica de Investigaciones")</f>
        <v>Yohana Maria Velasco Santamaria /Directora Técnica de Investigaciones</v>
      </c>
      <c r="AD59" s="153" t="str">
        <f>IFERROR(__xludf.DUMMYFUNCTION("""COMPUTED_VALUE"""),"Evidencia")</f>
        <v>Evidencia</v>
      </c>
      <c r="AE59" s="150" t="str">
        <f>IFERROR(__xludf.DUMMYFUNCTION("""COMPUTED_VALUE"""),"Si")</f>
        <v>Si</v>
      </c>
      <c r="AF59" s="150" t="str">
        <f>IFERROR(__xludf.DUMMYFUNCTION("""COMPUTED_VALUE"""),"En proceso")</f>
        <v>En proceso</v>
      </c>
      <c r="AG59" s="32" t="str">
        <f>IFERROR(__xludf.DUMMYFUNCTION("""COMPUTED_VALUE"""),"Se evidencia reporte oportuno sobre la NO materialización del riesgo. 
Sobre las acciones asociadas a la aplicación de controles reportadas: 
C1: El director tecnico de investigaciones y profesionales de apoyo verifican el estado financiero de los proy"&amp;"ectos mediante la Matriz de seguimiento y control de los proyectos de investigación, se evidencia reporte acorde a los controles por medio de el seguimiento a 51 proyectos vigentes y 2 suspendidos se ejecuta el control de manera efectiva y se justifica co"&amp;"n anexo 10 y 11. 
C2: El consejo de investigaciones revisa el estado general de los proyectos de investigación mediante un informe emitido por la dirección general de investigaciones, se reporta la ejecución del control de manera efectiva por medio de el"&amp;" acta 002 de 2025 sesión ordinaria No. 02 de 30 de enero 2025 emitida por la DGI, en donde se presento el informe general del estado de los proyectos de investigación, evidencia acorde presentada en el anexo 9. 
Sobre las acciones asociadas al tratamient"&amp;"o del riesgo: 
Acción: Realizar seguimiento a la ejecución de los proyectos de investigación mediante el consejo institucional de investigación, actividad con periodicidad mensual se revisan las evidencias encontrando evidencia acorde que reporta el avan"&amp;"ce de la acción de tratamiento por medio acta de reunión sesión ordinaria a cargo de la dirección general de investigación los anexos 9 y 12 justifican el avance en el reporte para este primer monitoreo. ")</f>
        <v>Se evidencia reporte oportuno sobre la NO materialización del riesgo. 
Sobre las acciones asociadas a la aplicación de controles reportadas: 
C1: El director tecnico de investigaciones y profesionales de apoyo verifican el estado financiero de los proyectos mediante la Matriz de seguimiento y control de los proyectos de investigación, se evidencia reporte acorde a los controles por medio de el seguimiento a 51 proyectos vigentes y 2 suspendidos se ejecuta el control de manera efectiva y se justifica con anexo 10 y 11. 
C2: El consejo de investigaciones revisa el estado general de los proyectos de investigación mediante un informe emitido por la dirección general de investigaciones, se reporta la ejecución del control de manera efectiva por medio de el acta 002 de 2025 sesión ordinaria No. 02 de 30 de enero 2025 emitida por la DGI, en donde se presento el informe general del estado de los proyectos de investigación, evidencia acorde presentada en el anexo 9. 
Sobre las acciones asociadas al tratamiento del riesgo: 
Acción: Realizar seguimiento a la ejecución de los proyectos de investigación mediante el consejo institucional de investigación, actividad con periodicidad mensual se revisan las evidencias encontrando evidencia acorde que reporta el avance de la acción de tratamiento por medio acta de reunión sesión ordinaria a cargo de la dirección general de investigación los anexos 9 y 12 justifican el avance en el reporte para este primer monitoreo. </v>
      </c>
      <c r="AH59" s="150" t="str">
        <f>IFERROR(__xludf.DUMMYFUNCTION("""COMPUTED_VALUE"""),"30 de abril")</f>
        <v>30 de abril</v>
      </c>
      <c r="AI59" s="32" t="str">
        <f>IFERROR(__xludf.DUMMYFUNCTION("""COMPUTED_VALUE"""),"Si")</f>
        <v>Si</v>
      </c>
      <c r="AJ59" s="32" t="str">
        <f>IFERROR(__xludf.DUMMYFUNCTION("""COMPUTED_VALUE"""),"Si")</f>
        <v>Si</v>
      </c>
      <c r="AK59" s="32" t="str">
        <f>IFERROR(__xludf.DUMMYFUNCTION("""COMPUTED_VALUE"""),"Si")</f>
        <v>Si</v>
      </c>
      <c r="AL59" s="32" t="str">
        <f>IFERROR(__xludf.DUMMYFUNCTION("""COMPUTED_VALUE"""),"Si")</f>
        <v>Si</v>
      </c>
      <c r="AM59" s="32" t="str">
        <f>IFERROR(__xludf.DUMMYFUNCTION("""COMPUTED_VALUE"""),"Si")</f>
        <v>Si</v>
      </c>
      <c r="AN59" s="32" t="str">
        <f>IFERROR(__xludf.DUMMYFUNCTION("""COMPUTED_VALUE"""),"Si")</f>
        <v>Si</v>
      </c>
      <c r="AO59" s="32" t="str">
        <f>IFERROR(__xludf.DUMMYFUNCTION("""COMPUTED_VALUE"""),"Si")</f>
        <v>Si</v>
      </c>
      <c r="AP59" s="32" t="str">
        <f>IFERROR(__xludf.DUMMYFUNCTION("""COMPUTED_VALUE"""),"No")</f>
        <v>No</v>
      </c>
      <c r="AQ59" s="32" t="str">
        <f>IFERROR(__xludf.DUMMYFUNCTION("""COMPUTED_VALUE"""),"No")</f>
        <v>No</v>
      </c>
      <c r="AR59" s="32" t="str">
        <f>IFERROR(__xludf.DUMMYFUNCTION("""COMPUTED_VALUE"""),"No aplica")</f>
        <v>No aplica</v>
      </c>
      <c r="AS59" s="150" t="str">
        <f>IFERROR(__xludf.DUMMYFUNCTION("""COMPUTED_VALUE"""),"Recomendación:
*Fortalecer la descripción de los controles conforme a la metodogía propuesta en la Guía para la Administración del Riesgo y el diseño de controles en entidades públicas Versión 4 de 2018, que propone los elementos que debe contemplar el di"&amp;"seño del control relacionados con los riesgos de corrupción:
-Debe tener definido el responsable de llevar a cabo la actividad de control.
-Debe tener una periodicidad definida para su ejecución.
-Debe indicar cuál es el propósito del control.
-Debe estab"&amp;"lecer el cómo se realiza la actividad de control.
-Debe indicar qué pasa con las observaciones o desviaciones resultantes de ejecutar el control
-Debe dejar evidencia de la ejecución del control.")</f>
        <v>Recomendación:
*Fortalecer la descripción de los controles conforme a la metodogía propuesta en la Guía para la Administración del Riesgo y el diseño de controles en entidades públicas Versión 4 de 2018, que propone los elementos que debe contemplar el diseño del control relacionados con los riesgos de corrupción:
-Debe tener definido el responsable de llevar a cabo la actividad de control.
-Debe tener una periodicidad definida para su ejecución.
-Debe indicar cuál es el propósito del control.
-Debe establecer el cómo se realiza la actividad de control.
-Debe indicar qué pasa con las observaciones o desviaciones resultantes de ejecutar el control
-Debe dejar evidencia de la ejecución del control.</v>
      </c>
      <c r="AT59" s="139"/>
    </row>
    <row r="60">
      <c r="A60" s="86"/>
      <c r="B60" s="73"/>
      <c r="C60" s="73"/>
      <c r="D60" s="156"/>
      <c r="E60" s="156"/>
      <c r="F60" s="156"/>
      <c r="G60" s="156"/>
      <c r="H60" s="156"/>
      <c r="I60" s="156"/>
      <c r="J60" s="156"/>
      <c r="K60" s="156"/>
      <c r="L60" s="156"/>
      <c r="M60" s="156"/>
      <c r="N60" s="156"/>
      <c r="O60" s="156"/>
      <c r="P60" s="156"/>
      <c r="Q60" s="157"/>
      <c r="R60" s="158" t="str">
        <f>IFERROR(__xludf.DUMMYFUNCTION("""COMPUTED_VALUE"""),"")</f>
        <v/>
      </c>
      <c r="S60" s="159" t="str">
        <f>IFERROR(__xludf.DUMMYFUNCTION("""COMPUTED_VALUE"""),"")</f>
        <v/>
      </c>
      <c r="T60" s="170"/>
      <c r="U60" s="170"/>
      <c r="V60" s="94"/>
      <c r="W60" s="94"/>
      <c r="X60" s="94"/>
      <c r="Y60" s="94"/>
      <c r="Z60" s="150" t="str">
        <f>IFERROR(__xludf.DUMMYFUNCTION("""COMPUTED_VALUE"""),"30 de agosto")</f>
        <v>30 de agosto</v>
      </c>
      <c r="AA60" s="32" t="str">
        <f>IFERROR(__xludf.DUMMYFUNCTION("""COMPUTED_VALUE"""),"01/05/2025 - 29/08/2025")</f>
        <v>01/05/2025 - 29/08/2025</v>
      </c>
      <c r="AB60" s="150" t="str">
        <f>IFERROR(__xludf.DUMMYFUNCTION("""COMPUTED_VALUE"""),"Durante el período de monitoreo NO se materializó el riesgo.
Acciones asociadas a la aplicación de controles de los riesgos:
- Desde la Dirección General de Investigaciones los profesionales de apoyo realizan el seguimiento financiero de los proyectos v"&amp;"igentes de manera permanente y teniendo en cuenta las solicitudes de avances, contrataciones y compras realizadas por los docentes, con el fin de conocer en tiempo real la ejecución y afectación financiera del presupuesto pactado en los proyectos, a la fe"&amp;"cha se cuenta con un total de 66 proyectos en ejecución y 183 proyectos no ejecutados, el seguimiento financiero de los proyectos se realiza mediante una matriz de seguimiento y control, se adjunta copia de las dos matrices internas de seguimiento y contr"&amp;"ol con los proyectos vigentes (Anexo 18 y 19), la matriz se diseñó de manera tal que una vez el proyecto llegue a su fecha de vencimiento automáticamente pase a estado de vencido, de igual forma en la pestaña observaciones se registra toda la trazabilidad"&amp;" referente al proyectos.
Así mismo, las profesionales de apoyo de la Dirección General de Investigaciones realizan la revisión de los soportes financieros entregados en los informes finales de cada proyecto, contrastando con las solicitudes recibidas en l"&amp;"a dependencia, este seguimiento se realiza de manera permanente a través de las matrices de seguimiento y control (Anexo 18 y 19), todas las inconsistencias o falta de soportes financieros se reportan vía correo electrónico al docente y al centro de inves"&amp;"tigaciones (se adjunta ejemplo, ver Anexo 20 y 21) 
- La Dirección General de Investigaciones presenta ante el Consejo Institucional de Investigaciones en Sesión ordinaria No. 14 del 16 de junio 2025 (acta No 14 del 2025) (Acta en proceso de aprobación) ("&amp;"Anexo 24 y 25), un informe del estado de los proyectos de investigación con el fin de dar a conocer los cambios en la ejecución de los proyectos y los diferentes problemas identificados por la Dirección, el informe reportó un total de 66 proyectos en ejec"&amp;"ución,183 proyectos no ejecutados y 462 ejecutados; así mismo, se presenta con el fin de que los centros de investigación realicen la revisión de los proyectos de investigación con los docentes.
Acciones asociadas al tratamiento del riesgo:
-  La Direcc"&amp;"ión General de Investigaciones presenta ante el Consejo Institucional de Investigaciones en Sesión ordinaria No. 14 del 16 de junio 2025 (acta No 14 del 2025) (Acta en proceso de aprobación) (Anexo 24 y 25) un informe del estado de los proyectos de invest"&amp;"igación con el fin de dar a conocer los cambios en la ejecución de los proyectos y los diferentes problemas identificados por la Dirección, el informe reportó un total de 66 proyectos en ejecución,183 proyectos no ejecutados y 462 ejecutados; así mismo, s"&amp;"e presenta con el fin de que los centros de investigación realicen la revisión de los proyectos de investigación con los docentes.
La Dirección General de Investigaciones realiza mediante mesas de trabajo revisión con los centros de investigación sobre lo"&amp;"s estados de ejecución de los proyectos de investigación, con el fin de que los centro retroalimenten la información con los docentes y envíen la información faltante. (Anexo 22 y 23 )")</f>
        <v>Durante el período de monitoreo NO se materializó el riesgo.
Acciones asociadas a la aplicación de controles de los riesgos:
- Desde la Dirección General de Investigaciones los profesionales de apoyo realizan el seguimiento financiero de los proyectos vigentes de manera permanente y teniendo en cuenta las solicitudes de avances, contrataciones y compras realizadas por los docentes, con el fin de conocer en tiempo real la ejecución y afectación financiera del presupuesto pactado en los proyectos, a la fecha se cuenta con un total de 66 proyectos en ejecución y 183 proyectos no ejecutados, el seguimiento financiero de los proyectos se realiza mediante una matriz de seguimiento y control, se adjunta copia de las dos matrices internas de seguimiento y control con los proyectos vigentes (Anexo 18 y 19), la matriz se diseñó de manera tal que una vez el proyecto llegue a su fecha de vencimiento automáticamente pase a estado de vencido, de igual forma en la pestaña observaciones se registra toda la trazabilidad referente al proyectos.
Así mismo, las profesionales de apoyo de la Dirección General de Investigaciones realizan la revisión de los soportes financieros entregados en los informes finales de cada proyecto, contrastando con las solicitudes recibidas en la dependencia, este seguimiento se realiza de manera permanente a través de las matrices de seguimiento y control (Anexo 18 y 19), todas las inconsistencias o falta de soportes financieros se reportan vía correo electrónico al docente y al centro de investigaciones (se adjunta ejemplo, ver Anexo 20 y 21) 
- La Dirección General de Investigaciones presenta ante el Consejo Institucional de Investigaciones en Sesión ordinaria No. 14 del 16 de junio 2025 (acta No 14 del 2025) (Acta en proceso de aprobación) (Anexo 24 y 25), un informe del estado de los proyectos de investigación con el fin de dar a conocer los cambios en la ejecución de los proyectos y los diferentes problemas identificados por la Dirección, el informe reportó un total de 66 proyectos en ejecución,183 proyectos no ejecutados y 462 ejecutados; así mismo, se presenta con el fin de que los centros de investigación realicen la revisión de los proyectos de investigación con los docentes.
Acciones asociadas al tratamiento del riesgo:
-  La Dirección General de Investigaciones presenta ante el Consejo Institucional de Investigaciones en Sesión ordinaria No. 14 del 16 de junio 2025 (acta No 14 del 2025) (Acta en proceso de aprobación) (Anexo 24 y 25) un informe del estado de los proyectos de investigación con el fin de dar a conocer los cambios en la ejecución de los proyectos y los diferentes problemas identificados por la Dirección, el informe reportó un total de 66 proyectos en ejecución,183 proyectos no ejecutados y 462 ejecutados; así mismo, se presenta con el fin de que los centros de investigación realicen la revisión de los proyectos de investigación con los docentes.
La Dirección General de Investigaciones realiza mediante mesas de trabajo revisión con los centros de investigación sobre los estados de ejecución de los proyectos de investigación, con el fin de que los centro retroalimenten la información con los docentes y envíen la información faltante. (Anexo 22 y 23 )</v>
      </c>
      <c r="AC60" s="152" t="str">
        <f>IFERROR(__xludf.DUMMYFUNCTION("""COMPUTED_VALUE"""),"Yohana Maria Velasco Santamaria /Directora Técnica de Investigaciones")</f>
        <v>Yohana Maria Velasco Santamaria /Directora Técnica de Investigaciones</v>
      </c>
      <c r="AD60" s="153" t="str">
        <f>IFERROR(__xludf.DUMMYFUNCTION("""COMPUTED_VALUE"""),"Evidencia")</f>
        <v>Evidencia</v>
      </c>
      <c r="AE60" s="150" t="str">
        <f>IFERROR(__xludf.DUMMYFUNCTION("""COMPUTED_VALUE"""),"Si")</f>
        <v>Si</v>
      </c>
      <c r="AF60" s="152" t="str">
        <f>IFERROR(__xludf.DUMMYFUNCTION("""COMPUTED_VALUE"""),"En proceso")</f>
        <v>En proceso</v>
      </c>
      <c r="AG60" s="32" t="str">
        <f>IFERROR(__xludf.DUMMYFUNCTION("""COMPUTED_VALUE"""),"Durante el períod monitoreado no se materializó el riesgo.
Aplicación de controles:
El proceso demuestra la operación continua del mecanismo de seguimiento financiero de proyectos, soportado en matrices que registran ejecución presupuestal, vencimientos "&amp;"automáticos y observaciones con trazabilidad de cada solicitud. A corte de agosto de 2025 se identifican 66 proyectos en ejecución, 183 no ejecutados y 462 finalizados, cifras que permiten caracterizar el nivel de avance del portafolio vigente (Anexos 18 "&amp;"y 19).
Se valida que los informes finales de proyectos incluyen revisión de soportes financieros frente a las solicitudes de gasto previamente radicadas. Las inconsistencias detectadas se notifican formalmente a docentes y centros de investigación, lo cu"&amp;"al confirma un flujo de control preventivo y correctivo, con trazabilidad documental (Anexos 20 y 21).
El Consejo Institucional de Investigaciones, en sesión ordinaria No. 14 del 16 de junio de 2025 (acta en proceso de aprobación, Anexos 24 y 25), recibi"&amp;"ó el informe consolidado de proyectos, con análisis de avances, rezagos y problemáticas. Este espacio colegiado constituye un nivel adicional de control que garantiza revisión independiente de la gestión ejecutada por la Dirección.
Acciones de tratamient"&amp;"o:
La Dirección General de Investigaciones complementó el seguimiento con mesas de trabajo técnicas junto a los centros de investigación (Anexos 22 y 23), orientadas a depurar información pendiente y fortalecer la retroalimentación docente. Este esquema c"&amp;"ontribuye a la estandarización de prácticas de control y a la mitigación de riesgos derivados de la falta de información oportuna.
Se observa que los controles aplicados son efectivos y pertinentes, evidencian trazabilidad y garantizan consistencia entre"&amp;" ejecución financiera y reporte institucional. La acción de tratamiento presenta avance verificable mediante informes al Consejo y espacios de revisión técnica. Se recomienda fortalecer el sistema con indicadores de desempeño financiero y de cumplimiento "&amp;"de informes finales, que permitan dimensionar tendencias y anticipar escenarios de riesgo en etapas tempranas.")</f>
        <v>Durante el períod monitoreado no se materializó el riesgo.
Aplicación de controles:
El proceso demuestra la operación continua del mecanismo de seguimiento financiero de proyectos, soportado en matrices que registran ejecución presupuestal, vencimientos automáticos y observaciones con trazabilidad de cada solicitud. A corte de agosto de 2025 se identifican 66 proyectos en ejecución, 183 no ejecutados y 462 finalizados, cifras que permiten caracterizar el nivel de avance del portafolio vigente (Anexos 18 y 19).
Se valida que los informes finales de proyectos incluyen revisión de soportes financieros frente a las solicitudes de gasto previamente radicadas. Las inconsistencias detectadas se notifican formalmente a docentes y centros de investigación, lo cual confirma un flujo de control preventivo y correctivo, con trazabilidad documental (Anexos 20 y 21).
El Consejo Institucional de Investigaciones, en sesión ordinaria No. 14 del 16 de junio de 2025 (acta en proceso de aprobación, Anexos 24 y 25), recibió el informe consolidado de proyectos, con análisis de avances, rezagos y problemáticas. Este espacio colegiado constituye un nivel adicional de control que garantiza revisión independiente de la gestión ejecutada por la Dirección.
Acciones de tratamiento:
La Dirección General de Investigaciones complementó el seguimiento con mesas de trabajo técnicas junto a los centros de investigación (Anexos 22 y 23), orientadas a depurar información pendiente y fortalecer la retroalimentación docente. Este esquema contribuye a la estandarización de prácticas de control y a la mitigación de riesgos derivados de la falta de información oportuna.
Se observa que los controles aplicados son efectivos y pertinentes, evidencian trazabilidad y garantizan consistencia entre ejecución financiera y reporte institucional. La acción de tratamiento presenta avance verificable mediante informes al Consejo y espacios de revisión técnica. Se recomienda fortalecer el sistema con indicadores de desempeño financiero y de cumplimiento de informes finales, que permitan dimensionar tendencias y anticipar escenarios de riesgo en etapas tempranas.</v>
      </c>
      <c r="AH60" s="150" t="str">
        <f>IFERROR(__xludf.DUMMYFUNCTION("""COMPUTED_VALUE"""),"31 de agosto")</f>
        <v>31 de agosto</v>
      </c>
      <c r="AI60" s="32" t="str">
        <f>IFERROR(__xludf.DUMMYFUNCTION("""COMPUTED_VALUE"""),"Si")</f>
        <v>Si</v>
      </c>
      <c r="AJ60" s="32" t="str">
        <f>IFERROR(__xludf.DUMMYFUNCTION("""COMPUTED_VALUE"""),"Si")</f>
        <v>Si</v>
      </c>
      <c r="AK60" s="32" t="str">
        <f>IFERROR(__xludf.DUMMYFUNCTION("""COMPUTED_VALUE"""),"Si")</f>
        <v>Si</v>
      </c>
      <c r="AL60" s="32" t="str">
        <f>IFERROR(__xludf.DUMMYFUNCTION("""COMPUTED_VALUE"""),"Si")</f>
        <v>Si</v>
      </c>
      <c r="AM60" s="32" t="str">
        <f>IFERROR(__xludf.DUMMYFUNCTION("""COMPUTED_VALUE"""),"Si")</f>
        <v>Si</v>
      </c>
      <c r="AN60" s="32" t="str">
        <f>IFERROR(__xludf.DUMMYFUNCTION("""COMPUTED_VALUE"""),"Si")</f>
        <v>Si</v>
      </c>
      <c r="AO60" s="32" t="str">
        <f>IFERROR(__xludf.DUMMYFUNCTION("""COMPUTED_VALUE"""),"Si")</f>
        <v>Si</v>
      </c>
      <c r="AP60" s="32" t="str">
        <f>IFERROR(__xludf.DUMMYFUNCTION("""COMPUTED_VALUE"""),"No")</f>
        <v>No</v>
      </c>
      <c r="AQ60" s="32" t="str">
        <f>IFERROR(__xludf.DUMMYFUNCTION("""COMPUTED_VALUE"""),"No")</f>
        <v>No</v>
      </c>
      <c r="AR60" s="32" t="str">
        <f>IFERROR(__xludf.DUMMYFUNCTION("""COMPUTED_VALUE"""),"No aplica")</f>
        <v>No aplica</v>
      </c>
      <c r="AS60" s="150" t="str">
        <f>IFERROR(__xludf.DUMMYFUNCTION("""COMPUTED_VALUE"""),"Se reitera recomendación realizada en la evaluación del prmer cuatrimestre:
*Fortalecer la descripción de los controles conforme a la metodogía propuesta en la Guía para la Administración del Riesgo y el diseño de controles en entidades públicas Versión 4"&amp;" de 2018, que propone los elementos que debe contemplar el diseño del control relacionados con los riesgos de corrupción:
-Debe tener definido el responsable de llevar a cabo la actividad de control.
-Debe tener una periodicidad definida para su ejecución"&amp;".
-Debe indicar cuál es el propósito del control.
-Debe establecer el cómo se realiza la actividad de control.
-Debe indicar qué pasa con las observaciones o desviaciones resultantes de ejecutar el control
-Debe dejar evidencia de la ejecución del control"&amp;".")</f>
        <v>Se reitera recomendación realizada en la evaluación del prmer cuatrimestre:
*Fortalecer la descripción de los controles conforme a la metodogía propuesta en la Guía para la Administración del Riesgo y el diseño de controles en entidades públicas Versión 4 de 2018, que propone los elementos que debe contemplar el diseño del control relacionados con los riesgos de corrupción:
-Debe tener definido el responsable de llevar a cabo la actividad de control.
-Debe tener una periodicidad definida para su ejecución.
-Debe indicar cuál es el propósito del control.
-Debe establecer el cómo se realiza la actividad de control.
-Debe indicar qué pasa con las observaciones o desviaciones resultantes de ejecutar el control
-Debe dejar evidencia de la ejecución del control.</v>
      </c>
      <c r="AT60" s="139"/>
    </row>
    <row r="61">
      <c r="A61" s="86"/>
      <c r="B61" s="73"/>
      <c r="C61" s="73"/>
      <c r="D61" s="119"/>
      <c r="E61" s="119"/>
      <c r="F61" s="119"/>
      <c r="G61" s="119"/>
      <c r="H61" s="119"/>
      <c r="I61" s="119"/>
      <c r="J61" s="119"/>
      <c r="K61" s="119"/>
      <c r="L61" s="119"/>
      <c r="M61" s="119"/>
      <c r="N61" s="119"/>
      <c r="O61" s="119"/>
      <c r="P61" s="119"/>
      <c r="Q61" s="162"/>
      <c r="R61" s="163" t="str">
        <f>IFERROR(__xludf.DUMMYFUNCTION("""COMPUTED_VALUE"""),"")</f>
        <v/>
      </c>
      <c r="S61" s="164" t="str">
        <f>IFERROR(__xludf.DUMMYFUNCTION("""COMPUTED_VALUE"""),"")</f>
        <v/>
      </c>
      <c r="T61" s="176"/>
      <c r="U61" s="176"/>
      <c r="V61" s="98"/>
      <c r="W61" s="98"/>
      <c r="X61" s="98"/>
      <c r="Y61" s="98"/>
      <c r="Z61" s="150" t="str">
        <f>IFERROR(__xludf.DUMMYFUNCTION("""COMPUTED_VALUE"""),"30 de diciembre")</f>
        <v>30 de diciembre</v>
      </c>
      <c r="AA61" s="32" t="str">
        <f>IFERROR(__xludf.DUMMYFUNCTION("""COMPUTED_VALUE"""),"01/09/2025 - 05/12/2025")</f>
        <v>01/09/2025 - 05/12/2025</v>
      </c>
      <c r="AB61" s="150" t="str">
        <f>IFERROR(__xludf.DUMMYFUNCTION("""COMPUTED_VALUE"""),"Durante el período de monitoreo NO se materializó el riesgo.
Acciones asociadas a la aplicación de controles de los riesgos:
- Desde la Dirección General de Investigaciones los profesionales de apoyo del equipo financiero realizan el seguimiento financier"&amp;"o de los proyectos vigentes de manera permanente y teniendo en cuenta las solicitudes de avances, contrataciones y compras realizadas por los docentes, con el fin de conocer en tiempo real la ejecución y afectación financiera del presupuesto pactado en lo"&amp;"s proyectos, a la fecha se cuenta con un total de 80 proyectos en ejecución, 171 proyectos no ejecutados y 485 ejecutados, el seguimiento financiero de los proyectos se realiza mediante una matriz de seguimiento y control, se adjunta copia de las dos matr"&amp;"ices internas de seguimiento y control con los proyectos vigentes (Anexo 7 y 8), la matriz se diseñó de manera tal que una vez el proyecto llegue a su fecha de vencimiento automáticamente pase a estado de vencido, de igual forma en la pestaña observacione"&amp;"s se registra toda la trazabilidad referente al proyectos. Así mismo, los profesionales de apoyo diligencian la matriz de seguimiento financiera del proyecto de inversión (Anexo 9) 
Así mismo, las profesionales de apoyo de la Dirección General de Investig"&amp;"aciones realizan la revisión de los soportes financieros entregados en los informes finales de cada proyecto, contrastando con las solicitudes recibidas en la dependencia, este seguimiento se realiza de manera permanente a través de las matrices de seguim"&amp;"iento y control (Anexo 7 y 8), todas las inconsistencias o falta de soportes financieros se reportan vía correo electrónico al docente y al centro de investigaciones (se adjunta ejemplo, ver Anexo 10) 
-La Dirección General de Investigaciones presentará e"&amp;"n enero del año 2026 ante el Consejo Institucional de Investigaciones un informe del estado de los proyectos de investigación esto con el fin de entregar el reporte a corte de diciembre.
Acciones asociadas al tratamiento del riesgo:
-  La Dirección Genera"&amp;"l de Investigaciones presentará en la ultima sesión de diciembre del año 2025 ante el Consejo Institucional de Investigaciones un informe del estado de los proyectos de investigación esto con el fin de entregar el reporte a corte de diciembre. Además, des"&amp;"de la Dirección General de Investigaciones se presentó una propuesta de acta compromisoria ante el consejo de investigaciones, dicha acta será el insumo que permitirá la normalización de los proyectos de investigación que se encuentra pendientes de entreg"&amp;"a de productos. Acta 20 del 20 de agosto de 2025 (Anexo 11).
La Dirección General de Investigaciones envía a los centros de investigación las observaciones de los proyectos en estado no ejecutados con pendientes, con el fin de que los centros identifiquen"&amp;" qué proyectos pueden ser susceptibles de elaborar un acta compromisoria. (Anexo 12)
")</f>
        <v>Durante el período de monitoreo NO se materializó el riesgo.
Acciones asociadas a la aplicación de controles de los riesgos:
- Desde la Dirección General de Investigaciones los profesionales de apoyo del equipo financiero realizan el seguimiento financiero de los proyectos vigentes de manera permanente y teniendo en cuenta las solicitudes de avances, contrataciones y compras realizadas por los docentes, con el fin de conocer en tiempo real la ejecución y afectación financiera del presupuesto pactado en los proyectos, a la fecha se cuenta con un total de 80 proyectos en ejecución, 171 proyectos no ejecutados y 485 ejecutados, el seguimiento financiero de los proyectos se realiza mediante una matriz de seguimiento y control, se adjunta copia de las dos matrices internas de seguimiento y control con los proyectos vigentes (Anexo 7 y 8), la matriz se diseñó de manera tal que una vez el proyecto llegue a su fecha de vencimiento automáticamente pase a estado de vencido, de igual forma en la pestaña observaciones se registra toda la trazabilidad referente al proyectos. Así mismo, los profesionales de apoyo diligencian la matriz de seguimiento financiera del proyecto de inversión (Anexo 9) 
Así mismo, las profesionales de apoyo de la Dirección General de Investigaciones realizan la revisión de los soportes financieros entregados en los informes finales de cada proyecto, contrastando con las solicitudes recibidas en la dependencia, este seguimiento se realiza de manera permanente a través de las matrices de seguimiento y control (Anexo 7 y 8), todas las inconsistencias o falta de soportes financieros se reportan vía correo electrónico al docente y al centro de investigaciones (se adjunta ejemplo, ver Anexo 10) 
-La Dirección General de Investigaciones presentará en enero del año 2026 ante el Consejo Institucional de Investigaciones un informe del estado de los proyectos de investigación esto con el fin de entregar el reporte a corte de diciembre.
Acciones asociadas al tratamiento del riesgo:
-  La Dirección General de Investigaciones presentará en la ultima sesión de diciembre del año 2025 ante el Consejo Institucional de Investigaciones un informe del estado de los proyectos de investigación esto con el fin de entregar el reporte a corte de diciembre. Además, desde la Dirección General de Investigaciones se presentó una propuesta de acta compromisoria ante el consejo de investigaciones, dicha acta será el insumo que permitirá la normalización de los proyectos de investigación que se encuentra pendientes de entrega de productos. Acta 20 del 20 de agosto de 2025 (Anexo 11).
La Dirección General de Investigaciones envía a los centros de investigación las observaciones de los proyectos en estado no ejecutados con pendientes, con el fin de que los centros identifiquen qué proyectos pueden ser susceptibles de elaborar un acta compromisoria. (Anexo 12)
</v>
      </c>
      <c r="AC61" s="152" t="str">
        <f>IFERROR(__xludf.DUMMYFUNCTION("""COMPUTED_VALUE"""),"Yohana Maria Velasco Santamaria /Directora Técnica de Investigaciones")</f>
        <v>Yohana Maria Velasco Santamaria /Directora Técnica de Investigaciones</v>
      </c>
      <c r="AD61" s="153" t="str">
        <f>IFERROR(__xludf.DUMMYFUNCTION("""COMPUTED_VALUE"""),"Evidencia")</f>
        <v>Evidencia</v>
      </c>
      <c r="AE61" s="150" t="str">
        <f>IFERROR(__xludf.DUMMYFUNCTION("""COMPUTED_VALUE"""),"Si")</f>
        <v>Si</v>
      </c>
      <c r="AF61" s="152" t="str">
        <f>IFERROR(__xludf.DUMMYFUNCTION("""COMPUTED_VALUE"""),"Ejecutada")</f>
        <v>Ejecutada</v>
      </c>
      <c r="AG61" s="32" t="str">
        <f>IFERROR(__xludf.DUMMYFUNCTION("""COMPUTED_VALUE"""),"Resultado del monitoreo del riesgo
Se constata reporte por parte del proceso sobre la NO materialización del riesgo durante el período de monitoreo.
Sobre los controles
Del análisis de las evidencias remitidas se verifica que los controles definidos pr"&amp;"esentan un nivel de implementación adecuado. Se evidencia que, desde la Dirección General de Investigaciones, los profesionales de apoyo del equipo financiero realizan de manera permanente el seguimiento financiero de los proyectos de investigación vigent"&amp;"es, teniendo en cuenta las solicitudes de avances, contrataciones y compras realizadas por los docentes, con el fin de conocer en tiempo real la ejecución y afectación del presupuesto aprobado.
Dicho seguimiento se efectúa mediante matrices internas de s"&amp;"eguimiento y control, las cuales permiten identificar el estado de los proyectos (en ejecución, no ejecutados y ejecutados), así como registrar la trazabilidad de cada uno a través del módulo de observaciones. Se verifican soportes correspondientes a las "&amp;"matrices de seguimiento de proyectos vigentes (Anexos 7 y 8) y a la matriz de seguimiento financiero del proyecto de inversión (Anexo 9).
Así mismo, se constata la revisión de los soportes financieros presentados en los informes finales de los proyectos,"&amp;" los cuales son contrastados con las solicitudes tramitadas en la dependencia. Las inconsistencias o faltantes identificados son comunicados oportunamente a los docentes responsables y a los centros de investigación mediante correo electrónico, lo cual fo"&amp;"rtalece la aplicación del control y contribuye a la mitigación del riesgo (Anexo 10).
Adicionalmente, se evidencia la programación de la presentación de un informe consolidado del estado de los proyectos de investigación ante el Consejo Institucional de "&amp;"Investigaciones, con corte a diciembre, lo cual guarda correspondencia con el control orientado a la revisión del estado general de los proyectos por parte de dicha instancia.
Sobre las acciones de tratamiento
Se revisan las acciones orientadas a la nor"&amp;"malización de los proyectos de investigación con pendientes de ejecución y entrega de productos. En este sentido, se evidencia la presentación de una propuesta de acta compromisoria ante el Consejo Institucional de Investigaciones, la cual se constituye e"&amp;"n un instrumento para la regularización de los proyectos en estado no ejecutado, conforme a lo consignado en el Acta No. 20 del 20 de agosto de 2025 (Anexo 11).
Así mismo, se verifica el envío de observaciones a los centros de investigación respecto de l"&amp;"os proyectos no ejecutados con pendientes, con el fin de que estos identifiquen aquellos susceptibles de suscribir un acta compromisoria (Anexo 12). Estas acciones se consideran coherentes con el tratamiento definido y aportan al fortalecimiento del segui"&amp;"miento institucional.")</f>
        <v>Resultado del monitoreo del riesgo
Se constata reporte por parte del proceso sobre la NO materialización del riesgo durante el período de monitoreo.
Sobre los controles
Del análisis de las evidencias remitidas se verifica que los controles definidos presentan un nivel de implementación adecuado. Se evidencia que, desde la Dirección General de Investigaciones, los profesionales de apoyo del equipo financiero realizan de manera permanente el seguimiento financiero de los proyectos de investigación vigentes, teniendo en cuenta las solicitudes de avances, contrataciones y compras realizadas por los docentes, con el fin de conocer en tiempo real la ejecución y afectación del presupuesto aprobado.
Dicho seguimiento se efectúa mediante matrices internas de seguimiento y control, las cuales permiten identificar el estado de los proyectos (en ejecución, no ejecutados y ejecutados), así como registrar la trazabilidad de cada uno a través del módulo de observaciones. Se verifican soportes correspondientes a las matrices de seguimiento de proyectos vigentes (Anexos 7 y 8) y a la matriz de seguimiento financiero del proyecto de inversión (Anexo 9).
Así mismo, se constata la revisión de los soportes financieros presentados en los informes finales de los proyectos, los cuales son contrastados con las solicitudes tramitadas en la dependencia. Las inconsistencias o faltantes identificados son comunicados oportunamente a los docentes responsables y a los centros de investigación mediante correo electrónico, lo cual fortalece la aplicación del control y contribuye a la mitigación del riesgo (Anexo 10).
Adicionalmente, se evidencia la programación de la presentación de un informe consolidado del estado de los proyectos de investigación ante el Consejo Institucional de Investigaciones, con corte a diciembre, lo cual guarda correspondencia con el control orientado a la revisión del estado general de los proyectos por parte de dicha instancia.
Sobre las acciones de tratamiento
Se revisan las acciones orientadas a la normalización de los proyectos de investigación con pendientes de ejecución y entrega de productos. En este sentido, se evidencia la presentación de una propuesta de acta compromisoria ante el Consejo Institucional de Investigaciones, la cual se constituye en un instrumento para la regularización de los proyectos en estado no ejecutado, conforme a lo consignado en el Acta No. 20 del 20 de agosto de 2025 (Anexo 11).
Así mismo, se verifica el envío de observaciones a los centros de investigación respecto de los proyectos no ejecutados con pendientes, con el fin de que estos identifiquen aquellos susceptibles de suscribir un acta compromisoria (Anexo 12). Estas acciones se consideran coherentes con el tratamiento definido y aportan al fortalecimiento del seguimiento institucional.</v>
      </c>
      <c r="AH61" s="150" t="str">
        <f>IFERROR(__xludf.DUMMYFUNCTION("""COMPUTED_VALUE"""),"31 de diciembre")</f>
        <v>31 de diciembre</v>
      </c>
      <c r="AI61" s="32" t="str">
        <f>IFERROR(__xludf.DUMMYFUNCTION("""COMPUTED_VALUE"""),"Si")</f>
        <v>Si</v>
      </c>
      <c r="AJ61" s="32" t="str">
        <f>IFERROR(__xludf.DUMMYFUNCTION("""COMPUTED_VALUE"""),"Si")</f>
        <v>Si</v>
      </c>
      <c r="AK61" s="32" t="str">
        <f>IFERROR(__xludf.DUMMYFUNCTION("""COMPUTED_VALUE"""),"Si")</f>
        <v>Si</v>
      </c>
      <c r="AL61" s="32" t="str">
        <f>IFERROR(__xludf.DUMMYFUNCTION("""COMPUTED_VALUE"""),"Si")</f>
        <v>Si</v>
      </c>
      <c r="AM61" s="32" t="str">
        <f>IFERROR(__xludf.DUMMYFUNCTION("""COMPUTED_VALUE"""),"Si")</f>
        <v>Si</v>
      </c>
      <c r="AN61" s="32" t="str">
        <f>IFERROR(__xludf.DUMMYFUNCTION("""COMPUTED_VALUE"""),"Si")</f>
        <v>Si</v>
      </c>
      <c r="AO61" s="32" t="str">
        <f>IFERROR(__xludf.DUMMYFUNCTION("""COMPUTED_VALUE"""),"Si")</f>
        <v>Si</v>
      </c>
      <c r="AP61" s="32" t="str">
        <f>IFERROR(__xludf.DUMMYFUNCTION("""COMPUTED_VALUE"""),"No")</f>
        <v>No</v>
      </c>
      <c r="AQ61" s="32" t="str">
        <f>IFERROR(__xludf.DUMMYFUNCTION("""COMPUTED_VALUE"""),"No")</f>
        <v>No</v>
      </c>
      <c r="AR61" s="32" t="str">
        <f>IFERROR(__xludf.DUMMYFUNCTION("""COMPUTED_VALUE"""),"No aplica")</f>
        <v>No aplica</v>
      </c>
      <c r="AS61" s="150" t="str">
        <f>IFERROR(__xludf.DUMMYFUNCTION("""COMPUTED_VALUE"""),"Se reitera recomendación realizada en la evaluación del primer y segundo  cuatrimestre:
*Fortalecer la descripción de los controles conforme a la metodogía propuesta en la Guía para la Administración del Riesgo y el diseño de controles en entidades públic"&amp;"as Versión 4 de 2018, que propone los elementos que debe contemplar el diseño del control relacionados con los riesgos de corrupción:
-Debe tener definido el responsable de llevar a cabo la actividad de control.
-Debe tener una periodicidad definida para "&amp;"su ejecución.
-Debe indicar cuál es el propósito del control.
-Debe establecer el cómo se realiza la actividad de control.
-Debe indicar qué pasa con las observaciones o desviaciones resultantes de ejecutar el control
-Debe dejar evidencia de la ejecución"&amp;" del control.")</f>
        <v>Se reitera recomendación realizada en la evaluación del primer y segundo  cuatrimestre:
*Fortalecer la descripción de los controles conforme a la metodogía propuesta en la Guía para la Administración del Riesgo y el diseño de controles en entidades públicas Versión 4 de 2018, que propone los elementos que debe contemplar el diseño del control relacionados con los riesgos de corrupción:
-Debe tener definido el responsable de llevar a cabo la actividad de control.
-Debe tener una periodicidad definida para su ejecución.
-Debe indicar cuál es el propósito del control.
-Debe establecer el cómo se realiza la actividad de control.
-Debe indicar qué pasa con las observaciones o desviaciones resultantes de ejecutar el control
-Debe dejar evidencia de la ejecución del control.</v>
      </c>
      <c r="AT61" s="139"/>
    </row>
    <row r="62">
      <c r="A62" s="86"/>
      <c r="B62" s="73"/>
      <c r="C62" s="73"/>
      <c r="D62" s="144" t="str">
        <f>IFERROR(__xludf.DUMMYFUNCTION("""COMPUTED_VALUE"""),"Afectación economica y reputacional por el incumplimiento de la planeación de los proyectos de investigación debido a tramites administrativos ineficientes para la entrega de los recursos y cambios en el contexto de la institución.")</f>
        <v>Afectación economica y reputacional por el incumplimiento de la planeación de los proyectos de investigación debido a tramites administrativos ineficientes para la entrega de los recursos y cambios en el contexto de la institución.</v>
      </c>
      <c r="E62" s="144" t="str">
        <f>IFERROR(__xludf.DUMMYFUNCTION("""COMPUTED_VALUE"""),"Dirección General de Investigaciones")</f>
        <v>Dirección General de Investigaciones</v>
      </c>
      <c r="F62" s="144" t="str">
        <f>IFERROR(__xludf.DUMMYFUNCTION("""COMPUTED_VALUE"""),"Gestión")</f>
        <v>Gestión</v>
      </c>
      <c r="G62" s="144" t="str">
        <f>IFERROR(__xludf.DUMMYFUNCTION("""COMPUTED_VALUE"""),"-Tramites administrativos ineficientes para la entrega de los recursos en la ejecución de los proyectos de investigación
-Cambios en el contexto de la Universidad (Por ejemplo: Emergencia sanitaria)")</f>
        <v>-Tramites administrativos ineficientes para la entrega de los recursos en la ejecución de los proyectos de investigación
-Cambios en el contexto de la Universidad (Por ejemplo: Emergencia sanitaria)</v>
      </c>
      <c r="H62" s="144" t="str">
        <f>IFERROR(__xludf.DUMMYFUNCTION("""COMPUTED_VALUE"""),"1. Incumplimiento de términos con otras entidades, en el caso de proyectos externos
2. Detrimentro patrimonial
3. Deterioro de la imagen institucional.")</f>
        <v>1. Incumplimiento de términos con otras entidades, en el caso de proyectos externos
2. Detrimentro patrimonial
3. Deterioro de la imagen institucional.</v>
      </c>
      <c r="I62" s="145" t="str">
        <f>IFERROR(__xludf.DUMMYFUNCTION("""COMPUTED_VALUE"""),"INV_03")</f>
        <v>INV_03</v>
      </c>
      <c r="J62" s="145" t="str">
        <f>IFERROR(__xludf.DUMMYFUNCTION("""COMPUTED_VALUE"""),"Media")</f>
        <v>Media</v>
      </c>
      <c r="K62" s="145" t="str">
        <f>IFERROR(__xludf.DUMMYFUNCTION("""COMPUTED_VALUE"""),"Mayor")</f>
        <v>Mayor</v>
      </c>
      <c r="L62" s="145" t="str">
        <f>IFERROR(__xludf.DUMMYFUNCTION("""COMPUTED_VALUE"""),"Extrema")</f>
        <v>Extrema</v>
      </c>
      <c r="M62" s="144" t="str">
        <f>IFERROR(__xludf.DUMMYFUNCTION("""COMPUTED_VALUE"""),"- Los profesionales de apoyo de investigaciones realizan solicitudes de avances, y los requerimientos pertinentes a Vicerrecursos a traves de formatos de compra, contrataciones, entre otros, realizando reporte ante Consejo Institucional de Investigaciones"&amp;" y posteriormente ante Viceacadémica, cuando corresponda.
 ")</f>
        <v>- Los profesionales de apoyo de investigaciones realizan solicitudes de avances, y los requerimientos pertinentes a Vicerrecursos a traves de formatos de compra, contrataciones, entre otros, realizando reporte ante Consejo Institucional de Investigaciones y posteriormente ante Viceacadémica, cuando corresponda.
 </v>
      </c>
      <c r="N62" s="145" t="str">
        <f>IFERROR(__xludf.DUMMYFUNCTION("""COMPUTED_VALUE"""),"Baja")</f>
        <v>Baja</v>
      </c>
      <c r="O62" s="145" t="str">
        <f>IFERROR(__xludf.DUMMYFUNCTION("""COMPUTED_VALUE"""),"Mayor")</f>
        <v>Mayor</v>
      </c>
      <c r="P62" s="145" t="str">
        <f>IFERROR(__xludf.DUMMYFUNCTION("""COMPUTED_VALUE"""),"Alta")</f>
        <v>Alta</v>
      </c>
      <c r="Q62" s="166" t="str">
        <f>IFERROR(__xludf.DUMMYFUNCTION("""COMPUTED_VALUE"""),"Reducir")</f>
        <v>Reducir</v>
      </c>
      <c r="R62" s="167" t="str">
        <f>IFERROR(__xludf.DUMMYFUNCTION("""COMPUTED_VALUE"""),"Realizar prorrogas o suspensión de los proyectos. ")</f>
        <v>Realizar prorrogas o suspensión de los proyectos. </v>
      </c>
      <c r="S62" s="168" t="str">
        <f>IFERROR(__xludf.DUMMYFUNCTION("""COMPUTED_VALUE"""),"Mensual")</f>
        <v>Mensual</v>
      </c>
      <c r="T62" s="170" t="str">
        <f>IFERROR(__xludf.DUMMYFUNCTION("""COMPUTED_VALUE"""),"DirectoraTécnico de Investigaciones
Consejo Institucional de Investigaciones")</f>
        <v>DirectoraTécnico de Investigaciones
Consejo Institucional de Investigaciones</v>
      </c>
      <c r="U62" s="170" t="str">
        <f>IFERROR(__xludf.DUMMYFUNCTION("""COMPUTED_VALUE"""),"Actas de Consejo Institucional de Investigaciones, Informes de ejecución")</f>
        <v>Actas de Consejo Institucional de Investigaciones, Informes de ejecución</v>
      </c>
      <c r="V62" s="167" t="str">
        <f>IFERROR(__xludf.DUMMYFUNCTION("""COMPUTED_VALUE"""),"Se realiza reporte ante el Consejo Institucional de Investigaciones.")</f>
        <v>Se realiza reporte ante el Consejo Institucional de Investigaciones.</v>
      </c>
      <c r="W62" s="167" t="str">
        <f>IFERROR(__xludf.DUMMYFUNCTION("""COMPUTED_VALUE"""),"Actas de Consejo Institucional de Investigaciones")</f>
        <v>Actas de Consejo Institucional de Investigaciones</v>
      </c>
      <c r="X62" s="169" t="str">
        <f>IFERROR(__xludf.DUMMYFUNCTION("""COMPUTED_VALUE"""),"Directora Técnico de Investigaciones
Consejo Institucional de Investigaciones")</f>
        <v>Directora Técnico de Investigaciones
Consejo Institucional de Investigaciones</v>
      </c>
      <c r="Y62" s="169" t="str">
        <f>IFERROR(__xludf.DUMMYFUNCTION("""COMPUTED_VALUE"""),"Cada vez que se presente la contingencia")</f>
        <v>Cada vez que se presente la contingencia</v>
      </c>
      <c r="Z62" s="150" t="str">
        <f>IFERROR(__xludf.DUMMYFUNCTION("""COMPUTED_VALUE"""),"30 de abril")</f>
        <v>30 de abril</v>
      </c>
      <c r="AA62" s="32" t="str">
        <f>IFERROR(__xludf.DUMMYFUNCTION("""COMPUTED_VALUE"""),"01/01/2025 - 30/04/2025")</f>
        <v>01/01/2025 - 30/04/2025</v>
      </c>
      <c r="AB62" s="150" t="str">
        <f>IFERROR(__xludf.DUMMYFUNCTION("""COMPUTED_VALUE"""),"Durante el período de monitoreo NO se materializó el riesgo.
Acciones asociadas a la aplicación de controles de los riesgos:
- Desde la Dirección General de Investigaciones para el proceso de compras en el primer trimestre del 2025 se han suscrito 8 con"&amp;"tratos que están en ejecución a la fecha tal como se relaciona en la matriz interna de seguimiento de proceso contractuales (Anexo 21), a la fecha se han tramitado 14 avances ante la Vicerrectoría de recursos (Anexo 22) El seguimiento y control de los trá"&amp;"mites de avances, contratos y compras se realizan mediante las matrices internas de seguimiento financiero (Anexo 18 y 19). Se realizó una presentación de la ejecución de la ficha BPUNI ante el consejo superior universitario donde se relacionaron los porc"&amp;"entajes de ejecución de los años anteriores (Anexo 23).
Acciones asociadas al tratamiento del riesgo:
El Proceso de investigaciones de la Universidad de los Llanos, cuenta a la fecha con un total de 51 proyectos vigentes, 14 de estos proyectos que se en"&amp;"cuentran vigentes les fue tramitada prórrogas para poder terminar con sus actividades de ejecución, según actas del Consejo Institucional de Investigaciones: Acta 027 del 2024 (Anexo 10), Acta 029 del 2024 (Anexo 11), Acta 015 del 2024 (Anexo 12), Acta 01"&amp;"2 del 2024 (Anexo 13), Acta 030 del 2024 (Anexo 14), Acta 032 del 2024 (Anexo 15), Acta 034 del 2024 (Anexo 16) y Acta 004 del 2025 (Anexo 17)
")</f>
        <v>Durante el período de monitoreo NO se materializó el riesgo.
Acciones asociadas a la aplicación de controles de los riesgos:
- Desde la Dirección General de Investigaciones para el proceso de compras en el primer trimestre del 2025 se han suscrito 8 contratos que están en ejecución a la fecha tal como se relaciona en la matriz interna de seguimiento de proceso contractuales (Anexo 21), a la fecha se han tramitado 14 avances ante la Vicerrectoría de recursos (Anexo 22) El seguimiento y control de los trámites de avances, contratos y compras se realizan mediante las matrices internas de seguimiento financiero (Anexo 18 y 19). Se realizó una presentación de la ejecución de la ficha BPUNI ante el consejo superior universitario donde se relacionaron los porcentajes de ejecución de los años anteriores (Anexo 23).
Acciones asociadas al tratamiento del riesgo:
El Proceso de investigaciones de la Universidad de los Llanos, cuenta a la fecha con un total de 51 proyectos vigentes, 14 de estos proyectos que se encuentran vigentes les fue tramitada prórrogas para poder terminar con sus actividades de ejecución, según actas del Consejo Institucional de Investigaciones: Acta 027 del 2024 (Anexo 10), Acta 029 del 2024 (Anexo 11), Acta 015 del 2024 (Anexo 12), Acta 012 del 2024 (Anexo 13), Acta 030 del 2024 (Anexo 14), Acta 032 del 2024 (Anexo 15), Acta 034 del 2024 (Anexo 16) y Acta 004 del 2025 (Anexo 17)
</v>
      </c>
      <c r="AC62" s="152" t="str">
        <f>IFERROR(__xludf.DUMMYFUNCTION("""COMPUTED_VALUE"""),"Yohana Maria Velasco Santamaria /Directora Técnica de Investigaciones")</f>
        <v>Yohana Maria Velasco Santamaria /Directora Técnica de Investigaciones</v>
      </c>
      <c r="AD62" s="153" t="str">
        <f>IFERROR(__xludf.DUMMYFUNCTION("""COMPUTED_VALUE"""),"Evidencia")</f>
        <v>Evidencia</v>
      </c>
      <c r="AE62" s="150" t="str">
        <f>IFERROR(__xludf.DUMMYFUNCTION("""COMPUTED_VALUE"""),"Si")</f>
        <v>Si</v>
      </c>
      <c r="AF62" s="150" t="str">
        <f>IFERROR(__xludf.DUMMYFUNCTION("""COMPUTED_VALUE"""),"En proceso")</f>
        <v>En proceso</v>
      </c>
      <c r="AG62" s="32" t="str">
        <f>IFERROR(__xludf.DUMMYFUNCTION("""COMPUTED_VALUE"""),"Se evidencia reporte oportuno sobre la NO materialización del riesgo. 
Sobre las acciones asociadas a la aplicación de controles reportadas: 
Control: los profesionales de apoyo de investigaciones realizan solicitudes de avances, y los seguimientos per"&amp;"tinentes a vicerrecursos a traves de formatos de compra, contrataciones, entre otros, realizando reporte ante consejo institucional de investigaciones y posteriormente ante viceacademica, cuando corresponda. Al revisar lo reportado se evidencia que durant"&amp;"e este primer periodo de monitoreo el proceso ha tenido un avance en el control relacionado con la suscripción de 8 contratos lo cual justifica en el anexo 21 por medio de la matriz de seguimiento de proceso contractual, se han tramitado 14 avances esto e"&amp;"videnciado en el anexo 22, asi como tramites de avances, contratos y compras por medio de matrices de seguimiento financiero evidenciando en anexos 10 y 11, tambien se añade la ficha BPUNI en donde se relacionan los porcentajes de ejcución de vigencias pa"&amp;"sadas, anexo 23, se verifica la pertinencia y coherencia en la ejecución de controles para este primer monitoreo. 
Sobre las acciones asociadas al tratamiento del riesgo: 
Se verifica la evidencia donde se menciona la prorroga para 14 proyectos a fin de"&amp;" lograr terminar sus actividades de ejecución, acción justificada por medio de actas de consejo institucional de investigaciones presentes en anexos 9 al 17. Se evidencia la atención y aplicación de acciones de tratamiento de manera eficiente para el prim"&amp;"er reporte de monitoreo. ")</f>
        <v>Se evidencia reporte oportuno sobre la NO materialización del riesgo. 
Sobre las acciones asociadas a la aplicación de controles reportadas: 
Control: los profesionales de apoyo de investigaciones realizan solicitudes de avances, y los seguimientos pertinentes a vicerrecursos a traves de formatos de compra, contrataciones, entre otros, realizando reporte ante consejo institucional de investigaciones y posteriormente ante viceacademica, cuando corresponda. Al revisar lo reportado se evidencia que durante este primer periodo de monitoreo el proceso ha tenido un avance en el control relacionado con la suscripción de 8 contratos lo cual justifica en el anexo 21 por medio de la matriz de seguimiento de proceso contractual, se han tramitado 14 avances esto evidenciado en el anexo 22, asi como tramites de avances, contratos y compras por medio de matrices de seguimiento financiero evidenciando en anexos 10 y 11, tambien se añade la ficha BPUNI en donde se relacionan los porcentajes de ejcución de vigencias pasadas, anexo 23, se verifica la pertinencia y coherencia en la ejecución de controles para este primer monitoreo. 
Sobre las acciones asociadas al tratamiento del riesgo: 
Se verifica la evidencia donde se menciona la prorroga para 14 proyectos a fin de lograr terminar sus actividades de ejecución, acción justificada por medio de actas de consejo institucional de investigaciones presentes en anexos 9 al 17. Se evidencia la atención y aplicación de acciones de tratamiento de manera eficiente para el primer reporte de monitoreo. </v>
      </c>
      <c r="AH62" s="150" t="str">
        <f>IFERROR(__xludf.DUMMYFUNCTION("""COMPUTED_VALUE"""),"30 de abril")</f>
        <v>30 de abril</v>
      </c>
      <c r="AI62" s="32" t="str">
        <f>IFERROR(__xludf.DUMMYFUNCTION("""COMPUTED_VALUE"""),"Si")</f>
        <v>Si</v>
      </c>
      <c r="AJ62" s="32" t="str">
        <f>IFERROR(__xludf.DUMMYFUNCTION("""COMPUTED_VALUE"""),"Si")</f>
        <v>Si</v>
      </c>
      <c r="AK62" s="32" t="str">
        <f>IFERROR(__xludf.DUMMYFUNCTION("""COMPUTED_VALUE"""),"Si")</f>
        <v>Si</v>
      </c>
      <c r="AL62" s="32" t="str">
        <f>IFERROR(__xludf.DUMMYFUNCTION("""COMPUTED_VALUE"""),"Si")</f>
        <v>Si</v>
      </c>
      <c r="AM62" s="32" t="str">
        <f>IFERROR(__xludf.DUMMYFUNCTION("""COMPUTED_VALUE"""),"Si")</f>
        <v>Si</v>
      </c>
      <c r="AN62" s="32" t="str">
        <f>IFERROR(__xludf.DUMMYFUNCTION("""COMPUTED_VALUE"""),"Si")</f>
        <v>Si</v>
      </c>
      <c r="AO62" s="32" t="str">
        <f>IFERROR(__xludf.DUMMYFUNCTION("""COMPUTED_VALUE"""),"Si")</f>
        <v>Si</v>
      </c>
      <c r="AP62" s="32" t="str">
        <f>IFERROR(__xludf.DUMMYFUNCTION("""COMPUTED_VALUE"""),"No aplica")</f>
        <v>No aplica</v>
      </c>
      <c r="AQ62" s="32" t="str">
        <f>IFERROR(__xludf.DUMMYFUNCTION("""COMPUTED_VALUE"""),"No aplica")</f>
        <v>No aplica</v>
      </c>
      <c r="AR62" s="32" t="str">
        <f>IFERROR(__xludf.DUMMYFUNCTION("""COMPUTED_VALUE"""),"No aplica")</f>
        <v>No aplica</v>
      </c>
      <c r="AS62" s="150" t="str">
        <f>IFERROR(__xludf.DUMMYFUNCTION("""COMPUTED_VALUE"""),"Recomendación: 
*Fortalecer la descripción de los controles conforme a la metodogía propuesta en la Guía para la Administración del Riesgo y el diseño de controles en entidades públicas Versión 6, que propone los elementos que debe contemplar el diseño de"&amp;"l control, con relación a los riesgos de gestión, como son: 
Responsable de ejecutar el control: identifica el cargo del servidor que ejecuta el control, en caso de que sean controles automáticos se identificará el sistema que realiza la actividad. 
Acció"&amp;"n: se determina mediante verbos que indican la acción que deben realizar como parte del control (ejemplos de verbos que indican control: Verificar, autorizar validar, regular, dirigir, guiar, supervisar, manejar, prohibir, permitir). 
Complemento: corresp"&amp;"onde a los detalles que permiten identificar claramente el objeto del control. ")</f>
        <v>Recomendación: 
*Fortalecer la descripción de los controles conforme a la metodogía propuesta en la Guía para la Administración del Riesgo y el diseño de controles en entidades públicas Versión 6, que propone los elementos que debe contemplar el diseño del control, con relación a los riesgos de gestión, como son: 
Responsable de ejecutar el control: identifica el cargo del servidor que ejecuta el control, en caso de que sean controles automáticos se identificará el sistema que realiza la actividad. 
Acción: se determina mediante verbos que indican la acción que deben realizar como parte del control (ejemplos de verbos que indican control: Verificar, autorizar validar, regular, dirigir, guiar, supervisar, manejar, prohibir, permitir). 
Complemento: corresponde a los detalles que permiten identificar claramente el objeto del control. </v>
      </c>
      <c r="AT62" s="139"/>
    </row>
    <row r="63">
      <c r="A63" s="86"/>
      <c r="B63" s="73"/>
      <c r="C63" s="73"/>
      <c r="D63" s="156"/>
      <c r="E63" s="156"/>
      <c r="F63" s="156"/>
      <c r="G63" s="156"/>
      <c r="H63" s="156"/>
      <c r="I63" s="156"/>
      <c r="J63" s="156"/>
      <c r="K63" s="156"/>
      <c r="L63" s="156"/>
      <c r="M63" s="156"/>
      <c r="N63" s="156"/>
      <c r="O63" s="156"/>
      <c r="P63" s="156"/>
      <c r="Q63" s="156"/>
      <c r="R63" s="167" t="str">
        <f>IFERROR(__xludf.DUMMYFUNCTION("""COMPUTED_VALUE"""),"")</f>
        <v/>
      </c>
      <c r="S63" s="168" t="str">
        <f>IFERROR(__xludf.DUMMYFUNCTION("""COMPUTED_VALUE"""),"")</f>
        <v/>
      </c>
      <c r="T63" s="170"/>
      <c r="U63" s="170"/>
      <c r="V63" s="94"/>
      <c r="W63" s="94"/>
      <c r="X63" s="94"/>
      <c r="Y63" s="94"/>
      <c r="Z63" s="150" t="str">
        <f>IFERROR(__xludf.DUMMYFUNCTION("""COMPUTED_VALUE"""),"30 de agosto")</f>
        <v>30 de agosto</v>
      </c>
      <c r="AA63" s="32" t="str">
        <f>IFERROR(__xludf.DUMMYFUNCTION("""COMPUTED_VALUE"""),"01/05/2025 - 29/08/2025")</f>
        <v>01/05/2025 - 29/08/2025</v>
      </c>
      <c r="AB63" s="150" t="str">
        <f>IFERROR(__xludf.DUMMYFUNCTION("""COMPUTED_VALUE"""),"Durante el período de monitoreo NO se materializó el riesgo.
Acciones asociadas a la aplicación de controles de los riesgos:
- Desde la Dirección General de Investigaciones las profesionales de apoyo designadas realizan el proceso de compras en el segun"&amp;"do cuatrimestre donde se han suscrito 5 contratos de los cuales 1 esta liquidado, 1 en proceso de liquidación y 3 en ejecución, tal como se relaciona en la matriz interna de seguimiento de proceso contractuales (Anexo 26), la matriz permite realizar el se"&amp;"guimiento y verificación del estado de los contratos gestionado por la Dirección ante la Vicerrecursos Recursos Universitario. El informe de ejecución de las compras será presentada en el mes de septiembre ante el Consejo Institucional de Investigación.  "&amp;"A la fecha las profesionales de apoyo de la Dirección de Investigaciones han tramitado 42 avances ante la Vicerrectoría de recursos (Anexo 27), este proceso se realiza de manera permanente y está sujeto a las solicitudes de los docentes. El seguimiento y "&amp;"control de los trámites de avances, contratos y compras se realizan mediante las matrices internas de seguimiento financiero (Anexo 18, 19 y 26). Una vez los docentes hagan entrega de los informes finales, los profesionales de apoyo verifican el estado de"&amp;" ejecución de los recursos financieros mediante los soportes de legalización, contratos y facturas entregadas por los docentes junto con el FO-INV-23 (Formato de informe de ejecución financiera).
Acciones asociadas al tratamiento del riesgo:
Desde la Di"&amp;"rección General de Investigaciones se realiza la verificación y revisión de las justificaciones o documentos a que hay lugar de las solicitudes de prórrogas de los proyectos de investigación, en el sentido de contar con los tiempos adecuados para su aprob"&amp;"ación, posteriormente se presentan al Consejo Institucional de Investigaciones para su aprobación. En el periodo de mayo a agosto 2025 el Consejo Institucional de Investigaciones aprobó 4  prórrogas con el objetivo de que los proyectos puedan terminar con"&amp;" sus ejecución (Anexo X), este proceso se realiza de manera permanente y está sujeto a las solicitudes de los docentes,  estas prórrogas se aprobaron mediante el Consejo Institucional de Investigaciones en las sesiones 20 y 18 del 2025 (Actas en proceso d"&amp;"e elaboración) el seguimiento de las prorrogas se realiza a traves de las matrices internas de seguimiento y control con los proyectos vigentes (Anexo 18 y 19).")</f>
        <v>Durante el período de monitoreo NO se materializó el riesgo.
Acciones asociadas a la aplicación de controles de los riesgos:
- Desde la Dirección General de Investigaciones las profesionales de apoyo designadas realizan el proceso de compras en el segundo cuatrimestre donde se han suscrito 5 contratos de los cuales 1 esta liquidado, 1 en proceso de liquidación y 3 en ejecución, tal como se relaciona en la matriz interna de seguimiento de proceso contractuales (Anexo 26), la matriz permite realizar el seguimiento y verificación del estado de los contratos gestionado por la Dirección ante la Vicerrecursos Recursos Universitario. El informe de ejecución de las compras será presentada en el mes de septiembre ante el Consejo Institucional de Investigación.  A la fecha las profesionales de apoyo de la Dirección de Investigaciones han tramitado 42 avances ante la Vicerrectoría de recursos (Anexo 27), este proceso se realiza de manera permanente y está sujeto a las solicitudes de los docentes. El seguimiento y control de los trámites de avances, contratos y compras se realizan mediante las matrices internas de seguimiento financiero (Anexo 18, 19 y 26). Una vez los docentes hagan entrega de los informes finales, los profesionales de apoyo verifican el estado de ejecución de los recursos financieros mediante los soportes de legalización, contratos y facturas entregadas por los docentes junto con el FO-INV-23 (Formato de informe de ejecución financiera).
Acciones asociadas al tratamiento del riesgo:
Desde la Dirección General de Investigaciones se realiza la verificación y revisión de las justificaciones o documentos a que hay lugar de las solicitudes de prórrogas de los proyectos de investigación, en el sentido de contar con los tiempos adecuados para su aprobación, posteriormente se presentan al Consejo Institucional de Investigaciones para su aprobación. En el periodo de mayo a agosto 2025 el Consejo Institucional de Investigaciones aprobó 4  prórrogas con el objetivo de que los proyectos puedan terminar con sus ejecución (Anexo X), este proceso se realiza de manera permanente y está sujeto a las solicitudes de los docentes,  estas prórrogas se aprobaron mediante el Consejo Institucional de Investigaciones en las sesiones 20 y 18 del 2025 (Actas en proceso de elaboración) el seguimiento de las prorrogas se realiza a traves de las matrices internas de seguimiento y control con los proyectos vigentes (Anexo 18 y 19).</v>
      </c>
      <c r="AC63" s="152" t="str">
        <f>IFERROR(__xludf.DUMMYFUNCTION("""COMPUTED_VALUE"""),"Yohana Maria Velasco Santamaria /Directora Técnica de Investigaciones")</f>
        <v>Yohana Maria Velasco Santamaria /Directora Técnica de Investigaciones</v>
      </c>
      <c r="AD63" s="153" t="str">
        <f>IFERROR(__xludf.DUMMYFUNCTION("""COMPUTED_VALUE"""),"Evidencia")</f>
        <v>Evidencia</v>
      </c>
      <c r="AE63" s="150" t="str">
        <f>IFERROR(__xludf.DUMMYFUNCTION("""COMPUTED_VALUE"""),"Si")</f>
        <v>Si</v>
      </c>
      <c r="AF63" s="152" t="str">
        <f>IFERROR(__xludf.DUMMYFUNCTION("""COMPUTED_VALUE"""),"En proceso")</f>
        <v>En proceso</v>
      </c>
      <c r="AG63" s="32" t="str">
        <f>IFERROR(__xludf.DUMMYFUNCTION("""COMPUTED_VALUE"""),"Se evidencia reporte oportuno por parte del proceso sobre la NO materialización del riesgo.
Acciones asociadas a la aplicación de controles del riesgo:
Al revisar la documentación remitida, se constata que la Dirección General de Investigaciones mantiene"&amp;" actualizado el seguimiento contractual y financiero de los proyectos. Durante el segundo cuatrimestre de 2025 se gestionaron 5 contratos, de los cuales 1 se encuentra liquidado, 1 en proceso de liquidación y 3 en ejecución, información soportada en la ma"&amp;"triz interna de seguimiento contractual (Anexo 26). Esta herramienta permite verificar en tiempo real el estado de los contratos y su trazabilidad frente a la gestión con la Vicerrectoría de Recursos Universitarios.
De igual manera, se evidencia la trami"&amp;"tación de 42 solicitudes de avances (Anexo 27), gestionadas de manera permanente según requerimientos de los docentes. La verificación de la ejecución financiera se soporta en las matrices de control financiero (Anexos 18, 19 y 26), donde se consolidan la"&amp;"s operaciones de avances, compras y contratos. Cabe resaltar que, una vez recibidos los informes finales de los proyectos, el equipo de apoyo valida la correspondencia entre los recursos ejecutados y los soportes de legalización (contratos, facturas y FO-"&amp;"INV-23), garantizando trazabilidad y control presupuestal.
Acciones asociadas al tratamiento del riesgo:
En el periodo mayo–agosto 2025 se gestionaron y aprobaron 4 prórrogas de proyectos de investigación, con el propósito de asegurar la culminación de l"&amp;"as actividades de ejecución. Dichas prórrogas fueron revisadas inicialmente por la Dirección General de Investigaciones y posteriormente avaladas en las sesiones 18 y 20 del Consejo Institucional de Investigaciones (actas en proceso de elaboración). El se"&amp;"guimiento de estas ampliaciones se encuentra integrado en las matrices internas de control y seguimiento (Anexos 18 y 19), lo que garantiza coherencia con la trazabilidad contractual y financiera de los proyectos vigentes.
Se observa que el proceso manti"&amp;"ene un control efectivo sobre la gestión contractual y financiera de los proyectos, así como sobre la administración de prórrogas, evidenciando un adecuado avance en la mitigación del riesgo.")</f>
        <v>Se evidencia reporte oportuno por parte del proceso sobre la NO materialización del riesgo.
Acciones asociadas a la aplicación de controles del riesgo:
Al revisar la documentación remitida, se constata que la Dirección General de Investigaciones mantiene actualizado el seguimiento contractual y financiero de los proyectos. Durante el segundo cuatrimestre de 2025 se gestionaron 5 contratos, de los cuales 1 se encuentra liquidado, 1 en proceso de liquidación y 3 en ejecución, información soportada en la matriz interna de seguimiento contractual (Anexo 26). Esta herramienta permite verificar en tiempo real el estado de los contratos y su trazabilidad frente a la gestión con la Vicerrectoría de Recursos Universitarios.
De igual manera, se evidencia la tramitación de 42 solicitudes de avances (Anexo 27), gestionadas de manera permanente según requerimientos de los docentes. La verificación de la ejecución financiera se soporta en las matrices de control financiero (Anexos 18, 19 y 26), donde se consolidan las operaciones de avances, compras y contratos. Cabe resaltar que, una vez recibidos los informes finales de los proyectos, el equipo de apoyo valida la correspondencia entre los recursos ejecutados y los soportes de legalización (contratos, facturas y FO-INV-23), garantizando trazabilidad y control presupuestal.
Acciones asociadas al tratamiento del riesgo:
En el periodo mayo–agosto 2025 se gestionaron y aprobaron 4 prórrogas de proyectos de investigación, con el propósito de asegurar la culminación de las actividades de ejecución. Dichas prórrogas fueron revisadas inicialmente por la Dirección General de Investigaciones y posteriormente avaladas en las sesiones 18 y 20 del Consejo Institucional de Investigaciones (actas en proceso de elaboración). El seguimiento de estas ampliaciones se encuentra integrado en las matrices internas de control y seguimiento (Anexos 18 y 19), lo que garantiza coherencia con la trazabilidad contractual y financiera de los proyectos vigentes.
Se observa que el proceso mantiene un control efectivo sobre la gestión contractual y financiera de los proyectos, así como sobre la administración de prórrogas, evidenciando un adecuado avance en la mitigación del riesgo.</v>
      </c>
      <c r="AH63" s="150" t="str">
        <f>IFERROR(__xludf.DUMMYFUNCTION("""COMPUTED_VALUE"""),"31 de agosto")</f>
        <v>31 de agosto</v>
      </c>
      <c r="AI63" s="32" t="str">
        <f>IFERROR(__xludf.DUMMYFUNCTION("""COMPUTED_VALUE"""),"Si")</f>
        <v>Si</v>
      </c>
      <c r="AJ63" s="32" t="str">
        <f>IFERROR(__xludf.DUMMYFUNCTION("""COMPUTED_VALUE"""),"Si")</f>
        <v>Si</v>
      </c>
      <c r="AK63" s="32" t="str">
        <f>IFERROR(__xludf.DUMMYFUNCTION("""COMPUTED_VALUE"""),"Si")</f>
        <v>Si</v>
      </c>
      <c r="AL63" s="32" t="str">
        <f>IFERROR(__xludf.DUMMYFUNCTION("""COMPUTED_VALUE"""),"Si")</f>
        <v>Si</v>
      </c>
      <c r="AM63" s="32" t="str">
        <f>IFERROR(__xludf.DUMMYFUNCTION("""COMPUTED_VALUE"""),"Si")</f>
        <v>Si</v>
      </c>
      <c r="AN63" s="32" t="str">
        <f>IFERROR(__xludf.DUMMYFUNCTION("""COMPUTED_VALUE"""),"Si")</f>
        <v>Si</v>
      </c>
      <c r="AO63" s="32" t="str">
        <f>IFERROR(__xludf.DUMMYFUNCTION("""COMPUTED_VALUE"""),"Si")</f>
        <v>Si</v>
      </c>
      <c r="AP63" s="32" t="str">
        <f>IFERROR(__xludf.DUMMYFUNCTION("""COMPUTED_VALUE"""),"No aplica")</f>
        <v>No aplica</v>
      </c>
      <c r="AQ63" s="32" t="str">
        <f>IFERROR(__xludf.DUMMYFUNCTION("""COMPUTED_VALUE"""),"No aplica")</f>
        <v>No aplica</v>
      </c>
      <c r="AR63" s="32" t="str">
        <f>IFERROR(__xludf.DUMMYFUNCTION("""COMPUTED_VALUE"""),"No aplica")</f>
        <v>No aplica</v>
      </c>
      <c r="AS63" s="150" t="str">
        <f>IFERROR(__xludf.DUMMYFUNCTION("""COMPUTED_VALUE"""),"Se reitera recomendación realizada en la evaluación del prmer cuatrimestre: 
*Fortalecer la descripción de los controles conforme a la metodogía propuesta en la Guía para la Administración del Riesgo y el diseño de controles en entidades públicas Versión "&amp;"6, que propone los elementos que debe contemplar el diseño del control, con relación a los riesgos de gestión, como son: 
Responsable de ejecutar el control: identifica el cargo del servidor que ejecuta el control, en caso de que sean controles automático"&amp;"s se identificará el sistema que realiza la actividad. 
Acción: se determina mediante verbos que indican la acción que deben realizar como parte del control (ejemplos de verbos que indican control: Verificar, autorizar validar, regular, dirigir, guiar, su"&amp;"pervisar, manejar, prohibir, permitir). 
Complemento: corresponde a los detalles que permiten identificar claramente el objeto del control. ")</f>
        <v>Se reitera recomendación realizada en la evaluación del prmer cuatrimestre: 
*Fortalecer la descripción de los controles conforme a la metodogía propuesta en la Guía para la Administración del Riesgo y el diseño de controles en entidades públicas Versión 6, que propone los elementos que debe contemplar el diseño del control, con relación a los riesgos de gestión, como son: 
Responsable de ejecutar el control: identifica el cargo del servidor que ejecuta el control, en caso de que sean controles automáticos se identificará el sistema que realiza la actividad. 
Acción: se determina mediante verbos que indican la acción que deben realizar como parte del control (ejemplos de verbos que indican control: Verificar, autorizar validar, regular, dirigir, guiar, supervisar, manejar, prohibir, permitir). 
Complemento: corresponde a los detalles que permiten identificar claramente el objeto del control. </v>
      </c>
      <c r="AT63" s="139"/>
    </row>
    <row r="64">
      <c r="A64" s="86"/>
      <c r="B64" s="38"/>
      <c r="C64" s="38"/>
      <c r="D64" s="119"/>
      <c r="E64" s="119"/>
      <c r="F64" s="119"/>
      <c r="G64" s="119"/>
      <c r="H64" s="119"/>
      <c r="I64" s="119"/>
      <c r="J64" s="119"/>
      <c r="K64" s="119"/>
      <c r="L64" s="119"/>
      <c r="M64" s="119"/>
      <c r="N64" s="119"/>
      <c r="O64" s="119"/>
      <c r="P64" s="119"/>
      <c r="Q64" s="119"/>
      <c r="R64" s="173" t="str">
        <f>IFERROR(__xludf.DUMMYFUNCTION("""COMPUTED_VALUE"""),"")</f>
        <v/>
      </c>
      <c r="S64" s="174" t="str">
        <f>IFERROR(__xludf.DUMMYFUNCTION("""COMPUTED_VALUE"""),"")</f>
        <v/>
      </c>
      <c r="T64" s="176"/>
      <c r="U64" s="176"/>
      <c r="V64" s="98"/>
      <c r="W64" s="98"/>
      <c r="X64" s="98"/>
      <c r="Y64" s="98"/>
      <c r="Z64" s="150" t="str">
        <f>IFERROR(__xludf.DUMMYFUNCTION("""COMPUTED_VALUE"""),"30 de diciembre")</f>
        <v>30 de diciembre</v>
      </c>
      <c r="AA64" s="32" t="str">
        <f>IFERROR(__xludf.DUMMYFUNCTION("""COMPUTED_VALUE"""),"01/09/2025 - 05/12/2025")</f>
        <v>01/09/2025 - 05/12/2025</v>
      </c>
      <c r="AB64" s="150" t="str">
        <f>IFERROR(__xludf.DUMMYFUNCTION("""COMPUTED_VALUE"""),"Durante el período de monitoreo NO se materializó el riesgo.
Acciones asociadas a la aplicación de controles de los riesgos:
- Desde la Dirección General de Investigaciones, las profesionales de apoyo designadas realizan el proceso de compras en el tercer"&amp;" cuatrimestre donde se han suscrito 2 contratos los cuales están en estado de ejecución, tal como se relaciona en la matriz interna de seguimiento de proceso contractuales (Anexo 13), la matriz permite realizar el seguimiento y verificación del estado de "&amp;"los contratos gestionado por la Dirección ante la Vicerrecursos Recursos Universitario. El informe de ejecución de las compras se presentó ante el Consejo Institucional de Investigación durante la sesión ordinaria No. 025 de 2025 (Acta 25 del 24 de septie"&amp;"mbre de 2025, en proceso de firma).  A la fecha las profesionales de apoyo de la Dirección de Investigaciones han tramitado 21 avances ante la Vicerrectoría de Recursos Universitarios (Anexo 14), este proceso se realiza de manera permanente y está sujeto "&amp;"a las solicitudes de los docentes. Una vez los docentes hagan entrega de los informes finales, los profesionales de apoyo verifican el estado de ejecución de los recursos financieros mediante los soportes de legalización, contratos y facturas entregadas p"&amp;"or los docentes junto con el FO-INV-23 (Formato de informe de ejecución financiera). El seguimiento y control de los trámites de avances, contratos y compras se realizan mediante las matrices internas de seguimiento financiero (Anexo 7 y 8)
Acciones asoci"&amp;"adas al tratamiento del riesgo:
Desde la Dirección General de Investigaciones, las profesionales de apoyo realizan la verificación y revisión de las justificaciones o documentos a que haya lugar de las solicitudes de prórrogas de los proyectos de investig"&amp;"ación, en el sentido de contar con los tiempos adecuados, posteriormente se presentan al Consejo Institucional de Investigaciones para su aprobación. En el periodo de septiembre a noviembre 2025 el Consejo Institucional de Investigaciones aprobó 12 prórro"&amp;"gas con el objetivo de que los proyectos puedan terminar con su ejecución (Anexo 15), este proceso se realiza de manera permanente y está sujeto a las solicitudes de los docentes,  las prórrogas se aprobaron mediante el Consejo Institucional de Investigac"&amp;"iones en las sesiones 20, 25, 31 del 2025 (Anexo 11. Las actas 25 y 31 en proceso de aprobación) el seguimiento de las prórrogas se realiza a través de las matrices internas de seguimiento y control con los proyectos vigentes (Anexo 7 y 8).
")</f>
        <v>Durante el período de monitoreo NO se materializó el riesgo.
Acciones asociadas a la aplicación de controles de los riesgos:
- Desde la Dirección General de Investigaciones, las profesionales de apoyo designadas realizan el proceso de compras en el tercer cuatrimestre donde se han suscrito 2 contratos los cuales están en estado de ejecución, tal como se relaciona en la matriz interna de seguimiento de proceso contractuales (Anexo 13), la matriz permite realizar el seguimiento y verificación del estado de los contratos gestionado por la Dirección ante la Vicerrecursos Recursos Universitario. El informe de ejecución de las compras se presentó ante el Consejo Institucional de Investigación durante la sesión ordinaria No. 025 de 2025 (Acta 25 del 24 de septiembre de 2025, en proceso de firma).  A la fecha las profesionales de apoyo de la Dirección de Investigaciones han tramitado 21 avances ante la Vicerrectoría de Recursos Universitarios (Anexo 14), este proceso se realiza de manera permanente y está sujeto a las solicitudes de los docentes. Una vez los docentes hagan entrega de los informes finales, los profesionales de apoyo verifican el estado de ejecución de los recursos financieros mediante los soportes de legalización, contratos y facturas entregadas por los docentes junto con el FO-INV-23 (Formato de informe de ejecución financiera). El seguimiento y control de los trámites de avances, contratos y compras se realizan mediante las matrices internas de seguimiento financiero (Anexo 7 y 8)
Acciones asociadas al tratamiento del riesgo:
Desde la Dirección General de Investigaciones, las profesionales de apoyo realizan la verificación y revisión de las justificaciones o documentos a que haya lugar de las solicitudes de prórrogas de los proyectos de investigación, en el sentido de contar con los tiempos adecuados, posteriormente se presentan al Consejo Institucional de Investigaciones para su aprobación. En el periodo de septiembre a noviembre 2025 el Consejo Institucional de Investigaciones aprobó 12 prórrogas con el objetivo de que los proyectos puedan terminar con su ejecución (Anexo 15), este proceso se realiza de manera permanente y está sujeto a las solicitudes de los docentes,  las prórrogas se aprobaron mediante el Consejo Institucional de Investigaciones en las sesiones 20, 25, 31 del 2025 (Anexo 11. Las actas 25 y 31 en proceso de aprobación) el seguimiento de las prórrogas se realiza a través de las matrices internas de seguimiento y control con los proyectos vigentes (Anexo 7 y 8).
</v>
      </c>
      <c r="AC64" s="152" t="str">
        <f>IFERROR(__xludf.DUMMYFUNCTION("""COMPUTED_VALUE"""),"Yohana Maria Velasco Santamaria /Directora Técnica de Investigaciones")</f>
        <v>Yohana Maria Velasco Santamaria /Directora Técnica de Investigaciones</v>
      </c>
      <c r="AD64" s="153" t="str">
        <f>IFERROR(__xludf.DUMMYFUNCTION("""COMPUTED_VALUE"""),"Evidencia")</f>
        <v>Evidencia</v>
      </c>
      <c r="AE64" s="150" t="str">
        <f>IFERROR(__xludf.DUMMYFUNCTION("""COMPUTED_VALUE"""),"Si")</f>
        <v>Si</v>
      </c>
      <c r="AF64" s="152" t="str">
        <f>IFERROR(__xludf.DUMMYFUNCTION("""COMPUTED_VALUE"""),"Ejecutada")</f>
        <v>Ejecutada</v>
      </c>
      <c r="AG64" s="32" t="str">
        <f>IFERROR(__xludf.DUMMYFUNCTION("""COMPUTED_VALUE"""),"Resultado del monitoreo del riesgo
Se constata reporte por parte del proceso sobre la NO materialización del riesgo durante el período de monitoreo.
Sobre los controles
Del análisis de las evidencias remitidas se verifica que los controles definidos se"&amp;" encuentran implementados y en operación. Se evidencia la gestión de procesos de compras y contratación por parte de la Dirección General de Investigaciones, con la suscripción de dos (2) contratos en estado de ejecución durante el tercer cuatrimestre, co"&amp;"nforme a lo registrado en la matriz interna de seguimiento de procesos contractuales (Anexo 13).
Así mismo, se verifica la presentación del informe de ejecución de compras ante el Consejo Institucional de Investigaciones (Sesión ordinaria No. 025 de 2025"&amp;", Acta 25 del 24 de septiembre de 2025, en proceso de firma). De igual manera, se constata el trámite permanente de veintiún (21) avances ante la Vicerrectoría de Recursos Universitarios, atendiendo las solicitudes de los docentes responsables (Anexo 14)."&amp;"
Una vez recibidos los informes finales, se evidencia la verificación de la ejecución financiera mediante la revisión de soportes de legalización, contratos, facturas y el formato FO-INV-23, con seguimiento realizado a través de las matrices internas de "&amp;"control financiero (Anexos 7 y 8).
Sobre las acciones de tratamiento
Se verifica la gestión y aprobación de prórrogas de proyectos de investigación, previa revisión de las justificaciones presentadas por los docentes. Durante el período de septiembre a "&amp;"noviembre de 2025, el Consejo Institucional de Investigaciones aprobó doce (12) prórrogas, conforme a lo registrado en las sesiones 20, 25 y 31 de 2025 (Anexos 11 y 15).
El seguimiento de las prórrogas aprobadas se realiza mediante las matrices internas "&amp;"de seguimiento y control de los proyectos vigentes (Anexos 7 y 8).")</f>
        <v>Resultado del monitoreo del riesgo
Se constata reporte por parte del proceso sobre la NO materialización del riesgo durante el período de monitoreo.
Sobre los controles
Del análisis de las evidencias remitidas se verifica que los controles definidos se encuentran implementados y en operación. Se evidencia la gestión de procesos de compras y contratación por parte de la Dirección General de Investigaciones, con la suscripción de dos (2) contratos en estado de ejecución durante el tercer cuatrimestre, conforme a lo registrado en la matriz interna de seguimiento de procesos contractuales (Anexo 13).
Así mismo, se verifica la presentación del informe de ejecución de compras ante el Consejo Institucional de Investigaciones (Sesión ordinaria No. 025 de 2025, Acta 25 del 24 de septiembre de 2025, en proceso de firma). De igual manera, se constata el trámite permanente de veintiún (21) avances ante la Vicerrectoría de Recursos Universitarios, atendiendo las solicitudes de los docentes responsables (Anexo 14).
Una vez recibidos los informes finales, se evidencia la verificación de la ejecución financiera mediante la revisión de soportes de legalización, contratos, facturas y el formato FO-INV-23, con seguimiento realizado a través de las matrices internas de control financiero (Anexos 7 y 8).
Sobre las acciones de tratamiento
Se verifica la gestión y aprobación de prórrogas de proyectos de investigación, previa revisión de las justificaciones presentadas por los docentes. Durante el período de septiembre a noviembre de 2025, el Consejo Institucional de Investigaciones aprobó doce (12) prórrogas, conforme a lo registrado en las sesiones 20, 25 y 31 de 2025 (Anexos 11 y 15).
El seguimiento de las prórrogas aprobadas se realiza mediante las matrices internas de seguimiento y control de los proyectos vigentes (Anexos 7 y 8).</v>
      </c>
      <c r="AH64" s="150" t="str">
        <f>IFERROR(__xludf.DUMMYFUNCTION("""COMPUTED_VALUE"""),"31 de diciembre")</f>
        <v>31 de diciembre</v>
      </c>
      <c r="AI64" s="32" t="str">
        <f>IFERROR(__xludf.DUMMYFUNCTION("""COMPUTED_VALUE"""),"Si")</f>
        <v>Si</v>
      </c>
      <c r="AJ64" s="32" t="str">
        <f>IFERROR(__xludf.DUMMYFUNCTION("""COMPUTED_VALUE"""),"Si")</f>
        <v>Si</v>
      </c>
      <c r="AK64" s="32" t="str">
        <f>IFERROR(__xludf.DUMMYFUNCTION("""COMPUTED_VALUE"""),"Si")</f>
        <v>Si</v>
      </c>
      <c r="AL64" s="32" t="str">
        <f>IFERROR(__xludf.DUMMYFUNCTION("""COMPUTED_VALUE"""),"Si")</f>
        <v>Si</v>
      </c>
      <c r="AM64" s="32" t="str">
        <f>IFERROR(__xludf.DUMMYFUNCTION("""COMPUTED_VALUE"""),"Si")</f>
        <v>Si</v>
      </c>
      <c r="AN64" s="32" t="str">
        <f>IFERROR(__xludf.DUMMYFUNCTION("""COMPUTED_VALUE"""),"Si")</f>
        <v>Si</v>
      </c>
      <c r="AO64" s="32" t="str">
        <f>IFERROR(__xludf.DUMMYFUNCTION("""COMPUTED_VALUE"""),"Si")</f>
        <v>Si</v>
      </c>
      <c r="AP64" s="32" t="str">
        <f>IFERROR(__xludf.DUMMYFUNCTION("""COMPUTED_VALUE"""),"No aplica")</f>
        <v>No aplica</v>
      </c>
      <c r="AQ64" s="32" t="str">
        <f>IFERROR(__xludf.DUMMYFUNCTION("""COMPUTED_VALUE"""),"No aplica")</f>
        <v>No aplica</v>
      </c>
      <c r="AR64" s="32" t="str">
        <f>IFERROR(__xludf.DUMMYFUNCTION("""COMPUTED_VALUE"""),"No aplica")</f>
        <v>No aplica</v>
      </c>
      <c r="AS64" s="150" t="str">
        <f>IFERROR(__xludf.DUMMYFUNCTION("""COMPUTED_VALUE"""),"Se reitera recomendación realizada en la evaluación del prmer y segundo cuatrimestre: 
*Fortalecer la descripción de los controles conforme a la metodogía propuesta en la Guía para la Administración del Riesgo y el diseño de controles en entidades pública"&amp;"s Versión 6, que propone los elementos que debe contemplar el diseño del control, con relación a los riesgos de gestión, como son: 
Responsable de ejecutar el control: identifica el cargo del servidor que ejecuta el control, en caso de que sean controles "&amp;"automáticos se identificará el sistema que realiza la actividad. 
Acción: se determina mediante verbos que indican la acción que deben realizar como parte del control (ejemplos de verbos que indican control: Verificar, autorizar validar, regular, dirigir,"&amp;" guiar, supervisar, manejar, prohibir, permitir). 
Complemento: corresponde a los detalles que permiten identificar claramente el objeto del control. ")</f>
        <v>Se reitera recomendación realizada en la evaluación del prmer y segundo cuatrimestre: 
*Fortalecer la descripción de los controles conforme a la metodogía propuesta en la Guía para la Administración del Riesgo y el diseño de controles en entidades públicas Versión 6, que propone los elementos que debe contemplar el diseño del control, con relación a los riesgos de gestión, como son: 
Responsable de ejecutar el control: identifica el cargo del servidor que ejecuta el control, en caso de que sean controles automáticos se identificará el sistema que realiza la actividad. 
Acción: se determina mediante verbos que indican la acción que deben realizar como parte del control (ejemplos de verbos que indican control: Verificar, autorizar validar, regular, dirigir, guiar, supervisar, manejar, prohibir, permitir). 
Complemento: corresponde a los detalles que permiten identificar claramente el objeto del control. </v>
      </c>
      <c r="AT64" s="139"/>
    </row>
    <row r="65">
      <c r="A65" s="86"/>
      <c r="B65" s="140" t="s">
        <v>224</v>
      </c>
      <c r="C65" s="141" t="str">
        <f>IFERROR(__xludf.DUMMYFUNCTION("IMPORTRANGE(""https://docs.google.com/spreadsheets/d/1CYL_Dcc2U2TZ1tpaCO389esMt3FfJbJz8sX9u0PD3g8/edit?gid=933803739#gid=933803739"",""Matriz_riesgos!C11:AS19"")"),"Asumir el estudio permanente de los problemas del entorno y su caracterización así como la elaboración de proyectos fortaleciendo la capacidad de opinión calificada de la institución. 
Mejorar la capacidad endógena de innovación y transferencia de conocim"&amp;"iento.
Elevar significativamente la gestión institucional en el contexto regional y nacional estableciendo relaciones de intercambio y cooperación con los actores.
Asumir el quehacer académico en función de su pertinencia en el contexto social. 
Promover "&amp;"la difusión, la recuperación y el sentido de la identidad cultural mediante la organización de actividades y eventos pertinentes.")</f>
        <v>Asumir el estudio permanente de los problemas del entorno y su caracterización así como la elaboración de proyectos fortaleciendo la capacidad de opinión calificada de la institución. 
Mejorar la capacidad endógena de innovación y transferencia de conocimiento.
Elevar significativamente la gestión institucional en el contexto regional y nacional estableciendo relaciones de intercambio y cooperación con los actores.
Asumir el quehacer académico en función de su pertinencia en el contexto social. 
Promover la difusión, la recuperación y el sentido de la identidad cultural mediante la organización de actividades y eventos pertinentes.</v>
      </c>
      <c r="D65" s="144" t="str">
        <f>IFERROR(__xludf.DUMMYFUNCTION("""COMPUTED_VALUE"""),"Afectación económica por incumplimiento en la ejecución presupuestal de los proyectos de proyección social, debido al desconocimiento de los procedimientos, demoras en la solicitud de recursos o entrega tardía de los informes financieros por parte de los "&amp;"coordinadores y gestores de los proyectos")</f>
        <v>Afectación económica por incumplimiento en la ejecución presupuestal de los proyectos de proyección social, debido al desconocimiento de los procedimientos, demoras en la solicitud de recursos o entrega tardía de los informes financieros por parte de los coordinadores y gestores de los proyectos</v>
      </c>
      <c r="E65" s="144" t="str">
        <f>IFERROR(__xludf.DUMMYFUNCTION("""COMPUTED_VALUE"""),"Dirección General de Proyección Social")</f>
        <v>Dirección General de Proyección Social</v>
      </c>
      <c r="F65" s="144" t="str">
        <f>IFERROR(__xludf.DUMMYFUNCTION("""COMPUTED_VALUE"""),"Gestión")</f>
        <v>Gestión</v>
      </c>
      <c r="G65" s="144" t="str">
        <f>IFERROR(__xludf.DUMMYFUNCTION("""COMPUTED_VALUE"""),"
- Desconocimiento o incumplimiento de los procedimientos por parte de los coordinadores y gestores de los proyectos de proyección social
- Demoras en las solicitudes o entrega de los informes por parte de los líderes de los proyectos de proyección socia"&amp;"l
")</f>
        <v>
- Desconocimiento o incumplimiento de los procedimientos por parte de los coordinadores y gestores de los proyectos de proyección social
- Demoras en las solicitudes o entrega de los informes por parte de los líderes de los proyectos de proyección social
</v>
      </c>
      <c r="H65" s="144" t="str">
        <f>IFERROR(__xludf.DUMMYFUNCTION("""COMPUTED_VALUE"""),"1. Detrimento patrimonial
2. Afectación a la imagen institucional
3. Incumplimiento en los indicadores institucionales
4. Limitaciones en el acceso a recursos para nuevos proyectos
5. Afectación a las relaciones interinstitucionales")</f>
        <v>1. Detrimento patrimonial
2. Afectación a la imagen institucional
3. Incumplimiento en los indicadores institucionales
4. Limitaciones en el acceso a recursos para nuevos proyectos
5. Afectación a las relaciones interinstitucionales</v>
      </c>
      <c r="I65" s="145" t="str">
        <f>IFERROR(__xludf.DUMMYFUNCTION("""COMPUTED_VALUE"""),"PSO_01")</f>
        <v>PSO_01</v>
      </c>
      <c r="J65" s="145" t="str">
        <f>IFERROR(__xludf.DUMMYFUNCTION("""COMPUTED_VALUE"""),"Media")</f>
        <v>Media</v>
      </c>
      <c r="K65" s="145" t="str">
        <f>IFERROR(__xludf.DUMMYFUNCTION("""COMPUTED_VALUE"""),"Moderado")</f>
        <v>Moderado</v>
      </c>
      <c r="L65" s="145" t="str">
        <f>IFERROR(__xludf.DUMMYFUNCTION("""COMPUTED_VALUE"""),"Alta")</f>
        <v>Alta</v>
      </c>
      <c r="M65" s="144" t="str">
        <f>IFERROR(__xludf.DUMMYFUNCTION("""COMPUTED_VALUE"""),"- A medida que se van desarrollando los distintos procesos contractuales, los profesionales de apoyo realizan el seguimiento  de ejecución de las actividades previstas, ejecucion de presupuesto, dificultades presentadas y actividades próximas a ejecutar e"&amp;"n el marco de los proyectos de extensión, educación continuada y eventos. 
El Director Técnico de Proyeccion Social, con el acompañamiento de los profesionales de apoyo, realizan y reportan al banco de proyectos el seguimiento trimestral de la ejecución p"&amp;"resupuestal de la ficha BPUNI. 
Los profesionales de apoyo de proyección social, cada año revisan y actualizan los procedimientos y formatos relacionados con la ejecucion presupuestal de los proyectos.  ")</f>
        <v>- A medida que se van desarrollando los distintos procesos contractuales, los profesionales de apoyo realizan el seguimiento  de ejecución de las actividades previstas, ejecucion de presupuesto, dificultades presentadas y actividades próximas a ejecutar en el marco de los proyectos de extensión, educación continuada y eventos. 
El Director Técnico de Proyeccion Social, con el acompañamiento de los profesionales de apoyo, realizan y reportan al banco de proyectos el seguimiento trimestral de la ejecución presupuestal de la ficha BPUNI. 
Los profesionales de apoyo de proyección social, cada año revisan y actualizan los procedimientos y formatos relacionados con la ejecucion presupuestal de los proyectos.  </v>
      </c>
      <c r="N65" s="145" t="str">
        <f>IFERROR(__xludf.DUMMYFUNCTION("""COMPUTED_VALUE"""),"Muy baja")</f>
        <v>Muy baja</v>
      </c>
      <c r="O65" s="145" t="str">
        <f>IFERROR(__xludf.DUMMYFUNCTION("""COMPUTED_VALUE"""),"Moderado")</f>
        <v>Moderado</v>
      </c>
      <c r="P65" s="145" t="str">
        <f>IFERROR(__xludf.DUMMYFUNCTION("""COMPUTED_VALUE"""),"Media")</f>
        <v>Media</v>
      </c>
      <c r="Q65" s="178" t="str">
        <f>IFERROR(__xludf.DUMMYFUNCTION("""COMPUTED_VALUE"""),"Reducir")</f>
        <v>Reducir</v>
      </c>
      <c r="R65" s="158" t="str">
        <f>IFERROR(__xludf.DUMMYFUNCTION("""COMPUTED_VALUE"""),"Divulgar a los directores de centro, coordinadores y colaboradores de proyectos, los requisitos para la elaboración y entrega de los informes, asi como las actualizaciones y cambios en los procedimientos de proyección social, cuando se presenten.")</f>
        <v>Divulgar a los directores de centro, coordinadores y colaboradores de proyectos, los requisitos para la elaboración y entrega de los informes, asi como las actualizaciones y cambios en los procedimientos de proyección social, cuando se presenten.</v>
      </c>
      <c r="S65" s="159" t="str">
        <f>IFERROR(__xludf.DUMMYFUNCTION("""COMPUTED_VALUE"""),"Anual ")</f>
        <v>Anual </v>
      </c>
      <c r="T65" s="159" t="str">
        <f>IFERROR(__xludf.DUMMYFUNCTION("""COMPUTED_VALUE"""),"Dirección Técnico de Proyección Social")</f>
        <v>Dirección Técnico de Proyección Social</v>
      </c>
      <c r="U65" s="159" t="str">
        <f>IFERROR(__xludf.DUMMYFUNCTION("""COMPUTED_VALUE"""),"Registro de asistencia o video de la divulgación")</f>
        <v>Registro de asistencia o video de la divulgación</v>
      </c>
      <c r="V65" s="167" t="str">
        <f>IFERROR(__xludf.DUMMYFUNCTION("""COMPUTED_VALUE"""),"Informar al Consejo Institucional de Proyección Social para que determine las acciones a seguir")</f>
        <v>Informar al Consejo Institucional de Proyección Social para que determine las acciones a seguir</v>
      </c>
      <c r="W65" s="167" t="str">
        <f>IFERROR(__xludf.DUMMYFUNCTION("""COMPUTED_VALUE"""),"Informe, Acta del Consejo de Proyección Social. ")</f>
        <v>Informe, Acta del Consejo de Proyección Social. </v>
      </c>
      <c r="X65" s="169" t="str">
        <f>IFERROR(__xludf.DUMMYFUNCTION("""COMPUTED_VALUE"""),"Director Técnico de Proyección Social")</f>
        <v>Director Técnico de Proyección Social</v>
      </c>
      <c r="Y65" s="169" t="str">
        <f>IFERROR(__xludf.DUMMYFUNCTION("""COMPUTED_VALUE"""),"Semestral")</f>
        <v>Semestral</v>
      </c>
      <c r="Z65" s="150" t="str">
        <f>IFERROR(__xludf.DUMMYFUNCTION("""COMPUTED_VALUE"""),"30 de abril")</f>
        <v>30 de abril</v>
      </c>
      <c r="AA65" s="32" t="str">
        <f>IFERROR(__xludf.DUMMYFUNCTION("""COMPUTED_VALUE"""),"se realizará en el mes de mayo de 2025")</f>
        <v>se realizará en el mes de mayo de 2025</v>
      </c>
      <c r="AB65" s="150" t="str">
        <f>IFERROR(__xludf.DUMMYFUNCTION("""COMPUTED_VALUE"""),"Durante este monitoreo No se materializó el riesgo,
Acciones asociadas al tratamiento del riesgo:
Al corte de este primer monitoreo se informa que no se ha ejecutado teniendo en cuenta que es una actividad semestral se encuentra en ejecución, sin em"&amp;"bargo como estrategia de divulgación, se llevarán a cabo capacitaciones que especificarán la manera correcta de diligenciar los diferentes formatos de Proyectos de Educación Continuada, Eventos y Proyectos Comunitarios, conforme a lo establecido en los pr"&amp;"ocedimientos. Las sesiones se realizarán los días 07 y 12 de mayo a partir de las 2:00 p.m, en un encuentro virtual a través de Google Meet. En el caso específico de Educación Continuada, la convocatoria se realizó en colaboración con los diferentes Centr"&amp;"os de Proyección Social de las facultades, solicitando también la participación de los profesionales de apoyo de dichos centros para que puedan divulgar el conocimiento entre los docentes que no puedan asistir. Los formatos y procedimientos se encuentran "&amp;"disponibles para su descarga en la plataforma interna institucional, y en la capacitación se explicará la forma correcta de llenarlos, además de informar sobre las actualizaciones realizadas a los mismos. Esta capacitación es relevante porque permitirá es"&amp;"tandarizar los procesos de presentación y seguimiento de los proyectos, reducir errores en su diligenciamiento, optimizar los tiempos de gestión y garantizar el cumplimiento de los requisitos establecidos, lo que en última instancia contribuye a la calida"&amp;"d y eficiencia en la gestión de los proyectos institucionales.
Adjunto evidencia de la pieza gráfica de difusión de la capacitación programada para Educación Continuada.
Avance sobre los controles:
Durante el periodo, se ha realizado un segui"&amp;"miento continuo a la ejecución presupuestal de los proyectos de proyección social mediante la supervisión directa de los procesos contractuales por parte de los profesionales de apoyo. Adicionalmente, se han reportado mensualmente los avances y ajustes ne"&amp;"cesarios al Banco de Proyectos (BPUNI), lo cual ha permitido evidenciar la gestión financiera y operativa de los recursos asignados. Como parte de los controles establecidos, también se actualizaron los procedimientos y formatos relacionados con la ejecuc"&amp;"ión presupuestal, con el objetivo de fortalecer la orientación brindada a los gestores y coordinadores de los proyectos.")</f>
        <v>Durante este monitoreo No se materializó el riesgo,
Acciones asociadas al tratamiento del riesgo:
Al corte de este primer monitoreo se informa que no se ha ejecutado teniendo en cuenta que es una actividad semestral se encuentra en ejecución, sin embargo como estrategia de divulgación, se llevarán a cabo capacitaciones que especificarán la manera correcta de diligenciar los diferentes formatos de Proyectos de Educación Continuada, Eventos y Proyectos Comunitarios, conforme a lo establecido en los procedimientos. Las sesiones se realizarán los días 07 y 12 de mayo a partir de las 2:00 p.m, en un encuentro virtual a través de Google Meet. En el caso específico de Educación Continuada, la convocatoria se realizó en colaboración con los diferentes Centros de Proyección Social de las facultades, solicitando también la participación de los profesionales de apoyo de dichos centros para que puedan divulgar el conocimiento entre los docentes que no puedan asistir. Los formatos y procedimientos se encuentran disponibles para su descarga en la plataforma interna institucional, y en la capacitación se explicará la forma correcta de llenarlos, además de informar sobre las actualizaciones realizadas a los mismos. Esta capacitación es relevante porque permitirá estandarizar los procesos de presentación y seguimiento de los proyectos, reducir errores en su diligenciamiento, optimizar los tiempos de gestión y garantizar el cumplimiento de los requisitos establecidos, lo que en última instancia contribuye a la calidad y eficiencia en la gestión de los proyectos institucionales.
Adjunto evidencia de la pieza gráfica de difusión de la capacitación programada para Educación Continuada.
Avance sobre los controles:
Durante el periodo, se ha realizado un seguimiento continuo a la ejecución presupuestal de los proyectos de proyección social mediante la supervisión directa de los procesos contractuales por parte de los profesionales de apoyo. Adicionalmente, se han reportado mensualmente los avances y ajustes necesarios al Banco de Proyectos (BPUNI), lo cual ha permitido evidenciar la gestión financiera y operativa de los recursos asignados. Como parte de los controles establecidos, también se actualizaron los procedimientos y formatos relacionados con la ejecución presupuestal, con el objetivo de fortalecer la orientación brindada a los gestores y coordinadores de los proyectos.</v>
      </c>
      <c r="AC65" s="152" t="str">
        <f>IFERROR(__xludf.DUMMYFUNCTION("""COMPUTED_VALUE"""),"Director Técnico de Proyección Social")</f>
        <v>Director Técnico de Proyección Social</v>
      </c>
      <c r="AD65" s="153" t="str">
        <f>IFERROR(__xludf.DUMMYFUNCTION("""COMPUTED_VALUE"""),"Evidencia")</f>
        <v>Evidencia</v>
      </c>
      <c r="AE65" s="150" t="str">
        <f>IFERROR(__xludf.DUMMYFUNCTION("""COMPUTED_VALUE"""),"Si")</f>
        <v>Si</v>
      </c>
      <c r="AF65" s="150" t="str">
        <f>IFERROR(__xludf.DUMMYFUNCTION("""COMPUTED_VALUE"""),"En proceso")</f>
        <v>En proceso</v>
      </c>
      <c r="AG65" s="32" t="str">
        <f>IFERROR(__xludf.DUMMYFUNCTION("""COMPUTED_VALUE"""),"Se evidencia que el proceso reporta el estado de que NO se materializó el riesgo. 
Sobre las acciones de tratmaiento del riesgo: 
Se verifican acciones de tratamiento a fin de divulgar los requisitos para la elaboración y entrega de los informes, asi co"&amp;"mo actualizaciones en procedimientos de proyección social con los directores de centro, coordinadores y colaboradores de proyectos, el proceso informa que es una tarea en ejecución que se proyecta ejecutar por medio de capacitaciones para el proximo 7 y 1"&amp;"2 de mayo, se recomienda contar con el soporte de la acción para el proximo monitoreo. 
Sobre el avance de los controles: 
C1: se verifica que en la medida que se desarrollan los distintos procesos contractuales, los profesionales de apoyo de proyecció"&amp;"n social realizan apoyo en seguimiento de ejecución de actividades previstas, ejecución de presupuesto, dificultades presentadas y actividades próximas a ejecutar en el marco de los proyectos de extensión, educación continuada y eventos. 
C2: El Director"&amp;" Técnico de Proyección Social, con el acompañamiento de los profesionales de apoyo, realizan y reportan al banco de proyectos el seguimiento trimestral de la ejecución presupuestal de la ficha BPUNI, los profesionales de apoyo de proyección social, cada a"&amp;"ño revisan y actualizan los procedimientos y formatos relacionados con la ejecución presupuestal de proyectos. 
Para las dos acciones se verifica la evidencia en los controles reportando una ejecución de control efectiva por medio de el reporte de las co"&amp;"pias de seguimiento a los proyectos de inversión y ficha BPUNI durante este primer periodo de monitoreo. ")</f>
        <v>Se evidencia que el proceso reporta el estado de que NO se materializó el riesgo. 
Sobre las acciones de tratmaiento del riesgo: 
Se verifican acciones de tratamiento a fin de divulgar los requisitos para la elaboración y entrega de los informes, asi como actualizaciones en procedimientos de proyección social con los directores de centro, coordinadores y colaboradores de proyectos, el proceso informa que es una tarea en ejecución que se proyecta ejecutar por medio de capacitaciones para el proximo 7 y 12 de mayo, se recomienda contar con el soporte de la acción para el proximo monitoreo. 
Sobre el avance de los controles: 
C1: se verifica que en la medida que se desarrollan los distintos procesos contractuales, los profesionales de apoyo de proyección social realizan apoyo en seguimiento de ejecución de actividades previstas, ejecución de presupuesto, dificultades presentadas y actividades próximas a ejecutar en el marco de los proyectos de extensión, educación continuada y eventos. 
C2: El Director Técnico de Proyección Social, con el acompañamiento de los profesionales de apoyo, realizan y reportan al banco de proyectos el seguimiento trimestral de la ejecución presupuestal de la ficha BPUNI, los profesionales de apoyo de proyección social, cada año revisan y actualizan los procedimientos y formatos relacionados con la ejecución presupuestal de proyectos. 
Para las dos acciones se verifica la evidencia en los controles reportando una ejecución de control efectiva por medio de el reporte de las copias de seguimiento a los proyectos de inversión y ficha BPUNI durante este primer periodo de monitoreo. </v>
      </c>
      <c r="AH65" s="150" t="str">
        <f>IFERROR(__xludf.DUMMYFUNCTION("""COMPUTED_VALUE"""),"30 de abril")</f>
        <v>30 de abril</v>
      </c>
      <c r="AI65" s="32" t="str">
        <f>IFERROR(__xludf.DUMMYFUNCTION("""COMPUTED_VALUE"""),"Si")</f>
        <v>Si</v>
      </c>
      <c r="AJ65" s="32" t="str">
        <f>IFERROR(__xludf.DUMMYFUNCTION("""COMPUTED_VALUE"""),"Si")</f>
        <v>Si</v>
      </c>
      <c r="AK65" s="32" t="str">
        <f>IFERROR(__xludf.DUMMYFUNCTION("""COMPUTED_VALUE"""),"Si")</f>
        <v>Si</v>
      </c>
      <c r="AL65" s="32" t="str">
        <f>IFERROR(__xludf.DUMMYFUNCTION("""COMPUTED_VALUE"""),"Si")</f>
        <v>Si</v>
      </c>
      <c r="AM65" s="32" t="str">
        <f>IFERROR(__xludf.DUMMYFUNCTION("""COMPUTED_VALUE"""),"Si")</f>
        <v>Si</v>
      </c>
      <c r="AN65" s="32" t="str">
        <f>IFERROR(__xludf.DUMMYFUNCTION("""COMPUTED_VALUE"""),"Si")</f>
        <v>Si</v>
      </c>
      <c r="AO65" s="32" t="str">
        <f>IFERROR(__xludf.DUMMYFUNCTION("""COMPUTED_VALUE"""),"Si")</f>
        <v>Si</v>
      </c>
      <c r="AP65" s="32" t="str">
        <f>IFERROR(__xludf.DUMMYFUNCTION("""COMPUTED_VALUE"""),"No aplica")</f>
        <v>No aplica</v>
      </c>
      <c r="AQ65" s="32" t="str">
        <f>IFERROR(__xludf.DUMMYFUNCTION("""COMPUTED_VALUE"""),"No aplica")</f>
        <v>No aplica</v>
      </c>
      <c r="AR65" s="32" t="str">
        <f>IFERROR(__xludf.DUMMYFUNCTION("""COMPUTED_VALUE"""),"No aplica")</f>
        <v>No aplica</v>
      </c>
      <c r="AS65" s="150" t="str">
        <f>IFERROR(__xludf.DUMMYFUNCTION("""COMPUTED_VALUE"""),"Ninguna")</f>
        <v>Ninguna</v>
      </c>
      <c r="AT65" s="139"/>
    </row>
    <row r="66">
      <c r="A66" s="86"/>
      <c r="B66" s="73"/>
      <c r="C66" s="73"/>
      <c r="D66" s="156"/>
      <c r="E66" s="156"/>
      <c r="F66" s="156"/>
      <c r="G66" s="156"/>
      <c r="H66" s="156"/>
      <c r="I66" s="156"/>
      <c r="J66" s="156"/>
      <c r="K66" s="156"/>
      <c r="L66" s="156"/>
      <c r="M66" s="156"/>
      <c r="N66" s="156"/>
      <c r="O66" s="156"/>
      <c r="P66" s="156"/>
      <c r="Q66" s="157"/>
      <c r="R66" s="158" t="str">
        <f>IFERROR(__xludf.DUMMYFUNCTION("""COMPUTED_VALUE"""),"")</f>
        <v/>
      </c>
      <c r="S66" s="159" t="str">
        <f>IFERROR(__xludf.DUMMYFUNCTION("""COMPUTED_VALUE"""),"")</f>
        <v/>
      </c>
      <c r="T66" s="170"/>
      <c r="U66" s="170"/>
      <c r="V66" s="94"/>
      <c r="W66" s="94"/>
      <c r="X66" s="94"/>
      <c r="Y66" s="94"/>
      <c r="Z66" s="150" t="str">
        <f>IFERROR(__xludf.DUMMYFUNCTION("""COMPUTED_VALUE"""),"30 de agosto")</f>
        <v>30 de agosto</v>
      </c>
      <c r="AA66" s="32" t="str">
        <f>IFERROR(__xludf.DUMMYFUNCTION("""COMPUTED_VALUE"""),"Julio y Agosto")</f>
        <v>Julio y Agosto</v>
      </c>
      <c r="AB66" s="150" t="str">
        <f>IFERROR(__xludf.DUMMYFUNCTION("""COMPUTED_VALUE"""),"A corte de este segundo monitoreo, con el objetivo de informar los requisitos para la elaboración y entrega de informes a los diferentes coordinadores y Centros de Proyección Social de las distintas facultades, se han llevado a cabo encuentros virtuales y"&amp;" presenciales con los profesionales de apoyo de dichos centros y de las diferentes dependencias proponentes de proyectos. En estas reuniones se ha revisado el estado actual de los proyectos y se ha realizado el seguimiento pertinente.
De igual forma, con"&amp;" los coordinadores de los proyectos de Educación Continuada no solo se han enviado correos informativos sobre el procedimiento, sino que también se han realizado reuniones virtuales y presenciales, en las cuales se ha explicado el paso a paso y se ha hech"&amp;"o seguimiento para garantizar el éxito y la culminación de los proyectos.")</f>
        <v>A corte de este segundo monitoreo, con el objetivo de informar los requisitos para la elaboración y entrega de informes a los diferentes coordinadores y Centros de Proyección Social de las distintas facultades, se han llevado a cabo encuentros virtuales y presenciales con los profesionales de apoyo de dichos centros y de las diferentes dependencias proponentes de proyectos. En estas reuniones se ha revisado el estado actual de los proyectos y se ha realizado el seguimiento pertinente.
De igual forma, con los coordinadores de los proyectos de Educación Continuada no solo se han enviado correos informativos sobre el procedimiento, sino que también se han realizado reuniones virtuales y presenciales, en las cuales se ha explicado el paso a paso y se ha hecho seguimiento para garantizar el éxito y la culminación de los proyectos.</v>
      </c>
      <c r="AC66" s="152" t="str">
        <f>IFERROR(__xludf.DUMMYFUNCTION("""COMPUTED_VALUE"""),"Director Técnico de Proyección Social")</f>
        <v>Director Técnico de Proyección Social</v>
      </c>
      <c r="AD66" s="153" t="str">
        <f>IFERROR(__xludf.DUMMYFUNCTION("""COMPUTED_VALUE"""),"Evidencia")</f>
        <v>Evidencia</v>
      </c>
      <c r="AE66" s="150" t="str">
        <f>IFERROR(__xludf.DUMMYFUNCTION("""COMPUTED_VALUE"""),"Si")</f>
        <v>Si</v>
      </c>
      <c r="AF66" s="152" t="str">
        <f>IFERROR(__xludf.DUMMYFUNCTION("""COMPUTED_VALUE"""),"En proceso")</f>
        <v>En proceso</v>
      </c>
      <c r="AG66" s="32" t="str">
        <f>IFERROR(__xludf.DUMMYFUNCTION("""COMPUTED_VALUE"""),"Se evidencia que el proceso reporta la NO materialización del riesgo en este segundo corte de monitoreo.
Sobre las acciones de tratamiento del riesgo:
El proceso informa que se realizaron encuentros virtuales y presenciales con los profesionales de apoyo"&amp;" de los Centros de Proyección Social y con las dependencias proponentes de proyectos. En estas sesiones se socializaron los requisitos para la elaboración y entrega de informes, además de revisar el estado actual de los proyectos y realizar el respectivo "&amp;"seguimiento.
Adicionalmente, con los coordinadores de Educación Continuada se efectuaron reuniones virtuales y presenciales, complementadas con el envío de comunicaciones electrónicas. En dichas actividades se explicó el procedimiento establecido y se ori"&amp;"entó el paso a paso para garantizar el cumplimiento y cierre adecuado de los proyectos.
Sobre el avance de los controles:
Se constata que los controles se ejecutan conforme a lo planeado, a través de:
El acompañamiento permanente de los profesionales de"&amp;" apoyo en el seguimiento a la ejecución de actividades, presupuesto y compromisos de los proyectos de extensión, educación continuada y eventos.
La verificación periódica, por parte de la Dirección Técnica de Proyección Social y el equipo de apoyo, del s"&amp;"eguimiento presupuestal consolidado en las fichas BPUNI y los reportes trimestrales al banco de proyectos.
El reporte presentado es pertinente y da cuenta de la aplicación efectiva de los controles y acciones de tratamiento del riesgo en el periodo evalu"&amp;"ado.")</f>
        <v>Se evidencia que el proceso reporta la NO materialización del riesgo en este segundo corte de monitoreo.
Sobre las acciones de tratamiento del riesgo:
El proceso informa que se realizaron encuentros virtuales y presenciales con los profesionales de apoyo de los Centros de Proyección Social y con las dependencias proponentes de proyectos. En estas sesiones se socializaron los requisitos para la elaboración y entrega de informes, además de revisar el estado actual de los proyectos y realizar el respectivo seguimiento.
Adicionalmente, con los coordinadores de Educación Continuada se efectuaron reuniones virtuales y presenciales, complementadas con el envío de comunicaciones electrónicas. En dichas actividades se explicó el procedimiento establecido y se orientó el paso a paso para garantizar el cumplimiento y cierre adecuado de los proyectos.
Sobre el avance de los controles:
Se constata que los controles se ejecutan conforme a lo planeado, a través de:
El acompañamiento permanente de los profesionales de apoyo en el seguimiento a la ejecución de actividades, presupuesto y compromisos de los proyectos de extensión, educación continuada y eventos.
La verificación periódica, por parte de la Dirección Técnica de Proyección Social y el equipo de apoyo, del seguimiento presupuestal consolidado en las fichas BPUNI y los reportes trimestrales al banco de proyectos.
El reporte presentado es pertinente y da cuenta de la aplicación efectiva de los controles y acciones de tratamiento del riesgo en el periodo evaluado.</v>
      </c>
      <c r="AH66" s="150" t="str">
        <f>IFERROR(__xludf.DUMMYFUNCTION("""COMPUTED_VALUE"""),"31 de agosto")</f>
        <v>31 de agosto</v>
      </c>
      <c r="AI66" s="32" t="str">
        <f>IFERROR(__xludf.DUMMYFUNCTION("""COMPUTED_VALUE"""),"Si")</f>
        <v>Si</v>
      </c>
      <c r="AJ66" s="32" t="str">
        <f>IFERROR(__xludf.DUMMYFUNCTION("""COMPUTED_VALUE"""),"Si")</f>
        <v>Si</v>
      </c>
      <c r="AK66" s="32" t="str">
        <f>IFERROR(__xludf.DUMMYFUNCTION("""COMPUTED_VALUE"""),"Si")</f>
        <v>Si</v>
      </c>
      <c r="AL66" s="32" t="str">
        <f>IFERROR(__xludf.DUMMYFUNCTION("""COMPUTED_VALUE"""),"Si")</f>
        <v>Si</v>
      </c>
      <c r="AM66" s="32" t="str">
        <f>IFERROR(__xludf.DUMMYFUNCTION("""COMPUTED_VALUE"""),"Si")</f>
        <v>Si</v>
      </c>
      <c r="AN66" s="32" t="str">
        <f>IFERROR(__xludf.DUMMYFUNCTION("""COMPUTED_VALUE"""),"Si")</f>
        <v>Si</v>
      </c>
      <c r="AO66" s="32" t="str">
        <f>IFERROR(__xludf.DUMMYFUNCTION("""COMPUTED_VALUE"""),"Si")</f>
        <v>Si</v>
      </c>
      <c r="AP66" s="32" t="str">
        <f>IFERROR(__xludf.DUMMYFUNCTION("""COMPUTED_VALUE"""),"No aplica")</f>
        <v>No aplica</v>
      </c>
      <c r="AQ66" s="32" t="str">
        <f>IFERROR(__xludf.DUMMYFUNCTION("""COMPUTED_VALUE"""),"No aplica")</f>
        <v>No aplica</v>
      </c>
      <c r="AR66" s="32" t="str">
        <f>IFERROR(__xludf.DUMMYFUNCTION("""COMPUTED_VALUE"""),"No aplica")</f>
        <v>No aplica</v>
      </c>
      <c r="AS66" s="150" t="str">
        <f>IFERROR(__xludf.DUMMYFUNCTION("""COMPUTED_VALUE"""),"Ninguna")</f>
        <v>Ninguna</v>
      </c>
      <c r="AT66" s="139"/>
    </row>
    <row r="67">
      <c r="A67" s="86"/>
      <c r="B67" s="73"/>
      <c r="C67" s="73"/>
      <c r="D67" s="119"/>
      <c r="E67" s="119"/>
      <c r="F67" s="119"/>
      <c r="G67" s="119"/>
      <c r="H67" s="119"/>
      <c r="I67" s="119"/>
      <c r="J67" s="119"/>
      <c r="K67" s="119"/>
      <c r="L67" s="119"/>
      <c r="M67" s="119"/>
      <c r="N67" s="119"/>
      <c r="O67" s="119"/>
      <c r="P67" s="119"/>
      <c r="Q67" s="162"/>
      <c r="R67" s="163" t="str">
        <f>IFERROR(__xludf.DUMMYFUNCTION("""COMPUTED_VALUE"""),"")</f>
        <v/>
      </c>
      <c r="S67" s="164" t="str">
        <f>IFERROR(__xludf.DUMMYFUNCTION("""COMPUTED_VALUE"""),"")</f>
        <v/>
      </c>
      <c r="T67" s="176"/>
      <c r="U67" s="176"/>
      <c r="V67" s="98"/>
      <c r="W67" s="98"/>
      <c r="X67" s="98"/>
      <c r="Y67" s="98"/>
      <c r="Z67" s="150" t="str">
        <f>IFERROR(__xludf.DUMMYFUNCTION("""COMPUTED_VALUE"""),"30 de diciembre")</f>
        <v>30 de diciembre</v>
      </c>
      <c r="AA67" s="183">
        <f>IFERROR(__xludf.DUMMYFUNCTION("""COMPUTED_VALUE"""),45992.0)</f>
        <v>45992</v>
      </c>
      <c r="AB67" s="150" t="str">
        <f>IFERROR(__xludf.DUMMYFUNCTION("""COMPUTED_VALUE"""),"A corte del tercer monitoreo, el objetivo es seguir  capacitando a los profesionales de apoyo y a los directores de los Centros de Proyección Social de las diferentes facultades, en el procedimiento para la elaboración y presentación del proyecto comunita"&amp;"rio, así como en la entrega de informes.  Se han realizado reuniones virtuales y presenciales, en las cuales se ha explicado el paso a paso y se ha hecho seguimiento para garantizar el éxito y la culminación de los proyectos.")</f>
        <v>A corte del tercer monitoreo, el objetivo es seguir  capacitando a los profesionales de apoyo y a los directores de los Centros de Proyección Social de las diferentes facultades, en el procedimiento para la elaboración y presentación del proyecto comunitario, así como en la entrega de informes.  Se han realizado reuniones virtuales y presenciales, en las cuales se ha explicado el paso a paso y se ha hecho seguimiento para garantizar el éxito y la culminación de los proyectos.</v>
      </c>
      <c r="AC67" s="152" t="str">
        <f>IFERROR(__xludf.DUMMYFUNCTION("""COMPUTED_VALUE"""),"Director Técnico de Proyección Social")</f>
        <v>Director Técnico de Proyección Social</v>
      </c>
      <c r="AD67" s="153" t="str">
        <f>IFERROR(__xludf.DUMMYFUNCTION("""COMPUTED_VALUE"""),"Evidencia")</f>
        <v>Evidencia</v>
      </c>
      <c r="AE67" s="150" t="str">
        <f>IFERROR(__xludf.DUMMYFUNCTION("""COMPUTED_VALUE"""),"Parcial")</f>
        <v>Parcial</v>
      </c>
      <c r="AF67" s="152" t="str">
        <f>IFERROR(__xludf.DUMMYFUNCTION("""COMPUTED_VALUE"""),"Ejecutada")</f>
        <v>Ejecutada</v>
      </c>
      <c r="AG67" s="32" t="str">
        <f>IFERROR(__xludf.DUMMYFUNCTION("""COMPUTED_VALUE"""),"Resultado del monitoreo del riesgo
Se evidencia que el proceso reporta la NO materialización del riesgo a corte del tercer monitoreo.
Sobre el avance reportado por el proceso
El proceso informa que, a corte del tercer monitoreo, se continúa con el obje"&amp;"tivo de fortalecer las capacidades de los profesionales de apoyo y de los directores de los Centros de Proyección Social de las diferentes facultades, mediante capacitaciones relacionadas con el procedimiento para la elaboración, presentación y seguimient"&amp;"o de proyectos comunitarios, así como con la entrega de informes.
En este marco, se reporta la realización de reuniones virtuales y presenciales, en las cuales se socializó el paso a paso del procedimiento y se efectuó seguimiento a los proyectos, con el"&amp;" propósito de garantizar su correcta ejecución y culminación.
Recomendación de Planeación
Si bien el proceso reporta actividades de capacitación y acompañamiento, no se evidencia en el reporte la discriminación explícita de los controles ni de las accio"&amp;"nes de tratamiento del riesgo, ni su correspondencia directa con los controles definidos en la matriz de riesgos.
En consecuencia, se recomienda que, para próximos cortes de monitoreo, el proceso estructure la información reportada diferenciando claramen"&amp;"te:
Las acciones asociadas a la aplicación de los controles, indicando su periodicidad y responsables.
Las acciones de tratamiento del riesgo, precisando su alcance, evidencias y resultados esperados.
Lo anterior permitirá fortalecer la trazabilidad, f"&amp;"acilitar la labor de verificación por parte de Planeación y asegurar la coherencia entre lo definido en la matriz de riesgos y lo ejecutado por el proceso.")</f>
        <v>Resultado del monitoreo del riesgo
Se evidencia que el proceso reporta la NO materialización del riesgo a corte del tercer monitoreo.
Sobre el avance reportado por el proceso
El proceso informa que, a corte del tercer monitoreo, se continúa con el objetivo de fortalecer las capacidades de los profesionales de apoyo y de los directores de los Centros de Proyección Social de las diferentes facultades, mediante capacitaciones relacionadas con el procedimiento para la elaboración, presentación y seguimiento de proyectos comunitarios, así como con la entrega de informes.
En este marco, se reporta la realización de reuniones virtuales y presenciales, en las cuales se socializó el paso a paso del procedimiento y se efectuó seguimiento a los proyectos, con el propósito de garantizar su correcta ejecución y culminación.
Recomendación de Planeación
Si bien el proceso reporta actividades de capacitación y acompañamiento, no se evidencia en el reporte la discriminación explícita de los controles ni de las acciones de tratamiento del riesgo, ni su correspondencia directa con los controles definidos en la matriz de riesgos.
En consecuencia, se recomienda que, para próximos cortes de monitoreo, el proceso estructure la información reportada diferenciando claramente:
Las acciones asociadas a la aplicación de los controles, indicando su periodicidad y responsables.
Las acciones de tratamiento del riesgo, precisando su alcance, evidencias y resultados esperados.
Lo anterior permitirá fortalecer la trazabilidad, facilitar la labor de verificación por parte de Planeación y asegurar la coherencia entre lo definido en la matriz de riesgos y lo ejecutado por el proceso.</v>
      </c>
      <c r="AH67" s="150" t="str">
        <f>IFERROR(__xludf.DUMMYFUNCTION("""COMPUTED_VALUE"""),"31 de diciembre")</f>
        <v>31 de diciembre</v>
      </c>
      <c r="AI67" s="32" t="str">
        <f>IFERROR(__xludf.DUMMYFUNCTION("""COMPUTED_VALUE"""),"Si")</f>
        <v>Si</v>
      </c>
      <c r="AJ67" s="32" t="str">
        <f>IFERROR(__xludf.DUMMYFUNCTION("""COMPUTED_VALUE"""),"Si")</f>
        <v>Si</v>
      </c>
      <c r="AK67" s="32" t="str">
        <f>IFERROR(__xludf.DUMMYFUNCTION("""COMPUTED_VALUE"""),"Si")</f>
        <v>Si</v>
      </c>
      <c r="AL67" s="32" t="str">
        <f>IFERROR(__xludf.DUMMYFUNCTION("""COMPUTED_VALUE"""),"Si")</f>
        <v>Si</v>
      </c>
      <c r="AM67" s="32" t="str">
        <f>IFERROR(__xludf.DUMMYFUNCTION("""COMPUTED_VALUE"""),"Si")</f>
        <v>Si</v>
      </c>
      <c r="AN67" s="32" t="str">
        <f>IFERROR(__xludf.DUMMYFUNCTION("""COMPUTED_VALUE"""),"Si")</f>
        <v>Si</v>
      </c>
      <c r="AO67" s="32" t="str">
        <f>IFERROR(__xludf.DUMMYFUNCTION("""COMPUTED_VALUE"""),"Si")</f>
        <v>Si</v>
      </c>
      <c r="AP67" s="32" t="str">
        <f>IFERROR(__xludf.DUMMYFUNCTION("""COMPUTED_VALUE"""),"No aplica")</f>
        <v>No aplica</v>
      </c>
      <c r="AQ67" s="32" t="str">
        <f>IFERROR(__xludf.DUMMYFUNCTION("""COMPUTED_VALUE"""),"No aplica")</f>
        <v>No aplica</v>
      </c>
      <c r="AR67" s="32" t="str">
        <f>IFERROR(__xludf.DUMMYFUNCTION("""COMPUTED_VALUE"""),"No aplica")</f>
        <v>No aplica</v>
      </c>
      <c r="AS67" s="150" t="str">
        <f>IFERROR(__xludf.DUMMYFUNCTION("""COMPUTED_VALUE"""),"Ninguna")</f>
        <v>Ninguna</v>
      </c>
      <c r="AT67" s="139"/>
    </row>
    <row r="68">
      <c r="A68" s="86"/>
      <c r="B68" s="73"/>
      <c r="C68" s="73"/>
      <c r="D68" s="144" t="str">
        <f>IFERROR(__xludf.DUMMYFUNCTION("""COMPUTED_VALUE"""),"Afectación economica y reputacional por el incumplimiento de las metas de proyección social debido a deficiencias en la planeación, gestión y monitoreo de las actividades y proyectos")</f>
        <v>Afectación economica y reputacional por el incumplimiento de las metas de proyección social debido a deficiencias en la planeación, gestión y monitoreo de las actividades y proyectos</v>
      </c>
      <c r="E68" s="144" t="str">
        <f>IFERROR(__xludf.DUMMYFUNCTION("""COMPUTED_VALUE"""),"Dirección General de Proyección Social")</f>
        <v>Dirección General de Proyección Social</v>
      </c>
      <c r="F68" s="144" t="str">
        <f>IFERROR(__xludf.DUMMYFUNCTION("""COMPUTED_VALUE"""),"Gestión")</f>
        <v>Gestión</v>
      </c>
      <c r="G68" s="144" t="str">
        <f>IFERROR(__xludf.DUMMYFUNCTION("""COMPUTED_VALUE"""),"- Deficiencias en la planeación, gestión y monitoreo de las actividades y proyectos.
- Disminución en el presupuesto destinado a las actividades de proyección social.
- Cambios en el contexto institucional.
- Conflicto, desconocimiento o incumplimientos n"&amp;"ormativos, legales, regulatorios o contractuales. 
-Dificultades en la ejecución de los recursos.")</f>
        <v>- Deficiencias en la planeación, gestión y monitoreo de las actividades y proyectos.
- Disminución en el presupuesto destinado a las actividades de proyección social.
- Cambios en el contexto institucional.
- Conflicto, desconocimiento o incumplimientos normativos, legales, regulatorios o contractuales. 
-Dificultades en la ejecución de los recursos.</v>
      </c>
      <c r="H68" s="144" t="str">
        <f>IFERROR(__xludf.DUMMYFUNCTION("""COMPUTED_VALUE"""),"1. Detrimento patrimonial
2. Afectación a la imagen institucional
3. Incumplimiento en los indicadores institucionales
4. Limitaciones en el acceso a recursos para nuevas iniciativas
5. Incumplimiento en los cronogramas y objetivos de los proyectos instit"&amp;"ucionales ")</f>
        <v>1. Detrimento patrimonial
2. Afectación a la imagen institucional
3. Incumplimiento en los indicadores institucionales
4. Limitaciones en el acceso a recursos para nuevas iniciativas
5. Incumplimiento en los cronogramas y objetivos de los proyectos institucionales </v>
      </c>
      <c r="I68" s="145" t="str">
        <f>IFERROR(__xludf.DUMMYFUNCTION("""COMPUTED_VALUE"""),"PSO_02")</f>
        <v>PSO_02</v>
      </c>
      <c r="J68" s="145" t="str">
        <f>IFERROR(__xludf.DUMMYFUNCTION("""COMPUTED_VALUE"""),"Alta")</f>
        <v>Alta</v>
      </c>
      <c r="K68" s="145" t="str">
        <f>IFERROR(__xludf.DUMMYFUNCTION("""COMPUTED_VALUE"""),"Mayor")</f>
        <v>Mayor</v>
      </c>
      <c r="L68" s="145" t="str">
        <f>IFERROR(__xludf.DUMMYFUNCTION("""COMPUTED_VALUE"""),"Extrema")</f>
        <v>Extrema</v>
      </c>
      <c r="M68" s="144" t="str">
        <f>IFERROR(__xludf.DUMMYFUNCTION("""COMPUTED_VALUE"""),"- Trimestralmente de acuerdo a la información reportada en el seguimiento al POA,  el profesional de apoyo realiza el seguimiento a los indicadores de gestión para verificar la ejecución presupuestal de la Ficha BPUNI y el cumplimiento de las metas.
- El "&amp;"Director Técnico de Proyección solicita a los profesionales de apoyo la consolidación de la información sobre la ejecución de las actividades y proyectos propios de la Dirección y de las Facultades; los cuales reflejan el grado de cumplimiento de las meta"&amp;"s en el informe de gestión semestral. 
- El Director Técnico de Proyección Social de acuerdo con la ejecución presupuestal y con el grado de cumplimiento de las metas determina el ajuste de las actividades y rubros y solicita la actualización de la Ficha "&amp;"BPUNI para lograr la optimización del recurso y el cumplimiento de las metas. 
 ")</f>
        <v>- Trimestralmente de acuerdo a la información reportada en el seguimiento al POA,  el profesional de apoyo realiza el seguimiento a los indicadores de gestión para verificar la ejecución presupuestal de la Ficha BPUNI y el cumplimiento de las metas.
- El Director Técnico de Proyección solicita a los profesionales de apoyo la consolidación de la información sobre la ejecución de las actividades y proyectos propios de la Dirección y de las Facultades; los cuales reflejan el grado de cumplimiento de las metas en el informe de gestión semestral. 
- El Director Técnico de Proyección Social de acuerdo con la ejecución presupuestal y con el grado de cumplimiento de las metas determina el ajuste de las actividades y rubros y solicita la actualización de la Ficha BPUNI para lograr la optimización del recurso y el cumplimiento de las metas. 
 </v>
      </c>
      <c r="N68" s="145" t="str">
        <f>IFERROR(__xludf.DUMMYFUNCTION("""COMPUTED_VALUE"""),"Baja")</f>
        <v>Baja</v>
      </c>
      <c r="O68" s="145" t="str">
        <f>IFERROR(__xludf.DUMMYFUNCTION("""COMPUTED_VALUE"""),"Moderado")</f>
        <v>Moderado</v>
      </c>
      <c r="P68" s="145" t="str">
        <f>IFERROR(__xludf.DUMMYFUNCTION("""COMPUTED_VALUE"""),"Media")</f>
        <v>Media</v>
      </c>
      <c r="Q68" s="178" t="str">
        <f>IFERROR(__xludf.DUMMYFUNCTION("""COMPUTED_VALUE"""),"Reducir")</f>
        <v>Reducir</v>
      </c>
      <c r="R68" s="158" t="str">
        <f>IFERROR(__xludf.DUMMYFUNCTION("""COMPUTED_VALUE"""),"Gestionar y realizar el seguimiento de los procesos administrativos y contractuales para que la contratación de los materiales, elementos, equipos y apoyo logístico se realice dentro de los plazos, evitando el incumplimiento de los cronogramas y actividad"&amp;"es de los proyectos y actividades de Proyección Social. ")</f>
        <v>Gestionar y realizar el seguimiento de los procesos administrativos y contractuales para que la contratación de los materiales, elementos, equipos y apoyo logístico se realice dentro de los plazos, evitando el incumplimiento de los cronogramas y actividades de los proyectos y actividades de Proyección Social. </v>
      </c>
      <c r="S68" s="159" t="str">
        <f>IFERROR(__xludf.DUMMYFUNCTION("""COMPUTED_VALUE"""),"Semestral ")</f>
        <v>Semestral </v>
      </c>
      <c r="T68" s="170" t="str">
        <f>IFERROR(__xludf.DUMMYFUNCTION("""COMPUTED_VALUE"""),"Profesionales de apoyo proyección social")</f>
        <v>Profesionales de apoyo proyección social</v>
      </c>
      <c r="U68" s="170" t="str">
        <f>IFERROR(__xludf.DUMMYFUNCTION("""COMPUTED_VALUE"""),"Correos electrónicos solicitudes de contratación, Estudio de mercado, ECO, Contratos, actas de inicio, informes de ejecución o actas de liquidación.")</f>
        <v>Correos electrónicos solicitudes de contratación, Estudio de mercado, ECO, Contratos, actas de inicio, informes de ejecución o actas de liquidación.</v>
      </c>
      <c r="V68" s="167" t="str">
        <f>IFERROR(__xludf.DUMMYFUNCTION("""COMPUTED_VALUE"""),"Solicitar modificaciones en las metas y actividades del proceso ante la oficina de Planeación, justificando los cambios solicitados.")</f>
        <v>Solicitar modificaciones en las metas y actividades del proceso ante la oficina de Planeación, justificando los cambios solicitados.</v>
      </c>
      <c r="W68" s="167" t="str">
        <f>IFERROR(__xludf.DUMMYFUNCTION("""COMPUTED_VALUE"""),"Correo electrónico")</f>
        <v>Correo electrónico</v>
      </c>
      <c r="X68" s="169" t="str">
        <f>IFERROR(__xludf.DUMMYFUNCTION("""COMPUTED_VALUE"""),"Director Técnico de Proyección Social")</f>
        <v>Director Técnico de Proyección Social</v>
      </c>
      <c r="Y68" s="169" t="str">
        <f>IFERROR(__xludf.DUMMYFUNCTION("""COMPUTED_VALUE"""),"15 días")</f>
        <v>15 días</v>
      </c>
      <c r="Z68" s="150" t="str">
        <f>IFERROR(__xludf.DUMMYFUNCTION("""COMPUTED_VALUE"""),"30 de abril")</f>
        <v>30 de abril</v>
      </c>
      <c r="AA68" s="32" t="str">
        <f>IFERROR(__xludf.DUMMYFUNCTION("""COMPUTED_VALUE"""),"Enero , Febrero , Marzo y Abril de 2025")</f>
        <v>Enero , Febrero , Marzo y Abril de 2025</v>
      </c>
      <c r="AB68" s="150" t="str">
        <f>IFERROR(__xludf.DUMMYFUNCTION("""COMPUTED_VALUE"""),"Durante este monitoreo NO se materializó el riesgo.
Acciones asociadas al tratamiento:
En atención al riesgo macro identificado por la Dirección General de Proyección Social, relacionado con la gestión integral y oportuna de los proyectos institucionale"&amp;"s, se han desarrollado acciones articuladas en tres frentes. Primero, se ha realizado seguimiento mensual a las solicitudes de las facultades, registrando decisiones en actas del Consejo Institucional de Proyección Social y respaldando la gestión con memo"&amp;"randos y correos electrónicos. Segundo, se ha efectuado monitoreo continuo en el SIAU, actualizando fichas y constancias, y solicitando avances mensuales a las dependencias responsables. Finalmente, durante el primer semestre de 2025 se dio seguimiento a "&amp;"las actas de inicio de los proyectos comunitarios, se ejecutaron los procesos contractuales para la adquisición de insumos, y se consolidaron reportes de avance por parte de los coordinadores. Estas acciones garantizan el cumplimiento, trazabilidad y efec"&amp;"tividad en la ejecución de los proyectos de proyección social.
Avance sobre los controles:
Se ha realizado un seguimiento mensual a los indicadores de gestión del POA y a la ejecución presupuestal de la Ficha BPUNI, lo que ha permitido identificar de ma"&amp;"nera oportuna posibles desviaciones y tomar las medidas correctivas necesarias. Asimismo, se ha consolidado la información relacionada con la ejecución de las actividades y proyectos tanto institucionales como de las facultades, la cual ha sido integrada "&amp;"en los informes semestrales de gestión. Como resultado del análisis permanente del cumplimiento de metas y del uso de los recursos, se han realizado ajustes en las actividades y rubros de la ficha BPUNI, lo que ha permitido optimizar los recursos disponib"&amp;"les y asegurar el cumplimiento de los objetivos establecidos.")</f>
        <v>Durante este monitoreo NO se materializó el riesgo.
Acciones asociadas al tratamiento:
En atención al riesgo macro identificado por la Dirección General de Proyección Social, relacionado con la gestión integral y oportuna de los proyectos institucionales, se han desarrollado acciones articuladas en tres frentes. Primero, se ha realizado seguimiento mensual a las solicitudes de las facultades, registrando decisiones en actas del Consejo Institucional de Proyección Social y respaldando la gestión con memorandos y correos electrónicos. Segundo, se ha efectuado monitoreo continuo en el SIAU, actualizando fichas y constancias, y solicitando avances mensuales a las dependencias responsables. Finalmente, durante el primer semestre de 2025 se dio seguimiento a las actas de inicio de los proyectos comunitarios, se ejecutaron los procesos contractuales para la adquisición de insumos, y se consolidaron reportes de avance por parte de los coordinadores. Estas acciones garantizan el cumplimiento, trazabilidad y efectividad en la ejecución de los proyectos de proyección social.
Avance sobre los controles:
Se ha realizado un seguimiento mensual a los indicadores de gestión del POA y a la ejecución presupuestal de la Ficha BPUNI, lo que ha permitido identificar de manera oportuna posibles desviaciones y tomar las medidas correctivas necesarias. Asimismo, se ha consolidado la información relacionada con la ejecución de las actividades y proyectos tanto institucionales como de las facultades, la cual ha sido integrada en los informes semestrales de gestión. Como resultado del análisis permanente del cumplimiento de metas y del uso de los recursos, se han realizado ajustes en las actividades y rubros de la ficha BPUNI, lo que ha permitido optimizar los recursos disponibles y asegurar el cumplimiento de los objetivos establecidos.</v>
      </c>
      <c r="AC68" s="152" t="str">
        <f>IFERROR(__xludf.DUMMYFUNCTION("""COMPUTED_VALUE"""),"Director Técnico de Proyección Social")</f>
        <v>Director Técnico de Proyección Social</v>
      </c>
      <c r="AD68" s="153" t="str">
        <f>IFERROR(__xludf.DUMMYFUNCTION("""COMPUTED_VALUE"""),"Evidencia")</f>
        <v>Evidencia</v>
      </c>
      <c r="AE68" s="150" t="str">
        <f>IFERROR(__xludf.DUMMYFUNCTION("""COMPUTED_VALUE"""),"Si")</f>
        <v>Si</v>
      </c>
      <c r="AF68" s="150" t="str">
        <f>IFERROR(__xludf.DUMMYFUNCTION("""COMPUTED_VALUE"""),"En proceso")</f>
        <v>En proceso</v>
      </c>
      <c r="AG68" s="32" t="str">
        <f>IFERROR(__xludf.DUMMYFUNCTION("""COMPUTED_VALUE"""),"Se evidencia que el proceso reporta el estado de que NO se materializó el riesgo. 
Sobre las acciones de tratmaiento del riesgo: 
Accion 1: Gestionar y analizar el seguimiento de los procesos administrativos y contractuales para que la ocntratación de l"&amp;"os materiales, elementos, equipos y apoyo logístico se realice dentro de los plazos, evitando el incumplimiento de los cronogramas y actividades de los proyectos y actividades de proyección social, acción proyectada de caracter semestral que para este mon"&amp;"itoreo se justifica por medio de correo electronico. 
Acción 2: Atender y dar respuesta y gestión oportuna a las solicitudes de las facultades en el marco del desarrollo de los proyectos y actividades, acción de caracter mensual, se evidencian actas de r"&amp;"eunión, correos electronicos o memorandos de los meses enero, febrero y marzo, dando cumplimiento a la acción establecida para este primer monitoreo. 
Acción 3: Realizar seguimiento y monitoreo en el SIAU de la entrega de informes de avance y finalizació"&amp;"n de los proyectos de proyección social, actividad semestral, que se justifica por medio de correo electronico o SIAU, dando cumplimiento a la acción de tratamiento establecida para este primer monitoreo. 
Sobre el avance en los controles: 
Se revisa la"&amp;"s evidencias en donde se da cumplimiento al primer avance de evaluación de los controles, en donde se reporta seguimiento al POAI y ficha BPUNI, se recomienda continuar con el reporte de los controles establecidos hasta cerrar la vigencia. ")</f>
        <v>Se evidencia que el proceso reporta el estado de que NO se materializó el riesgo. 
Sobre las acciones de tratmaiento del riesgo: 
Accion 1: Gestionar y analizar el seguimiento de los procesos administrativos y contractuales para que la ocntratación de los materiales, elementos, equipos y apoyo logístico se realice dentro de los plazos, evitando el incumplimiento de los cronogramas y actividades de los proyectos y actividades de proyección social, acción proyectada de caracter semestral que para este monitoreo se justifica por medio de correo electronico. 
Acción 2: Atender y dar respuesta y gestión oportuna a las solicitudes de las facultades en el marco del desarrollo de los proyectos y actividades, acción de caracter mensual, se evidencian actas de reunión, correos electronicos o memorandos de los meses enero, febrero y marzo, dando cumplimiento a la acción establecida para este primer monitoreo. 
Acción 3: Realizar seguimiento y monitoreo en el SIAU de la entrega de informes de avance y finalización de los proyectos de proyección social, actividad semestral, que se justifica por medio de correo electronico o SIAU, dando cumplimiento a la acción de tratamiento establecida para este primer monitoreo. 
Sobre el avance en los controles: 
Se revisa las evidencias en donde se da cumplimiento al primer avance de evaluación de los controles, en donde se reporta seguimiento al POAI y ficha BPUNI, se recomienda continuar con el reporte de los controles establecidos hasta cerrar la vigencia. </v>
      </c>
      <c r="AH68" s="150" t="str">
        <f>IFERROR(__xludf.DUMMYFUNCTION("""COMPUTED_VALUE"""),"30 de abril")</f>
        <v>30 de abril</v>
      </c>
      <c r="AI68" s="32" t="str">
        <f>IFERROR(__xludf.DUMMYFUNCTION("""COMPUTED_VALUE"""),"Si")</f>
        <v>Si</v>
      </c>
      <c r="AJ68" s="32" t="str">
        <f>IFERROR(__xludf.DUMMYFUNCTION("""COMPUTED_VALUE"""),"Si")</f>
        <v>Si</v>
      </c>
      <c r="AK68" s="32" t="str">
        <f>IFERROR(__xludf.DUMMYFUNCTION("""COMPUTED_VALUE"""),"Si")</f>
        <v>Si</v>
      </c>
      <c r="AL68" s="32" t="str">
        <f>IFERROR(__xludf.DUMMYFUNCTION("""COMPUTED_VALUE"""),"Si")</f>
        <v>Si</v>
      </c>
      <c r="AM68" s="32" t="str">
        <f>IFERROR(__xludf.DUMMYFUNCTION("""COMPUTED_VALUE"""),"Si")</f>
        <v>Si</v>
      </c>
      <c r="AN68" s="32" t="str">
        <f>IFERROR(__xludf.DUMMYFUNCTION("""COMPUTED_VALUE"""),"Si")</f>
        <v>Si</v>
      </c>
      <c r="AO68" s="32" t="str">
        <f>IFERROR(__xludf.DUMMYFUNCTION("""COMPUTED_VALUE"""),"Si")</f>
        <v>Si</v>
      </c>
      <c r="AP68" s="32" t="str">
        <f>IFERROR(__xludf.DUMMYFUNCTION("""COMPUTED_VALUE"""),"No aplica")</f>
        <v>No aplica</v>
      </c>
      <c r="AQ68" s="32" t="str">
        <f>IFERROR(__xludf.DUMMYFUNCTION("""COMPUTED_VALUE"""),"No aplica")</f>
        <v>No aplica</v>
      </c>
      <c r="AR68" s="32" t="str">
        <f>IFERROR(__xludf.DUMMYFUNCTION("""COMPUTED_VALUE"""),"No aplica")</f>
        <v>No aplica</v>
      </c>
      <c r="AS68" s="150" t="str">
        <f>IFERROR(__xludf.DUMMYFUNCTION("""COMPUTED_VALUE"""),"Ninguna")</f>
        <v>Ninguna</v>
      </c>
      <c r="AT68" s="139"/>
    </row>
    <row r="69">
      <c r="A69" s="86"/>
      <c r="B69" s="73"/>
      <c r="C69" s="73"/>
      <c r="D69" s="156"/>
      <c r="E69" s="156"/>
      <c r="F69" s="156"/>
      <c r="G69" s="156"/>
      <c r="H69" s="156"/>
      <c r="I69" s="156"/>
      <c r="J69" s="156"/>
      <c r="K69" s="156"/>
      <c r="L69" s="156"/>
      <c r="M69" s="156"/>
      <c r="N69" s="156"/>
      <c r="O69" s="156"/>
      <c r="P69" s="156"/>
      <c r="Q69" s="157"/>
      <c r="R69" s="158" t="str">
        <f>IFERROR(__xludf.DUMMYFUNCTION("""COMPUTED_VALUE"""),"Atender y dar respuesta y gestión oportuna a las solicitudes de las Facultades en el marco del desarrollo de los proyectos y actividades. ")</f>
        <v>Atender y dar respuesta y gestión oportuna a las solicitudes de las Facultades en el marco del desarrollo de los proyectos y actividades. </v>
      </c>
      <c r="S69" s="159" t="str">
        <f>IFERROR(__xludf.DUMMYFUNCTION("""COMPUTED_VALUE"""),"Mensual ")</f>
        <v>Mensual </v>
      </c>
      <c r="T69" s="170" t="str">
        <f>IFERROR(__xludf.DUMMYFUNCTION("""COMPUTED_VALUE"""),"Consejo Institucional de Proyección Social")</f>
        <v>Consejo Institucional de Proyección Social</v>
      </c>
      <c r="U69" s="170" t="str">
        <f>IFERROR(__xludf.DUMMYFUNCTION("""COMPUTED_VALUE"""),"Actas de reunión, correos electrónicos o memorandos ")</f>
        <v>Actas de reunión, correos electrónicos o memorandos </v>
      </c>
      <c r="V69" s="94"/>
      <c r="W69" s="94"/>
      <c r="X69" s="94"/>
      <c r="Y69" s="94"/>
      <c r="Z69" s="150" t="str">
        <f>IFERROR(__xludf.DUMMYFUNCTION("""COMPUTED_VALUE"""),"30 de agosto")</f>
        <v>30 de agosto</v>
      </c>
      <c r="AA69" s="172">
        <f>IFERROR(__xludf.DUMMYFUNCTION("""COMPUTED_VALUE"""),45891.0)</f>
        <v>45891</v>
      </c>
      <c r="AB69" s="150" t="str">
        <f>IFERROR(__xludf.DUMMYFUNCTION("""COMPUTED_VALUE"""),"En atención al riesgo identificado y con el objetivo de garantizar la entrega oportuna de adquisiciones, productos y suministros solicitados por  los diferentes proyectos de Educación Continuada, el pasado 22 de agosto se solicitó, a través de correo elec"&amp;"trónico, a los coordinadores de proyectos de Educación Continuada y a los diferentes Centros de Proyección Social de las facultades, el envío de las especificaciones técnicas y cantidades definitivas de los elementos o necesidades de cada uno de los proye"&amp;"ctos.
Esto con el fin de consolidar la información necesaria para una última contratación de requerimientos que permita cumplir con dicho objetivo. Para tal fin, se adjuntó un archivo en formato Excel que debía ser diligenciado, informando además que se "&amp;"contaba con un plazo de cinco días hábiles para completar el proceso.
Adicionalmente, se ha realizado seguimiento oportuno, incluso con hasta un mes de anticipación, solicitando avances de los proyectos que requieren este proceso, con el fin de asegurar "&amp;"la planificación adecuada y la entrega efectiva de los insumos.")</f>
        <v>En atención al riesgo identificado y con el objetivo de garantizar la entrega oportuna de adquisiciones, productos y suministros solicitados por  los diferentes proyectos de Educación Continuada, el pasado 22 de agosto se solicitó, a través de correo electrónico, a los coordinadores de proyectos de Educación Continuada y a los diferentes Centros de Proyección Social de las facultades, el envío de las especificaciones técnicas y cantidades definitivas de los elementos o necesidades de cada uno de los proyectos.
Esto con el fin de consolidar la información necesaria para una última contratación de requerimientos que permita cumplir con dicho objetivo. Para tal fin, se adjuntó un archivo en formato Excel que debía ser diligenciado, informando además que se contaba con un plazo de cinco días hábiles para completar el proceso.
Adicionalmente, se ha realizado seguimiento oportuno, incluso con hasta un mes de anticipación, solicitando avances de los proyectos que requieren este proceso, con el fin de asegurar la planificación adecuada y la entrega efectiva de los insumos.</v>
      </c>
      <c r="AC69" s="152" t="str">
        <f>IFERROR(__xludf.DUMMYFUNCTION("""COMPUTED_VALUE"""),"Director Técnico de Proyección Social")</f>
        <v>Director Técnico de Proyección Social</v>
      </c>
      <c r="AD69" s="153" t="str">
        <f>IFERROR(__xludf.DUMMYFUNCTION("""COMPUTED_VALUE"""),"Evidencia")</f>
        <v>Evidencia</v>
      </c>
      <c r="AE69" s="150" t="str">
        <f>IFERROR(__xludf.DUMMYFUNCTION("""COMPUTED_VALUE"""),"Si")</f>
        <v>Si</v>
      </c>
      <c r="AF69" s="152" t="str">
        <f>IFERROR(__xludf.DUMMYFUNCTION("""COMPUTED_VALUE"""),"En proceso")</f>
        <v>En proceso</v>
      </c>
      <c r="AG69" s="32" t="str">
        <f>IFERROR(__xludf.DUMMYFUNCTION("""COMPUTED_VALUE"""),"Se evidencia que el proceso reporta el estado de que NO se materializó el riesgo.
Sobre las acciones de tratamiento del riesgo:
Acción 1: Gestionar y analizar el seguimiento de los procesos administrativos y contractuales para que la contratación de los"&amp;" materiales, elementos, equipos y apoyo logístico se realice dentro de los plazos. Para este corte, se revisa la comunicación del 22 de agosto en la cual se solicitó a los coordinadores de proyectos de Educación Continuada y a los Centros de Proyección So"&amp;"cial de las facultades el envío de especificaciones técnicas y cantidades definitivas. Esta acción evidencia gestión oportuna de planeación y consolidación de información, manteniéndose el cumplimiento de lo proyectado.
Acción 2: Atender y dar respuesta "&amp;"oportuna a las solicitudes de las facultades en el marco del desarrollo de proyectos y actividades. Se reporta seguimiento y recordatorios enviados con anticipación, lo que demuestra gestión preventiva y cumplimiento de la acción mensual establecida.
Acc"&amp;"ión 3: Realizar seguimiento y monitoreo en el SIAU de la entrega de informes de avance y finalización de los proyectos. Se mantiene la acción semestral en ejecución, soportada en el proceso de requerimiento y control de avances, lo que da continuidad al c"&amp;"umplimiento de la acción de tratamiento.
Sobre el avance en los controles:
Se mantiene la aplicación de controles, en este caso mediante el seguimiento preventivo con hasta un mes de anticipación a las solicitudes de proyectos, lo que refuerza la planifi"&amp;"cación. Se recomienda continuar con la documentación y reporte de evidencias relacionadas con el POAI y ficha BPUNI, hasta completar la vigencia.")</f>
        <v>Se evidencia que el proceso reporta el estado de que NO se materializó el riesgo.
Sobre las acciones de tratamiento del riesgo:
Acción 1: Gestionar y analizar el seguimiento de los procesos administrativos y contractuales para que la contratación de los materiales, elementos, equipos y apoyo logístico se realice dentro de los plazos. Para este corte, se revisa la comunicación del 22 de agosto en la cual se solicitó a los coordinadores de proyectos de Educación Continuada y a los Centros de Proyección Social de las facultades el envío de especificaciones técnicas y cantidades definitivas. Esta acción evidencia gestión oportuna de planeación y consolidación de información, manteniéndose el cumplimiento de lo proyectado.
Acción 2: Atender y dar respuesta oportuna a las solicitudes de las facultades en el marco del desarrollo de proyectos y actividades. Se reporta seguimiento y recordatorios enviados con anticipación, lo que demuestra gestión preventiva y cumplimiento de la acción mensual establecida.
Acción 3: Realizar seguimiento y monitoreo en el SIAU de la entrega de informes de avance y finalización de los proyectos. Se mantiene la acción semestral en ejecución, soportada en el proceso de requerimiento y control de avances, lo que da continuidad al cumplimiento de la acción de tratamiento.
Sobre el avance en los controles:
Se mantiene la aplicación de controles, en este caso mediante el seguimiento preventivo con hasta un mes de anticipación a las solicitudes de proyectos, lo que refuerza la planificación. Se recomienda continuar con la documentación y reporte de evidencias relacionadas con el POAI y ficha BPUNI, hasta completar la vigencia.</v>
      </c>
      <c r="AH69" s="150" t="str">
        <f>IFERROR(__xludf.DUMMYFUNCTION("""COMPUTED_VALUE"""),"31 de agosto")</f>
        <v>31 de agosto</v>
      </c>
      <c r="AI69" s="32" t="str">
        <f>IFERROR(__xludf.DUMMYFUNCTION("""COMPUTED_VALUE"""),"Si")</f>
        <v>Si</v>
      </c>
      <c r="AJ69" s="32" t="str">
        <f>IFERROR(__xludf.DUMMYFUNCTION("""COMPUTED_VALUE"""),"Si")</f>
        <v>Si</v>
      </c>
      <c r="AK69" s="32" t="str">
        <f>IFERROR(__xludf.DUMMYFUNCTION("""COMPUTED_VALUE"""),"Si")</f>
        <v>Si</v>
      </c>
      <c r="AL69" s="32" t="str">
        <f>IFERROR(__xludf.DUMMYFUNCTION("""COMPUTED_VALUE"""),"Si")</f>
        <v>Si</v>
      </c>
      <c r="AM69" s="32" t="str">
        <f>IFERROR(__xludf.DUMMYFUNCTION("""COMPUTED_VALUE"""),"Si")</f>
        <v>Si</v>
      </c>
      <c r="AN69" s="32" t="str">
        <f>IFERROR(__xludf.DUMMYFUNCTION("""COMPUTED_VALUE"""),"Si")</f>
        <v>Si</v>
      </c>
      <c r="AO69" s="32" t="str">
        <f>IFERROR(__xludf.DUMMYFUNCTION("""COMPUTED_VALUE"""),"Si")</f>
        <v>Si</v>
      </c>
      <c r="AP69" s="32" t="str">
        <f>IFERROR(__xludf.DUMMYFUNCTION("""COMPUTED_VALUE"""),"No aplica")</f>
        <v>No aplica</v>
      </c>
      <c r="AQ69" s="32" t="str">
        <f>IFERROR(__xludf.DUMMYFUNCTION("""COMPUTED_VALUE"""),"No aplica")</f>
        <v>No aplica</v>
      </c>
      <c r="AR69" s="32" t="str">
        <f>IFERROR(__xludf.DUMMYFUNCTION("""COMPUTED_VALUE"""),"No aplica")</f>
        <v>No aplica</v>
      </c>
      <c r="AS69" s="150" t="str">
        <f>IFERROR(__xludf.DUMMYFUNCTION("""COMPUTED_VALUE"""),"Ninguna")</f>
        <v>Ninguna</v>
      </c>
      <c r="AT69" s="139"/>
    </row>
    <row r="70">
      <c r="A70" s="86"/>
      <c r="B70" s="73"/>
      <c r="C70" s="73"/>
      <c r="D70" s="119"/>
      <c r="E70" s="119"/>
      <c r="F70" s="119"/>
      <c r="G70" s="119"/>
      <c r="H70" s="119"/>
      <c r="I70" s="119"/>
      <c r="J70" s="119"/>
      <c r="K70" s="119"/>
      <c r="L70" s="119"/>
      <c r="M70" s="119"/>
      <c r="N70" s="119"/>
      <c r="O70" s="119"/>
      <c r="P70" s="119"/>
      <c r="Q70" s="162"/>
      <c r="R70" s="163" t="str">
        <f>IFERROR(__xludf.DUMMYFUNCTION("""COMPUTED_VALUE"""),"Realizar seguimiento y monitoreo en el SIAU de la entrega de informes de avance y finalización de los proyectos de proyección social. ")</f>
        <v>Realizar seguimiento y monitoreo en el SIAU de la entrega de informes de avance y finalización de los proyectos de proyección social. </v>
      </c>
      <c r="S70" s="164" t="str">
        <f>IFERROR(__xludf.DUMMYFUNCTION("""COMPUTED_VALUE"""),"Semestral ")</f>
        <v>Semestral </v>
      </c>
      <c r="T70" s="176" t="str">
        <f>IFERROR(__xludf.DUMMYFUNCTION("""COMPUTED_VALUE"""),"Profesionales de apoyo proyección social")</f>
        <v>Profesionales de apoyo proyección social</v>
      </c>
      <c r="U70" s="176" t="str">
        <f>IFERROR(__xludf.DUMMYFUNCTION("""COMPUTED_VALUE"""),"Correos electrónicos o SIAU ")</f>
        <v>Correos electrónicos o SIAU </v>
      </c>
      <c r="V70" s="98"/>
      <c r="W70" s="98"/>
      <c r="X70" s="98"/>
      <c r="Y70" s="98"/>
      <c r="Z70" s="150" t="str">
        <f>IFERROR(__xludf.DUMMYFUNCTION("""COMPUTED_VALUE"""),"30 de diciembre")</f>
        <v>30 de diciembre</v>
      </c>
      <c r="AA70" s="151">
        <f>IFERROR(__xludf.DUMMYFUNCTION("""COMPUTED_VALUE"""),45996.0)</f>
        <v>45996</v>
      </c>
      <c r="AB70" s="150" t="str">
        <f>IFERROR(__xludf.DUMMYFUNCTION("""COMPUTED_VALUE"""),"Se continúa con el seguimiento y monitoreo en la plataforma SIAU, verificando la entrega del informe de avances y la finalización de los proyectos con sus respectivos entregables")</f>
        <v>Se continúa con el seguimiento y monitoreo en la plataforma SIAU, verificando la entrega del informe de avances y la finalización de los proyectos con sus respectivos entregables</v>
      </c>
      <c r="AC70" s="152" t="str">
        <f>IFERROR(__xludf.DUMMYFUNCTION("""COMPUTED_VALUE"""),"Director Técnico de Proyección Social")</f>
        <v>Director Técnico de Proyección Social</v>
      </c>
      <c r="AD70" s="153" t="str">
        <f>IFERROR(__xludf.DUMMYFUNCTION("""COMPUTED_VALUE"""),"Evidencia")</f>
        <v>Evidencia</v>
      </c>
      <c r="AE70" s="150" t="str">
        <f>IFERROR(__xludf.DUMMYFUNCTION("""COMPUTED_VALUE"""),"Parcial")</f>
        <v>Parcial</v>
      </c>
      <c r="AF70" s="152" t="str">
        <f>IFERROR(__xludf.DUMMYFUNCTION("""COMPUTED_VALUE"""),"Ejecutada")</f>
        <v>Ejecutada</v>
      </c>
      <c r="AG70" s="32" t="str">
        <f>IFERROR(__xludf.DUMMYFUNCTION("""COMPUTED_VALUE"""),"Resultado del monitoreo del riesgo
Se evidencia que el proceso reporta la NO materialización del riesgo durante el período de monitoreo.
Sobre los controles
Control 1. Seguimiento trimestral a indicadores de gestión y Ficha BPUNI
Se verifica que el pro"&amp;"ceso informa la realización de seguimiento en la plataforma SIAU; sin embargo, el reporte no detalla de manera explícita la ejecución trimestral de la verificación de los indicadores de gestión ni la validación de la información consolidada en la Ficha BP"&amp;"UNI, conforme a lo definido en la matriz de riesgos. No se anexan evidencias que permitan confirmar periodicidad, resultados ni ajustes realizados.
Control 2. Consolidación de información de ejecución de actividades y proyectos
El proceso señala la verif"&amp;"icación de la entrega de informes de avance y de la finalización de los proyectos con sus respectivos entregables. No obstante, el reporte no discrimina el mecanismo de consolidación de la información por parte de la Dirección Técnica de Proyección Social"&amp;", ni presenta soportes que evidencien el análisis consolidado de la ejecución de actividades y proyectos.
Control 3. Análisis de metas, ejecución presupuestal y actualización de la Ficha BPUNI
Si bien se menciona el seguimiento general a los proyectos, n"&amp;"o se evidencia en el reporte el análisis del comportamiento de las metas en relación con la ejecución presupuestal, ni la actualización de la Ficha BPUNI con base en los resultados del seguimiento, conforme a lo establecido como control.
Sobre las accion"&amp;"es de tratamiento
Acción de tratamiento. Seguimiento a informes y cierre de proyectos
El proceso reporta la verificación de la entrega de informes de avance y la finalización de los proyectos con sus respectivos entregables a través de la plataforma SIAU"&amp;". Esta acción se considera alineada con el tratamiento del riesgo; sin embargo, el reporte no precisa el alcance del seguimiento, los resultados obtenidos ni las acciones derivadas en los casos de incumplimiento o retraso.")</f>
        <v>Resultado del monitoreo del riesgo
Se evidencia que el proceso reporta la NO materialización del riesgo durante el período de monitoreo.
Sobre los controles
Control 1. Seguimiento trimestral a indicadores de gestión y Ficha BPUNI
Se verifica que el proceso informa la realización de seguimiento en la plataforma SIAU; sin embargo, el reporte no detalla de manera explícita la ejecución trimestral de la verificación de los indicadores de gestión ni la validación de la información consolidada en la Ficha BPUNI, conforme a lo definido en la matriz de riesgos. No se anexan evidencias que permitan confirmar periodicidad, resultados ni ajustes realizados.
Control 2. Consolidación de información de ejecución de actividades y proyectos
El proceso señala la verificación de la entrega de informes de avance y de la finalización de los proyectos con sus respectivos entregables. No obstante, el reporte no discrimina el mecanismo de consolidación de la información por parte de la Dirección Técnica de Proyección Social, ni presenta soportes que evidencien el análisis consolidado de la ejecución de actividades y proyectos.
Control 3. Análisis de metas, ejecución presupuestal y actualización de la Ficha BPUNI
Si bien se menciona el seguimiento general a los proyectos, no se evidencia en el reporte el análisis del comportamiento de las metas en relación con la ejecución presupuestal, ni la actualización de la Ficha BPUNI con base en los resultados del seguimiento, conforme a lo establecido como control.
Sobre las acciones de tratamiento
Acción de tratamiento. Seguimiento a informes y cierre de proyectos
El proceso reporta la verificación de la entrega de informes de avance y la finalización de los proyectos con sus respectivos entregables a través de la plataforma SIAU. Esta acción se considera alineada con el tratamiento del riesgo; sin embargo, el reporte no precisa el alcance del seguimiento, los resultados obtenidos ni las acciones derivadas en los casos de incumplimiento o retraso.</v>
      </c>
      <c r="AH70" s="150" t="str">
        <f>IFERROR(__xludf.DUMMYFUNCTION("""COMPUTED_VALUE"""),"31 de diciembre")</f>
        <v>31 de diciembre</v>
      </c>
      <c r="AI70" s="32" t="str">
        <f>IFERROR(__xludf.DUMMYFUNCTION("""COMPUTED_VALUE"""),"Si")</f>
        <v>Si</v>
      </c>
      <c r="AJ70" s="32" t="str">
        <f>IFERROR(__xludf.DUMMYFUNCTION("""COMPUTED_VALUE"""),"Si")</f>
        <v>Si</v>
      </c>
      <c r="AK70" s="32" t="str">
        <f>IFERROR(__xludf.DUMMYFUNCTION("""COMPUTED_VALUE"""),"Si")</f>
        <v>Si</v>
      </c>
      <c r="AL70" s="32" t="str">
        <f>IFERROR(__xludf.DUMMYFUNCTION("""COMPUTED_VALUE"""),"Si")</f>
        <v>Si</v>
      </c>
      <c r="AM70" s="32" t="str">
        <f>IFERROR(__xludf.DUMMYFUNCTION("""COMPUTED_VALUE"""),"Si")</f>
        <v>Si</v>
      </c>
      <c r="AN70" s="32" t="str">
        <f>IFERROR(__xludf.DUMMYFUNCTION("""COMPUTED_VALUE"""),"Si")</f>
        <v>Si</v>
      </c>
      <c r="AO70" s="32" t="str">
        <f>IFERROR(__xludf.DUMMYFUNCTION("""COMPUTED_VALUE"""),"Si")</f>
        <v>Si</v>
      </c>
      <c r="AP70" s="32" t="str">
        <f>IFERROR(__xludf.DUMMYFUNCTION("""COMPUTED_VALUE"""),"No aplica")</f>
        <v>No aplica</v>
      </c>
      <c r="AQ70" s="32" t="str">
        <f>IFERROR(__xludf.DUMMYFUNCTION("""COMPUTED_VALUE"""),"No aplica")</f>
        <v>No aplica</v>
      </c>
      <c r="AR70" s="32" t="str">
        <f>IFERROR(__xludf.DUMMYFUNCTION("""COMPUTED_VALUE"""),"No aplica")</f>
        <v>No aplica</v>
      </c>
      <c r="AS70" s="150" t="str">
        <f>IFERROR(__xludf.DUMMYFUNCTION("""COMPUTED_VALUE"""),"Ninguna")</f>
        <v>Ninguna</v>
      </c>
      <c r="AT70" s="139"/>
    </row>
    <row r="71">
      <c r="A71" s="86"/>
      <c r="B71" s="73"/>
      <c r="C71" s="73"/>
      <c r="D71" s="144" t="str">
        <f>IFERROR(__xludf.DUMMYFUNCTION("""COMPUTED_VALUE"""),"Afectación reputacional por la ausencia de información relevante para los procesos de acreditación debido a la desactualización de las bases de datos y la poca participación de los egresados en las actividades planeadas.")</f>
        <v>Afectación reputacional por la ausencia de información relevante para los procesos de acreditación debido a la desactualización de las bases de datos y la poca participación de los egresados en las actividades planeadas.</v>
      </c>
      <c r="E71" s="144" t="str">
        <f>IFERROR(__xludf.DUMMYFUNCTION("""COMPUTED_VALUE"""),"Programa de egresados")</f>
        <v>Programa de egresados</v>
      </c>
      <c r="F71" s="144" t="str">
        <f>IFERROR(__xludf.DUMMYFUNCTION("""COMPUTED_VALUE"""),"Gestión")</f>
        <v>Gestión</v>
      </c>
      <c r="G71" s="144" t="str">
        <f>IFERROR(__xludf.DUMMYFUNCTION("""COMPUTED_VALUE"""),"-Bases de datos desactualizadas.-Poca participación de los egresados en las actividades planeadas.")</f>
        <v>-Bases de datos desactualizadas.-Poca participación de los egresados en las actividades planeadas.</v>
      </c>
      <c r="H71" s="144" t="str">
        <f>IFERROR(__xludf.DUMMYFUNCTION("""COMPUTED_VALUE"""),"-Incumplimiento de requisitos legales e institucionales en el marco de la acreditación en alta calidad de la institución.
-Falta de información para la mejora de los procesos misionales.
-Ausencia de información relevante para las visitas del MEN, el CNA,"&amp;" y otros entes de control.")</f>
        <v>-Incumplimiento de requisitos legales e institucionales en el marco de la acreditación en alta calidad de la institución.
-Falta de información para la mejora de los procesos misionales.
-Ausencia de información relevante para las visitas del MEN, el CNA, y otros entes de control.</v>
      </c>
      <c r="I71" s="145" t="str">
        <f>IFERROR(__xludf.DUMMYFUNCTION("""COMPUTED_VALUE"""),"PSO_03")</f>
        <v>PSO_03</v>
      </c>
      <c r="J71" s="145" t="str">
        <f>IFERROR(__xludf.DUMMYFUNCTION("""COMPUTED_VALUE"""),"Media")</f>
        <v>Media</v>
      </c>
      <c r="K71" s="145" t="str">
        <f>IFERROR(__xludf.DUMMYFUNCTION("""COMPUTED_VALUE"""),"Moderado")</f>
        <v>Moderado</v>
      </c>
      <c r="L71" s="145" t="str">
        <f>IFERROR(__xludf.DUMMYFUNCTION("""COMPUTED_VALUE"""),"Alta")</f>
        <v>Alta</v>
      </c>
      <c r="M71" s="144" t="str">
        <f>IFERROR(__xludf.DUMMYFUNCTION("""COMPUTED_VALUE"""),"-Procedimiento para acceder y actualizar la base de datos del programa de egresado PD-PSO-04.
-Cotejar informe del registro de egresados en el SNIES con la base de datos del programa de egresados.")</f>
        <v>-Procedimiento para acceder y actualizar la base de datos del programa de egresado PD-PSO-04.
-Cotejar informe del registro de egresados en el SNIES con la base de datos del programa de egresados.</v>
      </c>
      <c r="N71" s="145" t="str">
        <f>IFERROR(__xludf.DUMMYFUNCTION("""COMPUTED_VALUE"""),"Baja")</f>
        <v>Baja</v>
      </c>
      <c r="O71" s="145" t="str">
        <f>IFERROR(__xludf.DUMMYFUNCTION("""COMPUTED_VALUE"""),"Moderado")</f>
        <v>Moderado</v>
      </c>
      <c r="P71" s="145" t="str">
        <f>IFERROR(__xludf.DUMMYFUNCTION("""COMPUTED_VALUE"""),"Media")</f>
        <v>Media</v>
      </c>
      <c r="Q71" s="178" t="str">
        <f>IFERROR(__xludf.DUMMYFUNCTION("""COMPUTED_VALUE"""),"Reducir")</f>
        <v>Reducir</v>
      </c>
      <c r="R71" s="158" t="str">
        <f>IFERROR(__xludf.DUMMYFUNCTION("""COMPUTED_VALUE"""),"Divulgar las actividades planeadas por el programa de egresados.")</f>
        <v>Divulgar las actividades planeadas por el programa de egresados.</v>
      </c>
      <c r="S71" s="159" t="str">
        <f>IFERROR(__xludf.DUMMYFUNCTION("""COMPUTED_VALUE"""),"Semestral")</f>
        <v>Semestral</v>
      </c>
      <c r="T71" s="170" t="str">
        <f>IFERROR(__xludf.DUMMYFUNCTION("""COMPUTED_VALUE"""),"Profesional de apoyo egresados")</f>
        <v>Profesional de apoyo egresados</v>
      </c>
      <c r="U71" s="170" t="str">
        <f>IFERROR(__xludf.DUMMYFUNCTION("""COMPUTED_VALUE"""),"Informe semestral del programa de egresados e informe de la direccon general de proyeccion social")</f>
        <v>Informe semestral del programa de egresados e informe de la direccon general de proyeccion social</v>
      </c>
      <c r="V71" s="167" t="str">
        <f>IFERROR(__xludf.DUMMYFUNCTION("""COMPUTED_VALUE"""),"Articular y solicitar a los programas academicos el envio de la informacion de las bases de datos de sus egresados.")</f>
        <v>Articular y solicitar a los programas academicos el envio de la informacion de las bases de datos de sus egresados.</v>
      </c>
      <c r="W71" s="167" t="str">
        <f>IFERROR(__xludf.DUMMYFUNCTION("""COMPUTED_VALUE"""),"Correo de solicitud y bases de datos de los programas academicos")</f>
        <v>Correo de solicitud y bases de datos de los programas academicos</v>
      </c>
      <c r="X71" s="169" t="str">
        <f>IFERROR(__xludf.DUMMYFUNCTION("""COMPUTED_VALUE"""),"Profesional de apoyo egresados")</f>
        <v>Profesional de apoyo egresados</v>
      </c>
      <c r="Y71" s="169" t="str">
        <f>IFERROR(__xludf.DUMMYFUNCTION("""COMPUTED_VALUE"""),"Inmediato.")</f>
        <v>Inmediato.</v>
      </c>
      <c r="Z71" s="150" t="str">
        <f>IFERROR(__xludf.DUMMYFUNCTION("""COMPUTED_VALUE"""),"30 de abril")</f>
        <v>30 de abril</v>
      </c>
      <c r="AA71" s="32" t="str">
        <f>IFERROR(__xludf.DUMMYFUNCTION("""COMPUTED_VALUE"""),"N/A")</f>
        <v>N/A</v>
      </c>
      <c r="AB71" s="150" t="str">
        <f>IFERROR(__xludf.DUMMYFUNCTION("""COMPUTED_VALUE"""),"Teniendo en cuenta que la evidencia a presentar es de corte semestral para el monitoreo del 30 de abril aun no esta el soporte.")</f>
        <v>Teniendo en cuenta que la evidencia a presentar es de corte semestral para el monitoreo del 30 de abril aun no esta el soporte.</v>
      </c>
      <c r="AC71" s="152" t="str">
        <f>IFERROR(__xludf.DUMMYFUNCTION("""COMPUTED_VALUE"""),"Director Técnico de Proyección Social")</f>
        <v>Director Técnico de Proyección Social</v>
      </c>
      <c r="AD71" s="153" t="str">
        <f>IFERROR(__xludf.DUMMYFUNCTION("""COMPUTED_VALUE"""),"Evidencia")</f>
        <v>Evidencia</v>
      </c>
      <c r="AE71" s="150" t="str">
        <f>IFERROR(__xludf.DUMMYFUNCTION("""COMPUTED_VALUE"""),"Si")</f>
        <v>Si</v>
      </c>
      <c r="AF71" s="150" t="str">
        <f>IFERROR(__xludf.DUMMYFUNCTION("""COMPUTED_VALUE"""),"En proceso")</f>
        <v>En proceso</v>
      </c>
      <c r="AG71" s="32" t="str">
        <f>IFERROR(__xludf.DUMMYFUNCTION("""COMPUTED_VALUE"""),"Durante este primer monitoreo no se presenta avance para el reporte del riesgo, se recomienda tener el insumo para el proximo monitoreo. ")</f>
        <v>Durante este primer monitoreo no se presenta avance para el reporte del riesgo, se recomienda tener el insumo para el proximo monitoreo. </v>
      </c>
      <c r="AH71" s="150" t="str">
        <f>IFERROR(__xludf.DUMMYFUNCTION("""COMPUTED_VALUE"""),"30 de abril")</f>
        <v>30 de abril</v>
      </c>
      <c r="AI71" s="32" t="str">
        <f>IFERROR(__xludf.DUMMYFUNCTION("""COMPUTED_VALUE"""),"Si")</f>
        <v>Si</v>
      </c>
      <c r="AJ71" s="32" t="str">
        <f>IFERROR(__xludf.DUMMYFUNCTION("""COMPUTED_VALUE"""),"Si")</f>
        <v>Si</v>
      </c>
      <c r="AK71" s="32" t="str">
        <f>IFERROR(__xludf.DUMMYFUNCTION("""COMPUTED_VALUE"""),"Si")</f>
        <v>Si</v>
      </c>
      <c r="AL71" s="32" t="str">
        <f>IFERROR(__xludf.DUMMYFUNCTION("""COMPUTED_VALUE"""),"Si")</f>
        <v>Si</v>
      </c>
      <c r="AM71" s="32" t="str">
        <f>IFERROR(__xludf.DUMMYFUNCTION("""COMPUTED_VALUE"""),"Si")</f>
        <v>Si</v>
      </c>
      <c r="AN71" s="32" t="str">
        <f>IFERROR(__xludf.DUMMYFUNCTION("""COMPUTED_VALUE"""),"Si")</f>
        <v>Si</v>
      </c>
      <c r="AO71" s="32" t="str">
        <f>IFERROR(__xludf.DUMMYFUNCTION("""COMPUTED_VALUE"""),"Si")</f>
        <v>Si</v>
      </c>
      <c r="AP71" s="32" t="str">
        <f>IFERROR(__xludf.DUMMYFUNCTION("""COMPUTED_VALUE"""),"No aplica")</f>
        <v>No aplica</v>
      </c>
      <c r="AQ71" s="32" t="str">
        <f>IFERROR(__xludf.DUMMYFUNCTION("""COMPUTED_VALUE"""),"No aplica")</f>
        <v>No aplica</v>
      </c>
      <c r="AR71" s="32" t="str">
        <f>IFERROR(__xludf.DUMMYFUNCTION("""COMPUTED_VALUE"""),"No aplica")</f>
        <v>No aplica</v>
      </c>
      <c r="AS71" s="150" t="str">
        <f>IFERROR(__xludf.DUMMYFUNCTION("""COMPUTED_VALUE"""),"Si bien la periodicidad para la acción de tratamiento se planificó de manera semestral, el proceso debe garantizar el reporte de la ejecición de los controles: -Procedimiento para acceder y actualizar la base de datos del programa de egresado PD-PSO-04.
-"&amp;"Cotejar informe del registro de egresados en el SNIES con la base de datos del programa de egresados.
")</f>
        <v>Si bien la periodicidad para la acción de tratamiento se planificó de manera semestral, el proceso debe garantizar el reporte de la ejecición de los controles: -Procedimiento para acceder y actualizar la base de datos del programa de egresado PD-PSO-04.
-Cotejar informe del registro de egresados en el SNIES con la base de datos del programa de egresados.
</v>
      </c>
      <c r="AT71" s="139"/>
    </row>
    <row r="72">
      <c r="A72" s="86"/>
      <c r="B72" s="73"/>
      <c r="C72" s="73"/>
      <c r="D72" s="156"/>
      <c r="E72" s="156"/>
      <c r="F72" s="156"/>
      <c r="G72" s="156"/>
      <c r="H72" s="156"/>
      <c r="I72" s="156"/>
      <c r="J72" s="156"/>
      <c r="K72" s="156"/>
      <c r="L72" s="156"/>
      <c r="M72" s="156"/>
      <c r="N72" s="156"/>
      <c r="O72" s="156"/>
      <c r="P72" s="156"/>
      <c r="Q72" s="157"/>
      <c r="R72" s="158" t="str">
        <f>IFERROR(__xludf.DUMMYFUNCTION("""COMPUTED_VALUE"""),"")</f>
        <v/>
      </c>
      <c r="S72" s="159" t="str">
        <f>IFERROR(__xludf.DUMMYFUNCTION("""COMPUTED_VALUE"""),"")</f>
        <v/>
      </c>
      <c r="T72" s="170"/>
      <c r="U72" s="170"/>
      <c r="V72" s="94"/>
      <c r="W72" s="94"/>
      <c r="X72" s="94"/>
      <c r="Y72" s="94"/>
      <c r="Z72" s="150" t="str">
        <f>IFERROR(__xludf.DUMMYFUNCTION("""COMPUTED_VALUE"""),"30 de agosto")</f>
        <v>30 de agosto</v>
      </c>
      <c r="AA72" s="172">
        <f>IFERROR(__xludf.DUMMYFUNCTION("""COMPUTED_VALUE"""),45838.0)</f>
        <v>45838</v>
      </c>
      <c r="AB72" s="150" t="str">
        <f>IFERROR(__xludf.DUMMYFUNCTION("""COMPUTED_VALUE"""),"Se informa que el riesgo no fue materializado durante este corte.
Se realiza informe de gestion del primer semesntre 2025 de la gestion realizada por el Programa de Egresados, donde se divulgan las actividades  llevada a cabo para dar cumplimiento a las "&amp;"metas establecidas por la Universidad de los Llanos, en las cuales se fomenta la actualizacion de datos de los egresados, y se promueve la participación de los mismos, En el informe se puede evidenciar como va la base de actualizacion de datos para el pri"&amp;"mer semestre, asi como el tipo de activiaddes realizadas con el fin de mantener un cpntacto permanentes con los profesionales de la Universidad de los Llanos,")</f>
        <v>Se informa que el riesgo no fue materializado durante este corte.
Se realiza informe de gestion del primer semesntre 2025 de la gestion realizada por el Programa de Egresados, donde se divulgan las actividades  llevada a cabo para dar cumplimiento a las metas establecidas por la Universidad de los Llanos, en las cuales se fomenta la actualizacion de datos de los egresados, y se promueve la participación de los mismos, En el informe se puede evidenciar como va la base de actualizacion de datos para el primer semestre, asi como el tipo de activiaddes realizadas con el fin de mantener un cpntacto permanentes con los profesionales de la Universidad de los Llanos,</v>
      </c>
      <c r="AC72" s="152" t="str">
        <f>IFERROR(__xludf.DUMMYFUNCTION("""COMPUTED_VALUE"""),"Director Técnico de Proyección Social")</f>
        <v>Director Técnico de Proyección Social</v>
      </c>
      <c r="AD72" s="153" t="str">
        <f>IFERROR(__xludf.DUMMYFUNCTION("""COMPUTED_VALUE"""),"Evidencia")</f>
        <v>Evidencia</v>
      </c>
      <c r="AE72" s="150" t="str">
        <f>IFERROR(__xludf.DUMMYFUNCTION("""COMPUTED_VALUE"""),"Si")</f>
        <v>Si</v>
      </c>
      <c r="AF72" s="152" t="str">
        <f>IFERROR(__xludf.DUMMYFUNCTION("""COMPUTED_VALUE"""),"En proceso")</f>
        <v>En proceso</v>
      </c>
      <c r="AG72" s="32" t="str">
        <f>IFERROR(__xludf.DUMMYFUNCTION("""COMPUTED_VALUE"""),"Se evidencia que el riesgo no se materializó.
Sobre los controles:
Se cuenta con el informe de gestión del primer semestre 2025 del Programa de Egresados, en el cual se refleja el avance en la actualización de datos y la divulgación de actividades orient"&amp;"adas a mantener contacto con los egresados. Sin embargo, se observa que únicamente se presentó dicho informe como soporte, por lo cual se recomienda continuar con el cotejo de la información en el SNIES y mantener la trazabilidad de los controles establec"&amp;"idos durante la vigencia.
Sobre las acciones:
En el informe se evidencia la divulgación de actividades planeadas, la promoción de la participación de los egresados y el avance en la actualización de la base de datos, lo que permite dar cumplimiento parci"&amp;"al a las acciones de tratamiento establecidas. Se recomienda complementar la evidencia con soportes adicionales que demuestren la ejecución de las actividades reportadas para el proximo semestre y asi finalizar con esta labor semestral.")</f>
        <v>Se evidencia que el riesgo no se materializó.
Sobre los controles:
Se cuenta con el informe de gestión del primer semestre 2025 del Programa de Egresados, en el cual se refleja el avance en la actualización de datos y la divulgación de actividades orientadas a mantener contacto con los egresados. Sin embargo, se observa que únicamente se presentó dicho informe como soporte, por lo cual se recomienda continuar con el cotejo de la información en el SNIES y mantener la trazabilidad de los controles establecidos durante la vigencia.
Sobre las acciones:
En el informe se evidencia la divulgación de actividades planeadas, la promoción de la participación de los egresados y el avance en la actualización de la base de datos, lo que permite dar cumplimiento parcial a las acciones de tratamiento establecidas. Se recomienda complementar la evidencia con soportes adicionales que demuestren la ejecución de las actividades reportadas para el proximo semestre y asi finalizar con esta labor semestral.</v>
      </c>
      <c r="AH72" s="150" t="str">
        <f>IFERROR(__xludf.DUMMYFUNCTION("""COMPUTED_VALUE"""),"31 de agosto")</f>
        <v>31 de agosto</v>
      </c>
      <c r="AI72" s="32" t="str">
        <f>IFERROR(__xludf.DUMMYFUNCTION("""COMPUTED_VALUE"""),"Si")</f>
        <v>Si</v>
      </c>
      <c r="AJ72" s="32" t="str">
        <f>IFERROR(__xludf.DUMMYFUNCTION("""COMPUTED_VALUE"""),"Si")</f>
        <v>Si</v>
      </c>
      <c r="AK72" s="32" t="str">
        <f>IFERROR(__xludf.DUMMYFUNCTION("""COMPUTED_VALUE"""),"Si")</f>
        <v>Si</v>
      </c>
      <c r="AL72" s="32" t="str">
        <f>IFERROR(__xludf.DUMMYFUNCTION("""COMPUTED_VALUE"""),"Si")</f>
        <v>Si</v>
      </c>
      <c r="AM72" s="32" t="str">
        <f>IFERROR(__xludf.DUMMYFUNCTION("""COMPUTED_VALUE"""),"Si")</f>
        <v>Si</v>
      </c>
      <c r="AN72" s="32" t="str">
        <f>IFERROR(__xludf.DUMMYFUNCTION("""COMPUTED_VALUE"""),"Si")</f>
        <v>Si</v>
      </c>
      <c r="AO72" s="32" t="str">
        <f>IFERROR(__xludf.DUMMYFUNCTION("""COMPUTED_VALUE"""),"Si")</f>
        <v>Si</v>
      </c>
      <c r="AP72" s="32" t="str">
        <f>IFERROR(__xludf.DUMMYFUNCTION("""COMPUTED_VALUE"""),"No aplica")</f>
        <v>No aplica</v>
      </c>
      <c r="AQ72" s="32" t="str">
        <f>IFERROR(__xludf.DUMMYFUNCTION("""COMPUTED_VALUE"""),"No aplica")</f>
        <v>No aplica</v>
      </c>
      <c r="AR72" s="32" t="str">
        <f>IFERROR(__xludf.DUMMYFUNCTION("""COMPUTED_VALUE"""),"No aplica")</f>
        <v>No aplica</v>
      </c>
      <c r="AS72" s="150" t="str">
        <f>IFERROR(__xludf.DUMMYFUNCTION("""COMPUTED_VALUE"""),"Recomendaciones:
*Fortalecer la descripción del riesgo y la descripción de los controles, considerando la metodología de la Guía para la Administración del Riesgo y el diseño de controles en entidades públicas Versión 6, que propone los elementos para la "&amp;"descripción del riesgo. ")</f>
        <v>Recomendaciones:
*Fortalecer la descripción del riesgo y la descripción de los controles, considerando la metodología de la Guía para la Administración del Riesgo y el diseño de controles en entidades públicas Versión 6, que propone los elementos para la descripción del riesgo. </v>
      </c>
      <c r="AT72" s="139"/>
    </row>
    <row r="73">
      <c r="A73" s="86"/>
      <c r="B73" s="38"/>
      <c r="C73" s="38"/>
      <c r="D73" s="119"/>
      <c r="E73" s="119"/>
      <c r="F73" s="119"/>
      <c r="G73" s="119"/>
      <c r="H73" s="119"/>
      <c r="I73" s="119"/>
      <c r="J73" s="119"/>
      <c r="K73" s="119"/>
      <c r="L73" s="119"/>
      <c r="M73" s="119"/>
      <c r="N73" s="119"/>
      <c r="O73" s="119"/>
      <c r="P73" s="119"/>
      <c r="Q73" s="162"/>
      <c r="R73" s="163" t="str">
        <f>IFERROR(__xludf.DUMMYFUNCTION("""COMPUTED_VALUE"""),"")</f>
        <v/>
      </c>
      <c r="S73" s="164" t="str">
        <f>IFERROR(__xludf.DUMMYFUNCTION("""COMPUTED_VALUE"""),"")</f>
        <v/>
      </c>
      <c r="T73" s="176"/>
      <c r="U73" s="176"/>
      <c r="V73" s="98"/>
      <c r="W73" s="98"/>
      <c r="X73" s="98"/>
      <c r="Y73" s="98"/>
      <c r="Z73" s="150" t="str">
        <f>IFERROR(__xludf.DUMMYFUNCTION("""COMPUTED_VALUE"""),"30 de diciembre")</f>
        <v>30 de diciembre</v>
      </c>
      <c r="AA73" s="184">
        <f>IFERROR(__xludf.DUMMYFUNCTION("""COMPUTED_VALUE"""),45992.0)</f>
        <v>45992</v>
      </c>
      <c r="AB73" s="150" t="str">
        <f>IFERROR(__xludf.DUMMYFUNCTION("""COMPUTED_VALUE"""),"Se continua con la realización del seguimiento,  divulgando las actividades realizadas para cumplir las metas institucionales, fomentando la actualización de datos de los egresados, así como el avance de la base actualizada y las acciones desarrolladas pa"&amp;"ra mantener el contacto permanente con los graduados de la Universidad de los Llano. Para lo cual se adjunta informe de gestion de todas las activdiades realizadas en el segundo semestre de 2025, las cuales se acogen a las planteadas en la estrategia Cone"&amp;"ctando Egresados 2025-2027, Es importante tener en cuenta que no hubo materializacion del riesgo, se alcanzo una actualizacion de datos de 1,243 egresados. El Programa de Egresados sigue trabajando fuertemente en el relacionamiento con los egresados")</f>
        <v>Se continua con la realización del seguimiento,  divulgando las actividades realizadas para cumplir las metas institucionales, fomentando la actualización de datos de los egresados, así como el avance de la base actualizada y las acciones desarrolladas para mantener el contacto permanente con los graduados de la Universidad de los Llano. Para lo cual se adjunta informe de gestion de todas las activdiades realizadas en el segundo semestre de 2025, las cuales se acogen a las planteadas en la estrategia Conectando Egresados 2025-2027, Es importante tener en cuenta que no hubo materializacion del riesgo, se alcanzo una actualizacion de datos de 1,243 egresados. El Programa de Egresados sigue trabajando fuertemente en el relacionamiento con los egresados</v>
      </c>
      <c r="AC73" s="152" t="str">
        <f>IFERROR(__xludf.DUMMYFUNCTION("""COMPUTED_VALUE"""),"Director Técnico de Proyección Social")</f>
        <v>Director Técnico de Proyección Social</v>
      </c>
      <c r="AD73" s="153" t="str">
        <f>IFERROR(__xludf.DUMMYFUNCTION("""COMPUTED_VALUE"""),"Evidencia")</f>
        <v>Evidencia</v>
      </c>
      <c r="AE73" s="150" t="str">
        <f>IFERROR(__xludf.DUMMYFUNCTION("""COMPUTED_VALUE"""),"Si")</f>
        <v>Si</v>
      </c>
      <c r="AF73" s="152" t="str">
        <f>IFERROR(__xludf.DUMMYFUNCTION("""COMPUTED_VALUE"""),"Ejecutada")</f>
        <v>Ejecutada</v>
      </c>
      <c r="AG73" s="32" t="str">
        <f>IFERROR(__xludf.DUMMYFUNCTION("""COMPUTED_VALUE"""),"Revisión del riesgo
Se evidencia que el riesgo no se materializó durante el período evaluado. El proceso continuó con las actividades de seguimiento y divulgación, logrando la actualización de datos de 1.243 egresados, en coherencia con la estrategia Con"&amp;"ectando Egresados 2025–2027, lo que contribuye a mitigar el riesgo identificado.
Sobre los controles
Se cuenta con el informe de gestión del segundo semestre de 2025 del Programa de Egresados, en el cual se reportan avances en la actualización de la bas"&amp;"e de datos y el relacionamiento con los egresados. No obstante, se recomienda hacer más explícitos los controles, fortalecer el cotejo con el SNIES y asegurar la trazabilidad de la evidencia durante la vigencia.
Sobre las acciones
Las acciones reportada"&amp;"s permiten un cumplimiento parcial del tratamiento del riesgo. Se recomienda complementar la evidencia con soportes adicionales que demuestren la ejecución de las actividades para el próximo semestre y cerrar adecuadamente el seguimiento semestral.")</f>
        <v>Revisión del riesgo
Se evidencia que el riesgo no se materializó durante el período evaluado. El proceso continuó con las actividades de seguimiento y divulgación, logrando la actualización de datos de 1.243 egresados, en coherencia con la estrategia Conectando Egresados 2025–2027, lo que contribuye a mitigar el riesgo identificado.
Sobre los controles
Se cuenta con el informe de gestión del segundo semestre de 2025 del Programa de Egresados, en el cual se reportan avances en la actualización de la base de datos y el relacionamiento con los egresados. No obstante, se recomienda hacer más explícitos los controles, fortalecer el cotejo con el SNIES y asegurar la trazabilidad de la evidencia durante la vigencia.
Sobre las acciones
Las acciones reportadas permiten un cumplimiento parcial del tratamiento del riesgo. Se recomienda complementar la evidencia con soportes adicionales que demuestren la ejecución de las actividades para el próximo semestre y cerrar adecuadamente el seguimiento semestral.</v>
      </c>
      <c r="AH73" s="150" t="str">
        <f>IFERROR(__xludf.DUMMYFUNCTION("""COMPUTED_VALUE"""),"31 de diciembre")</f>
        <v>31 de diciembre</v>
      </c>
      <c r="AI73" s="32" t="str">
        <f>IFERROR(__xludf.DUMMYFUNCTION("""COMPUTED_VALUE"""),"Si")</f>
        <v>Si</v>
      </c>
      <c r="AJ73" s="32" t="str">
        <f>IFERROR(__xludf.DUMMYFUNCTION("""COMPUTED_VALUE"""),"Si")</f>
        <v>Si</v>
      </c>
      <c r="AK73" s="32" t="str">
        <f>IFERROR(__xludf.DUMMYFUNCTION("""COMPUTED_VALUE"""),"Si")</f>
        <v>Si</v>
      </c>
      <c r="AL73" s="32" t="str">
        <f>IFERROR(__xludf.DUMMYFUNCTION("""COMPUTED_VALUE"""),"Si")</f>
        <v>Si</v>
      </c>
      <c r="AM73" s="32" t="str">
        <f>IFERROR(__xludf.DUMMYFUNCTION("""COMPUTED_VALUE"""),"Si")</f>
        <v>Si</v>
      </c>
      <c r="AN73" s="32" t="str">
        <f>IFERROR(__xludf.DUMMYFUNCTION("""COMPUTED_VALUE"""),"Si")</f>
        <v>Si</v>
      </c>
      <c r="AO73" s="32" t="str">
        <f>IFERROR(__xludf.DUMMYFUNCTION("""COMPUTED_VALUE"""),"Si")</f>
        <v>Si</v>
      </c>
      <c r="AP73" s="32" t="str">
        <f>IFERROR(__xludf.DUMMYFUNCTION("""COMPUTED_VALUE"""),"No aplica")</f>
        <v>No aplica</v>
      </c>
      <c r="AQ73" s="32" t="str">
        <f>IFERROR(__xludf.DUMMYFUNCTION("""COMPUTED_VALUE"""),"No aplica")</f>
        <v>No aplica</v>
      </c>
      <c r="AR73" s="32" t="str">
        <f>IFERROR(__xludf.DUMMYFUNCTION("""COMPUTED_VALUE"""),"No aplica")</f>
        <v>No aplica</v>
      </c>
      <c r="AS73" s="150" t="str">
        <f>IFERROR(__xludf.DUMMYFUNCTION("""COMPUTED_VALUE"""),"Recomendaciones:
*Fortalecer la descripción del riesgo y la descripción de los controles, considerando la metodología de la Guía para la Administración del Riesgo y el diseño de controles en entidades públicas Versión 6, que propone los elementos para la "&amp;"descripción del riesgo. ")</f>
        <v>Recomendaciones:
*Fortalecer la descripción del riesgo y la descripción de los controles, considerando la metodología de la Guía para la Administración del Riesgo y el diseño de controles en entidades públicas Versión 6, que propone los elementos para la descripción del riesgo. </v>
      </c>
      <c r="AT73" s="139"/>
    </row>
    <row r="74">
      <c r="A74" s="86"/>
      <c r="B74" s="140" t="s">
        <v>225</v>
      </c>
      <c r="C74" s="141" t="str">
        <f>IFERROR(__xludf.DUMMYFUNCTION("IMPORTRANGE(""https://docs.google.com/spreadsheets/d/1wqAcOTRlx3sfNblUAPAz6U09s8TcvWPwaZClq7kSshg/edit?gid=211544532#gid=211544532"",""Matriz_riesgos!C11:AS16"")"),"Contribuir a la formación integral de la comunidad universitaria, mediante el diseño y ejecución de programas, que permitan fortalecer las diferentes dimensiones, físicas, psicoafectivas, políticas, cognitivas, culturales, ambientales, estética, social, d"&amp;"el ser humano encaminados a mejorar la calidad de vida. ")</f>
        <v>Contribuir a la formación integral de la comunidad universitaria, mediante el diseño y ejecución de programas, que permitan fortalecer las diferentes dimensiones, físicas, psicoafectivas, políticas, cognitivas, culturales, ambientales, estética, social, del ser humano encaminados a mejorar la calidad de vida. </v>
      </c>
      <c r="D74" s="144" t="str">
        <f>IFERROR(__xludf.DUMMYFUNCTION("""COMPUTED_VALUE"""),"Afectación económica y reputacional por manipulación indebida de la información que se maneja en las diferentes áreas del proceso debido a debilidades en la aplicación de controles")</f>
        <v>Afectación económica y reputacional por manipulación indebida de la información que se maneja en las diferentes áreas del proceso debido a debilidades en la aplicación de controles</v>
      </c>
      <c r="E74" s="144" t="str">
        <f>IFERROR(__xludf.DUMMYFUNCTION("""COMPUTED_VALUE"""),"División de Bienestar Institucional")</f>
        <v>División de Bienestar Institucional</v>
      </c>
      <c r="F74" s="144" t="str">
        <f>IFERROR(__xludf.DUMMYFUNCTION("""COMPUTED_VALUE"""),"Corrupción")</f>
        <v>Corrupción</v>
      </c>
      <c r="G74" s="144" t="str">
        <f>IFERROR(__xludf.DUMMYFUNCTION("""COMPUTED_VALUE"""),"- Indebido cuidado profesional del personal del proceso
- Debilidades en la aplicación de controles en el proceso
- Procedimientos inexistentes, deficientes o desactualizados")</f>
        <v>- Indebido cuidado profesional del personal del proceso
- Debilidades en la aplicación de controles en el proceso
- Procedimientos inexistentes, deficientes o desactualizados</v>
      </c>
      <c r="H74" s="144" t="str">
        <f>IFERROR(__xludf.DUMMYFUNCTION("""COMPUTED_VALUE"""),"1. Falta de integridad en la información que maneja la dependencia
2. Afectación a la imagen institucional
3. Afectación a los usuarios de los servicios de bienestar institucional
4. Intervención de órganos de control.")</f>
        <v>1. Falta de integridad en la información que maneja la dependencia
2. Afectación a la imagen institucional
3. Afectación a los usuarios de los servicios de bienestar institucional
4. Intervención de órganos de control.</v>
      </c>
      <c r="I74" s="145" t="str">
        <f>IFERROR(__xludf.DUMMYFUNCTION("""COMPUTED_VALUE"""),"BIN_01")</f>
        <v>BIN_01</v>
      </c>
      <c r="J74" s="145" t="str">
        <f>IFERROR(__xludf.DUMMYFUNCTION("""COMPUTED_VALUE"""),"Alta")</f>
        <v>Alta</v>
      </c>
      <c r="K74" s="145" t="str">
        <f>IFERROR(__xludf.DUMMYFUNCTION("""COMPUTED_VALUE"""),"Mayor")</f>
        <v>Mayor</v>
      </c>
      <c r="L74" s="145" t="str">
        <f>IFERROR(__xludf.DUMMYFUNCTION("""COMPUTED_VALUE"""),"Extrema")</f>
        <v>Extrema</v>
      </c>
      <c r="M74" s="144" t="str">
        <f>IFERROR(__xludf.DUMMYFUNCTION("""COMPUTED_VALUE"""),"- Los colaboradores de las áreas de Bienestar Institucional Universitario, presentan mensualmente informes de las actividades realizadas con sus respectivos soportes, con el fin de evidenciar las acciones realizadas
- Los coordinadores de área, hacen segu"&amp;"imiento mensual a la ejecución de las actividades programadas a través de los registros virtuales (QR), con el fin de conocer la participación de la comunidad universitaria. 
- El Comité de Trabajo Social, realiza semestralmente la verificación de la info"&amp;"rmación socioeconómica de los estudiantes, para la asignación de beneficios socioeconómicos.
- El Área de Promoción Socioeconómica, realiza la Sistematización del proceso de apoyos económicos a estudiantes en condición de vulnerabilidad económica al cierr"&amp;"e de cada periodo académico, para informes de ejecución y acreditación.
 - El proceso proceso de la División de Bienestar Universitario realiza semestralmente un informe de gestión unificado, con el fin de evidenciar la ejecución de cada una de las área q"&amp;"ue compone la División.")</f>
        <v>- Los colaboradores de las áreas de Bienestar Institucional Universitario, presentan mensualmente informes de las actividades realizadas con sus respectivos soportes, con el fin de evidenciar las acciones realizadas
- Los coordinadores de área, hacen seguimiento mensual a la ejecución de las actividades programadas a través de los registros virtuales (QR), con el fin de conocer la participación de la comunidad universitaria. 
- El Comité de Trabajo Social, realiza semestralmente la verificación de la información socioeconómica de los estudiantes, para la asignación de beneficios socioeconómicos.
- El Área de Promoción Socioeconómica, realiza la Sistematización del proceso de apoyos económicos a estudiantes en condición de vulnerabilidad económica al cierre de cada periodo académico, para informes de ejecución y acreditación.
 - El proceso proceso de la División de Bienestar Universitario realiza semestralmente un informe de gestión unificado, con el fin de evidenciar la ejecución de cada una de las área que compone la División.</v>
      </c>
      <c r="N74" s="145" t="str">
        <f>IFERROR(__xludf.DUMMYFUNCTION("""COMPUTED_VALUE"""),"Muy baja")</f>
        <v>Muy baja</v>
      </c>
      <c r="O74" s="145" t="str">
        <f>IFERROR(__xludf.DUMMYFUNCTION("""COMPUTED_VALUE"""),"Mayor")</f>
        <v>Mayor</v>
      </c>
      <c r="P74" s="145" t="str">
        <f>IFERROR(__xludf.DUMMYFUNCTION("""COMPUTED_VALUE"""),"Alta")</f>
        <v>Alta</v>
      </c>
      <c r="Q74" s="178" t="str">
        <f>IFERROR(__xludf.DUMMYFUNCTION("""COMPUTED_VALUE"""),"Reducir")</f>
        <v>Reducir</v>
      </c>
      <c r="R74" s="158" t="str">
        <f>IFERROR(__xludf.DUMMYFUNCTION("""COMPUTED_VALUE"""),"Realizar semestralmente sensibilización a los colaboradores de las áreas de BIU, sobre los controles del manejo de la información")</f>
        <v>Realizar semestralmente sensibilización a los colaboradores de las áreas de BIU, sobre los controles del manejo de la información</v>
      </c>
      <c r="S74" s="159" t="str">
        <f>IFERROR(__xludf.DUMMYFUNCTION("""COMPUTED_VALUE"""),"Inicio de cada semestre")</f>
        <v>Inicio de cada semestre</v>
      </c>
      <c r="T74" s="159" t="str">
        <f>IFERROR(__xludf.DUMMYFUNCTION("""COMPUTED_VALUE"""),"Jefe de Bienestar Institucional")</f>
        <v>Jefe de Bienestar Institucional</v>
      </c>
      <c r="U74" s="159" t="str">
        <f>IFERROR(__xludf.DUMMYFUNCTION("""COMPUTED_VALUE"""),"- Actas, fotos y listas de asistecia")</f>
        <v>- Actas, fotos y listas de asistecia</v>
      </c>
      <c r="V74" s="167" t="str">
        <f>IFERROR(__xludf.DUMMYFUNCTION("""COMPUTED_VALUE"""),"Oficio de rectificación de la información a las partes interesadas")</f>
        <v>Oficio de rectificación de la información a las partes interesadas</v>
      </c>
      <c r="W74" s="167" t="str">
        <f>IFERROR(__xludf.DUMMYFUNCTION("""COMPUTED_VALUE"""),"Oficio")</f>
        <v>Oficio</v>
      </c>
      <c r="X74" s="169" t="str">
        <f>IFERROR(__xludf.DUMMYFUNCTION("""COMPUTED_VALUE"""),"Jefe de Bienestar Institucional")</f>
        <v>Jefe de Bienestar Institucional</v>
      </c>
      <c r="Y74" s="169" t="str">
        <f>IFERROR(__xludf.DUMMYFUNCTION("""COMPUTED_VALUE"""),"1 semana")</f>
        <v>1 semana</v>
      </c>
      <c r="Z74" s="150" t="str">
        <f>IFERROR(__xludf.DUMMYFUNCTION("""COMPUTED_VALUE"""),"30 de abril")</f>
        <v>30 de abril</v>
      </c>
      <c r="AA74" s="151">
        <f>IFERROR(__xludf.DUMMYFUNCTION("""COMPUTED_VALUE"""),45777.0)</f>
        <v>45777</v>
      </c>
      <c r="AB74" s="150" t="str">
        <f>IFERROR(__xludf.DUMMYFUNCTION("""COMPUTED_VALUE"""),"Durante este primer monitoreo NO se materializó el riesgo ""Afectación económica y reputacional por manipulación indebida de la información que se maneja en las diferentes áreas del proceso debido a debilidades en la aplicación de controles""
Actividades"&amp;" relacionadas con los controles:
- Los colaboradores de las cinco áreas de Bienestar Universitario, presentan mensualmente los informes de actividaes, los cuales son revisados en primera instancia por los Coordinadores de cada área, con el fin de ser apr"&amp;"obados finalmente por el Jefe de Bienestar. Por esta razón, se anexan los informes de actividades de los colaboradores/profesionales de apoyo de las cinco áreas de los meses de enero, febrero, marzo y abril de 2025.
- Los Coordinadores de las areas de bie"&amp;"nestar realizan a través de un formulario virtual QR, el resgistro de la comunidad Unillanista que participan en los eventos o actividades programadas desde cada una de las cinco áreas de la División de Bienestar, con el fin de mejorar los procesos intern"&amp;"os de la dependencia y realizar informes de acreditación, informes de gestión, entre otros. Por esta razón, se anexa a evidencia los registros realizados de enero, febrero, marzo y abril de las cinco áreas de Bienestar
- Se realizaron en el primer trimest"&amp;"re los Comités de Trabajo Social, donde en el primer comité, del 20 de enero de 2025, se socializó el cronograma de los los diferentes programas socioecoómicos´, para su aprobación por los miembros. El segundo Comité de trabajo Social, se realizó el 20 de"&amp;" febrero de 2025, donde se socializó el resultado de la convocatoria de los apoyos económicos para las prácticas de extramuros para el 2025-1. Por esta razón, se adjuntan las citaciones al comité, las actas y los formatos de asistencia 
- El área de Promo"&amp;"ción Socioeconómica, realizará al final del semestre de 2025-1 la sistematización del proceso de los apoyos económicos, para el respectivo informe de ejecución y de acreditación cuando se requiere.
- En cuanto al informe de gestión unificado, se presentar"&amp;"á al final el semestre de 2025-1, con el fin de evidenciar la ejecución de cada una de lass áreas de la División de Bienestar Universitario.
Acciones asociadas al tratamiento:
-  Se realizó la sensibilización a los colaboradores de las áreas de la Divis"&amp;"ión de Bienestar Universitario el 11 de febrero de 2025, sobre los controles del manejo de la información. En reunión,el jefe de Bienestar resaltó la importancia de cumplir con los procedimientos y de hacer uso de los formatos digitales y físicos (según a"&amp;"pliquen), con el propósito de ser eficientes con la información recopilada en los mismos. Igualmente, solicita que deben informar a los compañeros de sus áreas, la responsabilidad de hacer efectivo el cumplimiento del uso de los mismos, para hacerles el d"&amp;"ebido seguimiento. La información recopilada a través de los formatos, se verá reflejada en los informes de gestión de cada semestre del 2025. Por esta razón, se emitió el acta 001 con fecha del 11/02/2025, la cual se carga como evidencia, junto con el fo"&amp;"rmato de asistencia donde firman todos los asistentes y evidencia fotográfica.")</f>
        <v>Durante este primer monitoreo NO se materializó el riesgo "Afectación económica y reputacional por manipulación indebida de la información que se maneja en las diferentes áreas del proceso debido a debilidades en la aplicación de controles"
Actividades relacionadas con los controles:
- Los colaboradores de las cinco áreas de Bienestar Universitario, presentan mensualmente los informes de actividaes, los cuales son revisados en primera instancia por los Coordinadores de cada área, con el fin de ser aprobados finalmente por el Jefe de Bienestar. Por esta razón, se anexan los informes de actividades de los colaboradores/profesionales de apoyo de las cinco áreas de los meses de enero, febrero, marzo y abril de 2025.
- Los Coordinadores de las areas de bienestar realizan a través de un formulario virtual QR, el resgistro de la comunidad Unillanista que participan en los eventos o actividades programadas desde cada una de las cinco áreas de la División de Bienestar, con el fin de mejorar los procesos internos de la dependencia y realizar informes de acreditación, informes de gestión, entre otros. Por esta razón, se anexa a evidencia los registros realizados de enero, febrero, marzo y abril de las cinco áreas de Bienestar
- Se realizaron en el primer trimestre los Comités de Trabajo Social, donde en el primer comité, del 20 de enero de 2025, se socializó el cronograma de los los diferentes programas socioecoómicos´, para su aprobación por los miembros. El segundo Comité de trabajo Social, se realizó el 20 de febrero de 2025, donde se socializó el resultado de la convocatoria de los apoyos económicos para las prácticas de extramuros para el 2025-1. Por esta razón, se adjuntan las citaciones al comité, las actas y los formatos de asistencia 
- El área de Promoción Socioeconómica, realizará al final del semestre de 2025-1 la sistematización del proceso de los apoyos económicos, para el respectivo informe de ejecución y de acreditación cuando se requiere.
- En cuanto al informe de gestión unificado, se presentará al final el semestre de 2025-1, con el fin de evidenciar la ejecución de cada una de lass áreas de la División de Bienestar Universitario.
Acciones asociadas al tratamiento:
-  Se realizó la sensibilización a los colaboradores de las áreas de la División de Bienestar Universitario el 11 de febrero de 2025, sobre los controles del manejo de la información. En reunión,el jefe de Bienestar resaltó la importancia de cumplir con los procedimientos y de hacer uso de los formatos digitales y físicos (según apliquen), con el propósito de ser eficientes con la información recopilada en los mismos. Igualmente, solicita que deben informar a los compañeros de sus áreas, la responsabilidad de hacer efectivo el cumplimiento del uso de los mismos, para hacerles el debido seguimiento. La información recopilada a través de los formatos, se verá reflejada en los informes de gestión de cada semestre del 2025. Por esta razón, se emitió el acta 001 con fecha del 11/02/2025, la cual se carga como evidencia, junto con el formato de asistencia donde firman todos los asistentes y evidencia fotográfica.</v>
      </c>
      <c r="AC74" s="152" t="str">
        <f>IFERROR(__xludf.DUMMYFUNCTION("""COMPUTED_VALUE"""),"Jefe División de Bienestar Universitario")</f>
        <v>Jefe División de Bienestar Universitario</v>
      </c>
      <c r="AD74" s="153" t="str">
        <f>IFERROR(__xludf.DUMMYFUNCTION("""COMPUTED_VALUE"""),"Evidencia")</f>
        <v>Evidencia</v>
      </c>
      <c r="AE74" s="150" t="str">
        <f>IFERROR(__xludf.DUMMYFUNCTION("""COMPUTED_VALUE"""),"Si")</f>
        <v>Si</v>
      </c>
      <c r="AF74" s="150" t="str">
        <f>IFERROR(__xludf.DUMMYFUNCTION("""COMPUTED_VALUE"""),"En proceso")</f>
        <v>En proceso</v>
      </c>
      <c r="AG74" s="32" t="str">
        <f>IFERROR(__xludf.DUMMYFUNCTION("""COMPUTED_VALUE"""),"Se evidencia que el proceso reporta el estado sobre la NO materialización del riesgo. 
Sobre las actividades relacionadas con los controles. 
Se verifica el reporte oportuno de los controles establecidos en los cuales se documenta de manera adecuada las"&amp;" actividades mensuales reportadas por los colaboradores de BIU, el seguimiento por medio de QR a los registros, los comites de trabajo y su respectivo soporte, la sistematización del proceso de apoyo economico a estudiantes en condición de vulnerabilidad "&amp;"para el periodo en curso así como el avance en la proyección del informe semestral a fin de evidenciar la ejecución de las areas de la división, lo anterior justificando las 5 acciones asociadas a los controles en su primer avance de ejecución de manera e"&amp;"fectiva ante la mitigación del riesgo. 
Sobre las acciones asociadas al tratamiento: 
Se verifica el cumplimiento en el avance de reporte de inicio para cada semestre en lo que se relaciona a actas, fotos y listas de asistencias sobre la acción de mejo"&amp;"ra orientada a la sensibilización de los colaboradores de las areas de BIU, asi como los controles de manejo de la información, se recomienda para el proximo monitoreo generar el reporte de la acción de la segunda acción de tratamiento la cual se debe ela"&amp;"borar al cerrar el semestre. ")</f>
        <v>Se evidencia que el proceso reporta el estado sobre la NO materialización del riesgo. 
Sobre las actividades relacionadas con los controles. 
Se verifica el reporte oportuno de los controles establecidos en los cuales se documenta de manera adecuada las actividades mensuales reportadas por los colaboradores de BIU, el seguimiento por medio de QR a los registros, los comites de trabajo y su respectivo soporte, la sistematización del proceso de apoyo economico a estudiantes en condición de vulnerabilidad para el periodo en curso así como el avance en la proyección del informe semestral a fin de evidenciar la ejecución de las areas de la división, lo anterior justificando las 5 acciones asociadas a los controles en su primer avance de ejecución de manera efectiva ante la mitigación del riesgo. 
Sobre las acciones asociadas al tratamiento: 
Se verifica el cumplimiento en el avance de reporte de inicio para cada semestre en lo que se relaciona a actas, fotos y listas de asistencias sobre la acción de mejora orientada a la sensibilización de los colaboradores de las areas de BIU, asi como los controles de manejo de la información, se recomienda para el proximo monitoreo generar el reporte de la acción de la segunda acción de tratamiento la cual se debe elaborar al cerrar el semestre. </v>
      </c>
      <c r="AH74" s="150" t="str">
        <f>IFERROR(__xludf.DUMMYFUNCTION("""COMPUTED_VALUE"""),"30 de abril")</f>
        <v>30 de abril</v>
      </c>
      <c r="AI74" s="32" t="str">
        <f>IFERROR(__xludf.DUMMYFUNCTION("""COMPUTED_VALUE"""),"Si")</f>
        <v>Si</v>
      </c>
      <c r="AJ74" s="32" t="str">
        <f>IFERROR(__xludf.DUMMYFUNCTION("""COMPUTED_VALUE"""),"Si")</f>
        <v>Si</v>
      </c>
      <c r="AK74" s="32" t="str">
        <f>IFERROR(__xludf.DUMMYFUNCTION("""COMPUTED_VALUE"""),"Si")</f>
        <v>Si</v>
      </c>
      <c r="AL74" s="32" t="str">
        <f>IFERROR(__xludf.DUMMYFUNCTION("""COMPUTED_VALUE"""),"Si")</f>
        <v>Si</v>
      </c>
      <c r="AM74" s="32" t="str">
        <f>IFERROR(__xludf.DUMMYFUNCTION("""COMPUTED_VALUE"""),"Si")</f>
        <v>Si</v>
      </c>
      <c r="AN74" s="32" t="str">
        <f>IFERROR(__xludf.DUMMYFUNCTION("""COMPUTED_VALUE"""),"Si")</f>
        <v>Si</v>
      </c>
      <c r="AO74" s="32" t="str">
        <f>IFERROR(__xludf.DUMMYFUNCTION("""COMPUTED_VALUE"""),"Si")</f>
        <v>Si</v>
      </c>
      <c r="AP74" s="32" t="str">
        <f>IFERROR(__xludf.DUMMYFUNCTION("""COMPUTED_VALUE"""),"No")</f>
        <v>No</v>
      </c>
      <c r="AQ74" s="32" t="str">
        <f>IFERROR(__xludf.DUMMYFUNCTION("""COMPUTED_VALUE"""),"No")</f>
        <v>No</v>
      </c>
      <c r="AR74" s="32" t="str">
        <f>IFERROR(__xludf.DUMMYFUNCTION("""COMPUTED_VALUE"""),"No")</f>
        <v>No</v>
      </c>
      <c r="AS74" s="150" t="str">
        <f>IFERROR(__xludf.DUMMYFUNCTION("""COMPUTED_VALUE"""),"Recomendaciones:
*Fortalecer la descripción del riesgo conforme a la metodología propuesta en la Guía para la Administración del Riesgo y el diseño de controles en entidades públicas Versión 4 de 2018, ue propone los elementos que debe contemplar el diseñ"&amp;"o del control relacionados con los riesgos de corrupción:
ACCIÓN U OMISIÓN + USO DEL PODER + DESVIACIÓN DE LA GESTIÓN DE LO PÚBLICO + EL BENEFICIO PRIVADO. 
*Fortalecer la descripción de los controles conforme a la metodología propuesta en la Guía para l"&amp;"a Administración del Riesgo y el diseño de controles en entidades públicas Versión 4 de 2018, que propone los elementos que debe contemplar el diseño del control relacionados con los riesgos de corrupción:
-Debe tener definido el responsable de llevar a c"&amp;"abo la actividad de control.
-Debe tener una periodicidad definida para su ejecución.
-Debe indicar cuál es el propósito del control.
-Debe establecer el cómo se realiza la actividad de control.
-Debe indicar qué pasa con las observaciones o desviaciones "&amp;"resultantes de ejecutar el control
-Debe dejar evidencia de la ejecución del control.
")</f>
        <v>Recomendaciones:
*Fortalecer la descripción del riesgo conforme a la metodología propuesta en la Guía para la Administración del Riesgo y el diseño de controles en entidades públicas Versión 4 de 2018, ue propone los elementos que debe contemplar el diseño del control relacionados con los riesgos de corrupción:
ACCIÓN U OMISIÓN + USO DEL PODER + DESVIACIÓN DE LA GESTIÓN DE LO PÚBLICO + EL BENEFICIO PRIVADO. 
*Fortalecer la descripción de los controles conforme a la metodología propuesta en la Guía para la Administración del Riesgo y el diseño de controles en entidades públicas Versión 4 de 2018, que propone los elementos que debe contemplar el diseño del control relacionados con los riesgos de corrupción:
-Debe tener definido el responsable de llevar a cabo la actividad de control.
-Debe tener una periodicidad definida para su ejecución.
-Debe indicar cuál es el propósito del control.
-Debe establecer el cómo se realiza la actividad de control.
-Debe indicar qué pasa con las observaciones o desviaciones resultantes de ejecutar el control
-Debe dejar evidencia de la ejecución del control.
</v>
      </c>
      <c r="AT74" s="139"/>
    </row>
    <row r="75">
      <c r="A75" s="86"/>
      <c r="B75" s="73"/>
      <c r="C75" s="73"/>
      <c r="D75" s="156"/>
      <c r="E75" s="156"/>
      <c r="F75" s="156"/>
      <c r="G75" s="156"/>
      <c r="H75" s="156"/>
      <c r="I75" s="156"/>
      <c r="J75" s="156"/>
      <c r="K75" s="156"/>
      <c r="L75" s="156"/>
      <c r="M75" s="156"/>
      <c r="N75" s="156"/>
      <c r="O75" s="156"/>
      <c r="P75" s="156"/>
      <c r="Q75" s="157"/>
      <c r="R75" s="158" t="str">
        <f>IFERROR(__xludf.DUMMYFUNCTION("""COMPUTED_VALUE"""),"Realizar el seguimiento de la aplicación de los procedimientos por parte de las áreas de Bienestar.")</f>
        <v>Realizar el seguimiento de la aplicación de los procedimientos por parte de las áreas de Bienestar.</v>
      </c>
      <c r="S75" s="159" t="str">
        <f>IFERROR(__xludf.DUMMYFUNCTION("""COMPUTED_VALUE"""),"Finalizando cada semestre")</f>
        <v>Finalizando cada semestre</v>
      </c>
      <c r="T75" s="159" t="str">
        <f>IFERROR(__xludf.DUMMYFUNCTION("""COMPUTED_VALUE"""),"Jefe de Bienestar Institucional")</f>
        <v>Jefe de Bienestar Institucional</v>
      </c>
      <c r="U75" s="159" t="str">
        <f>IFERROR(__xludf.DUMMYFUNCTION("""COMPUTED_VALUE"""),"- Actas de reunión e informe de gestión de cada semestre.")</f>
        <v>- Actas de reunión e informe de gestión de cada semestre.</v>
      </c>
      <c r="V75" s="94"/>
      <c r="W75" s="94"/>
      <c r="X75" s="94"/>
      <c r="Y75" s="94"/>
      <c r="Z75" s="150" t="str">
        <f>IFERROR(__xludf.DUMMYFUNCTION("""COMPUTED_VALUE"""),"30 de agosto")</f>
        <v>30 de agosto</v>
      </c>
      <c r="AA75" s="151">
        <f>IFERROR(__xludf.DUMMYFUNCTION("""COMPUTED_VALUE"""),45898.0)</f>
        <v>45898</v>
      </c>
      <c r="AB75" s="150" t="str">
        <f>IFERROR(__xludf.DUMMYFUNCTION("""COMPUTED_VALUE"""),"Monitoreo del Riesgo Uno:
Durante este segundo monitoreo NO se materializó el riesgo identificado como:
""Afectación económica y reputacional por manipulación indebida de la información gestionada en las diferentes áreas del proceso, debido a debilidade"&amp;"s en la aplicación de controles.""
Actividades relacionadas con los controles:
·        Los colaboradores de las Coordinaciones de Bienestar Institucional entregan mensualmente sus informes de actividades, alineados con los compromisos contractuales y e"&amp;"l Plan de Acción de Bienestar Institucional. Estos informes son revisados inicialmente por los coordinadores y posteriormente remitidos a la jefatura para su revisión final y visto bueno. Este proceso garantiza la coherencia operativa, la trazabilidad de "&amp;"las acciones realizadas y la transparencia en la gestión, en concordancia con los lineamientos del Sistema de Gestión de la Calidad de la Universidad.
·        Los coordinadores de Bienestar sistematizan la información relacionada con la participación en"&amp;" las estrategias a través de un formulario virtual con código QR. Este proceso cuenta con el apoyo de los colaboradores responsables de los ejes de trabajo: Salud mental y competencias para la vida; Salud integral y autocuidado; Actividad física y deporte"&amp;"; Cultura y expresiones artísticas; Promoción socioeconómica; y Fortalecimiento académico y convivencia institucional.
·        Durante el primer trimestre de 2025, se realizaron cinco sesiones del Comité de Trabajo Social. Estos espacios permitieron def"&amp;"inir la metodología de aplicación de los programas socioeconómicos, revisar las bases de datos de estudiantes beneficiarios para asegurar la transparencia del proceso, y dar seguimiento a las acciones programadas para la vigencia 2025-1. Se destaca especi"&amp;"almente la revisión exhaustiva del Programa de Prácticas Extamurales.
·        El área de Promoción Socioeconómica llevará a cabo, al finalizar el semestre 2025-1, la sistematización del proceso de apoyos económicos, con el fin de consolidar el informe d"&amp;"e ejecución y preparar la documentación requerida para los procesos de acreditación.
·        El Informe de Gestión de la vigencia 2025-1 fue presentado y socializado ante el Consejo de Bienestar durante su segunda sesión de trabajo, realizada el 21 de j"&amp;"ulio de 2025. Este informe documenta la implementación del Plan de Acción de Bienestar correspondiente al semestre.
 Acciones asociadas al tratamiento del riesgo:
El 5 de mayo de 2025 se realizó una jornada de sensibilización dirigida a los colaboradore"&amp;"s de las áreas que integran la División de Bienestar Universitario (Acta No. 005), en la cual se abordaron los controles relacionados con el manejo adecuado de la información. Durante la reunión, el jefe de Bienestar reiteró la importancia de cumplir con "&amp;"los procedimientos establecidos y utilizar los formatos digitales y físicos pertinentes, con el objetivo de garantizar la eficiencia y trazabilidad de la información recopilada.
Se enfatizó la necesidad de que cada colaborador asuma la responsabilidad de"&amp;" divulgar y aplicar estos lineamientos en sus respectivas áreas, asegurando el cumplimiento y seguimiento adecuado de los mismos. La información recopilada mediante los formatos establecidos será reflejada en los informes de gestión correspondientes al añ"&amp;"o 2025.
Como evidencia de esta acción, se emitió el Acta No. 006 con fecha del 4 de agosto de 2025, acompañada del formato de asistencia debidamente firmado por los participantes y registro fotográfico del evento.
 ")</f>
        <v>Monitoreo del Riesgo Uno:
Durante este segundo monitoreo NO se materializó el riesgo identificado como:
"Afectación económica y reputacional por manipulación indebida de la información gestionada en las diferentes áreas del proceso, debido a debilidades en la aplicación de controles."
Actividades relacionadas con los controles:
·        Los colaboradores de las Coordinaciones de Bienestar Institucional entregan mensualmente sus informes de actividades, alineados con los compromisos contractuales y el Plan de Acción de Bienestar Institucional. Estos informes son revisados inicialmente por los coordinadores y posteriormente remitidos a la jefatura para su revisión final y visto bueno. Este proceso garantiza la coherencia operativa, la trazabilidad de las acciones realizadas y la transparencia en la gestión, en concordancia con los lineamientos del Sistema de Gestión de la Calidad de la Universidad.
·        Los coordinadores de Bienestar sistematizan la información relacionada con la participación en las estrategias a través de un formulario virtual con código QR. Este proceso cuenta con el apoyo de los colaboradores responsables de los ejes de trabajo: Salud mental y competencias para la vida; Salud integral y autocuidado; Actividad física y deporte; Cultura y expresiones artísticas; Promoción socioeconómica; y Fortalecimiento académico y convivencia institucional.
·        Durante el primer trimestre de 2025, se realizaron cinco sesiones del Comité de Trabajo Social. Estos espacios permitieron definir la metodología de aplicación de los programas socioeconómicos, revisar las bases de datos de estudiantes beneficiarios para asegurar la transparencia del proceso, y dar seguimiento a las acciones programadas para la vigencia 2025-1. Se destaca especialmente la revisión exhaustiva del Programa de Prácticas Extamurales.
·        El área de Promoción Socioeconómica llevará a cabo, al finalizar el semestre 2025-1, la sistematización del proceso de apoyos económicos, con el fin de consolidar el informe de ejecución y preparar la documentación requerida para los procesos de acreditación.
·        El Informe de Gestión de la vigencia 2025-1 fue presentado y socializado ante el Consejo de Bienestar durante su segunda sesión de trabajo, realizada el 21 de julio de 2025. Este informe documenta la implementación del Plan de Acción de Bienestar correspondiente al semestre.
 Acciones asociadas al tratamiento del riesgo:
El 5 de mayo de 2025 se realizó una jornada de sensibilización dirigida a los colaboradores de las áreas que integran la División de Bienestar Universitario (Acta No. 005), en la cual se abordaron los controles relacionados con el manejo adecuado de la información. Durante la reunión, el jefe de Bienestar reiteró la importancia de cumplir con los procedimientos establecidos y utilizar los formatos digitales y físicos pertinentes, con el objetivo de garantizar la eficiencia y trazabilidad de la información recopilada.
Se enfatizó la necesidad de que cada colaborador asuma la responsabilidad de divulgar y aplicar estos lineamientos en sus respectivas áreas, asegurando el cumplimiento y seguimiento adecuado de los mismos. La información recopilada mediante los formatos establecidos será reflejada en los informes de gestión correspondientes al año 2025.
Como evidencia de esta acción, se emitió el Acta No. 006 con fecha del 4 de agosto de 2025, acompañada del formato de asistencia debidamente firmado por los participantes y registro fotográfico del evento.
 </v>
      </c>
      <c r="AC75" s="152" t="str">
        <f>IFERROR(__xludf.DUMMYFUNCTION("""COMPUTED_VALUE"""),"Jefe División de Bienestar Universitario")</f>
        <v>Jefe División de Bienestar Universitario</v>
      </c>
      <c r="AD75" s="153" t="str">
        <f>IFERROR(__xludf.DUMMYFUNCTION("""COMPUTED_VALUE"""),"Evidencia")</f>
        <v>Evidencia</v>
      </c>
      <c r="AE75" s="150" t="str">
        <f>IFERROR(__xludf.DUMMYFUNCTION("""COMPUTED_VALUE"""),"Si")</f>
        <v>Si</v>
      </c>
      <c r="AF75" s="152" t="str">
        <f>IFERROR(__xludf.DUMMYFUNCTION("""COMPUTED_VALUE"""),"En proceso")</f>
        <v>En proceso</v>
      </c>
      <c r="AG75" s="32" t="str">
        <f>IFERROR(__xludf.DUMMYFUNCTION("""COMPUTED_VALUE"""),"Se evidencia que el riesgo no se materializó.
Sobre los controles:
Durante este corte se revisaron las evidencias relacionadas con la entrega mensual de informes por parte de los colaboradores de las Coordinaciones de Bienestar, los cuales son revisados "&amp;"por los coordinadores y posteriormente remitidos a la jefatura para visto bueno, garantizando trazabilidad y transparencia. Se sistematiza además la información de participación mediante formularios con código QR en cada eje de trabajo. Se reporta la real"&amp;"ización de cinco sesiones del Comité de Trabajo Social durante el primer trimestre de 2025, en las que se revisaron bases de datos de beneficiarios y programas socioeconómicos, incluyendo el Programa de Prácticas Extramurales. El área de Promoción Socioec"&amp;"onómica adelanta la sistematización de apoyos económicos al cierre del semestre, y el Informe de Gestión 2025-1 fue socializado ante el Consejo de Bienestar en julio de 2025. Todo lo anterior evidencia la aplicación de los controles establecidos para el m"&amp;"anejo de la información y la verificación de los procesos.
Sobre las acciones:
Se desarrolló la jornada de sensibilización el 5 de mayo de 2025 dirigida a los colaboradores de las áreas de Bienestar (Acta No. 005), en la cual se reiteró la importancia de"&amp;" aplicar los controles establecidos y el uso de formatos digitales y físicos para garantizar trazabilidad. Esta actividad da cumplimiento a la acción de sensibilización semestral. Asimismo, se enfatizó la responsabilidad de cada colaborador en divulgar y "&amp;"aplicar los lineamientos en su área, evidenciándose el cumplimiento de la acción de tratamiento definida para este semestre.")</f>
        <v>Se evidencia que el riesgo no se materializó.
Sobre los controles:
Durante este corte se revisaron las evidencias relacionadas con la entrega mensual de informes por parte de los colaboradores de las Coordinaciones de Bienestar, los cuales son revisados por los coordinadores y posteriormente remitidos a la jefatura para visto bueno, garantizando trazabilidad y transparencia. Se sistematiza además la información de participación mediante formularios con código QR en cada eje de trabajo. Se reporta la realización de cinco sesiones del Comité de Trabajo Social durante el primer trimestre de 2025, en las que se revisaron bases de datos de beneficiarios y programas socioeconómicos, incluyendo el Programa de Prácticas Extramurales. El área de Promoción Socioeconómica adelanta la sistematización de apoyos económicos al cierre del semestre, y el Informe de Gestión 2025-1 fue socializado ante el Consejo de Bienestar en julio de 2025. Todo lo anterior evidencia la aplicación de los controles establecidos para el manejo de la información y la verificación de los procesos.
Sobre las acciones:
Se desarrolló la jornada de sensibilización el 5 de mayo de 2025 dirigida a los colaboradores de las áreas de Bienestar (Acta No. 005), en la cual se reiteró la importancia de aplicar los controles establecidos y el uso de formatos digitales y físicos para garantizar trazabilidad. Esta actividad da cumplimiento a la acción de sensibilización semestral. Asimismo, se enfatizó la responsabilidad de cada colaborador en divulgar y aplicar los lineamientos en su área, evidenciándose el cumplimiento de la acción de tratamiento definida para este semestre.</v>
      </c>
      <c r="AH75" s="150" t="str">
        <f>IFERROR(__xludf.DUMMYFUNCTION("""COMPUTED_VALUE"""),"31 de agosto")</f>
        <v>31 de agosto</v>
      </c>
      <c r="AI75" s="32" t="str">
        <f>IFERROR(__xludf.DUMMYFUNCTION("""COMPUTED_VALUE"""),"Si")</f>
        <v>Si</v>
      </c>
      <c r="AJ75" s="32" t="str">
        <f>IFERROR(__xludf.DUMMYFUNCTION("""COMPUTED_VALUE"""),"Si")</f>
        <v>Si</v>
      </c>
      <c r="AK75" s="32" t="str">
        <f>IFERROR(__xludf.DUMMYFUNCTION("""COMPUTED_VALUE"""),"Si")</f>
        <v>Si</v>
      </c>
      <c r="AL75" s="32" t="str">
        <f>IFERROR(__xludf.DUMMYFUNCTION("""COMPUTED_VALUE"""),"Si")</f>
        <v>Si</v>
      </c>
      <c r="AM75" s="32" t="str">
        <f>IFERROR(__xludf.DUMMYFUNCTION("""COMPUTED_VALUE"""),"Si")</f>
        <v>Si</v>
      </c>
      <c r="AN75" s="32" t="str">
        <f>IFERROR(__xludf.DUMMYFUNCTION("""COMPUTED_VALUE"""),"Si")</f>
        <v>Si</v>
      </c>
      <c r="AO75" s="32" t="str">
        <f>IFERROR(__xludf.DUMMYFUNCTION("""COMPUTED_VALUE"""),"Si")</f>
        <v>Si</v>
      </c>
      <c r="AP75" s="32" t="str">
        <f>IFERROR(__xludf.DUMMYFUNCTION("""COMPUTED_VALUE"""),"No")</f>
        <v>No</v>
      </c>
      <c r="AQ75" s="32" t="str">
        <f>IFERROR(__xludf.DUMMYFUNCTION("""COMPUTED_VALUE"""),"No")</f>
        <v>No</v>
      </c>
      <c r="AR75" s="32" t="str">
        <f>IFERROR(__xludf.DUMMYFUNCTION("""COMPUTED_VALUE"""),"No")</f>
        <v>No</v>
      </c>
      <c r="AS75" s="150" t="str">
        <f>IFERROR(__xludf.DUMMYFUNCTION("""COMPUTED_VALUE"""),"Recomendaciones:
*Fortalecer la descripción del riesgo conforme a la metodología propuesta en la Guía para la Administración del Riesgo y el diseño de controles en entidades públicas Versión 4 de 2018, ue propone los elementos que debe contemplar el diseñ"&amp;"o del control relacionados con los riesgos de corrupción:
ACCIÓN U OMISIÓN + USO DEL PODER + DESVIACIÓN DE LA GESTIÓN DE LO PÚBLICO + EL BENEFICIO PRIVADO. 
*Fortalecer la descripción de los controles conforme a la metodología propuesta en la Guía para l"&amp;"a Administración del Riesgo y el diseño de controles en entidades públicas Versión 4 de 2018, que propone los elementos que debe contemplar el diseño del control relacionados con los riesgos de corrupción:
-Debe tener definido el responsable de llevar a c"&amp;"abo la actividad de control.
-Debe tener una periodicidad definida para su ejecución.
-Debe indicar cuál es el propósito del control.
-Debe establecer el cómo se realiza la actividad de control.
-Debe indicar qué pasa con las observaciones o desviaciones "&amp;"resultantes de ejecutar el control
-Debe dejar evidencia de la ejecución del control.
")</f>
        <v>Recomendaciones:
*Fortalecer la descripción del riesgo conforme a la metodología propuesta en la Guía para la Administración del Riesgo y el diseño de controles en entidades públicas Versión 4 de 2018, ue propone los elementos que debe contemplar el diseño del control relacionados con los riesgos de corrupción:
ACCIÓN U OMISIÓN + USO DEL PODER + DESVIACIÓN DE LA GESTIÓN DE LO PÚBLICO + EL BENEFICIO PRIVADO. 
*Fortalecer la descripción de los controles conforme a la metodología propuesta en la Guía para la Administración del Riesgo y el diseño de controles en entidades públicas Versión 4 de 2018, que propone los elementos que debe contemplar el diseño del control relacionados con los riesgos de corrupción:
-Debe tener definido el responsable de llevar a cabo la actividad de control.
-Debe tener una periodicidad definida para su ejecución.
-Debe indicar cuál es el propósito del control.
-Debe establecer el cómo se realiza la actividad de control.
-Debe indicar qué pasa con las observaciones o desviaciones resultantes de ejecutar el control
-Debe dejar evidencia de la ejecución del control.
</v>
      </c>
      <c r="AT75" s="139"/>
    </row>
    <row r="76">
      <c r="A76" s="86"/>
      <c r="B76" s="73"/>
      <c r="C76" s="73"/>
      <c r="D76" s="119"/>
      <c r="E76" s="119"/>
      <c r="F76" s="119"/>
      <c r="G76" s="119"/>
      <c r="H76" s="119"/>
      <c r="I76" s="119"/>
      <c r="J76" s="119"/>
      <c r="K76" s="119"/>
      <c r="L76" s="119"/>
      <c r="M76" s="119"/>
      <c r="N76" s="119"/>
      <c r="O76" s="119"/>
      <c r="P76" s="119"/>
      <c r="Q76" s="162"/>
      <c r="R76" s="163" t="str">
        <f>IFERROR(__xludf.DUMMYFUNCTION("""COMPUTED_VALUE"""),"")</f>
        <v/>
      </c>
      <c r="S76" s="164" t="str">
        <f>IFERROR(__xludf.DUMMYFUNCTION("""COMPUTED_VALUE"""),"")</f>
        <v/>
      </c>
      <c r="T76" s="176"/>
      <c r="U76" s="176"/>
      <c r="V76" s="98"/>
      <c r="W76" s="98"/>
      <c r="X76" s="98"/>
      <c r="Y76" s="98"/>
      <c r="Z76" s="150" t="str">
        <f>IFERROR(__xludf.DUMMYFUNCTION("""COMPUTED_VALUE"""),"30 de diciembre")</f>
        <v>30 de diciembre</v>
      </c>
      <c r="AA76" s="184">
        <f>IFERROR(__xludf.DUMMYFUNCTION("""COMPUTED_VALUE"""),45996.0)</f>
        <v>45996</v>
      </c>
      <c r="AB76" s="182" t="str">
        <f>IFERROR(__xludf.DUMMYFUNCTION("""COMPUTED_VALUE"""),"Monitoreo del Riesgo Uno:
Durante este segundo monitoreo NO se materializó el riesgo identificado como:
Afectación económica y reputaciones por manipulación indebida de la información gestionada en las diferentes áreas del proceso, debido a debilidades "&amp;"en la aplicación de controles.
Actividades relacionadas con los controles:
Los colaboradores de las Coordinaciones de Bienestar Institucional presentan mensualmente sus informes de actividades, elaborados conforme a los compromisos contractuales y al Pl"&amp;"an de Acción de Bienestar Institucional. Estos informes son revisados en primera instancia por los coordinadores y luego remitidos a la jefatura para su evaluación final y aprobación. Este procedimiento asegura la coherencia operativa, la trazabilidad de "&amp;"las acciones ejecutadas y la transparencia en la gestión, en cumplimiento con los lineamientos del Sistema de Gestión de la Calidad de la Universidad.
Los coordinadores de Bienestar recopilan y organizan la información sobre la participación en las disti"&amp;"ntas estrategias mediante un formulario virtual accesible a través de un código QR. Este proceso se desarrolla con el apoyo de los colaboradores responsables de cada eje de trabajo: Salud mental y competencias para la vida; Salud integral y autocuidado; A"&amp;"ctividad física y deporte; Cultura y expresiones artísticas; Promoción socioeconómica; y Fortalecimiento académico y convivencia institucional. Finalmente, se consolida una base de datos en un archivo de Excel, que facilita el acceso a los datos clave del"&amp;" proceso de medición del bienestar.
El Informe de Desarrollo del Plan fue socializado con la comunidad universitaria a través de la página web de la Universidad de los Llanos, en el menú Participa, sección Consulta ciudadana, apartado Documentos. Este in"&amp;"forme presenta la ejecución del Plan de Acción de Bienestar correspondiente a la vigencia 2025, con corte al 24 de noviembre. 
Link: https://unillanos.edu.co/index.php/documentacion/participa/6-2-3-consulta-ciudadana-1/2025-9/8374-informe-seguimiento-plan"&amp;"-de-accion-2025-enero-septiembre/file
")</f>
        <v>Monitoreo del Riesgo Uno:
Durante este segundo monitoreo NO se materializó el riesgo identificado como:
Afectación económica y reputaciones por manipulación indebida de la información gestionada en las diferentes áreas del proceso, debido a debilidades en la aplicación de controles.
Actividades relacionadas con los controles:
Los colaboradores de las Coordinaciones de Bienestar Institucional presentan mensualmente sus informes de actividades, elaborados conforme a los compromisos contractuales y al Plan de Acción de Bienestar Institucional. Estos informes son revisados en primera instancia por los coordinadores y luego remitidos a la jefatura para su evaluación final y aprobación. Este procedimiento asegura la coherencia operativa, la trazabilidad de las acciones ejecutadas y la transparencia en la gestión, en cumplimiento con los lineamientos del Sistema de Gestión de la Calidad de la Universidad.
Los coordinadores de Bienestar recopilan y organizan la información sobre la participación en las distintas estrategias mediante un formulario virtual accesible a través de un código QR. Este proceso se desarrolla con el apoyo de los colaboradores responsables de cada eje de trabajo: Salud mental y competencias para la vida; Salud integral y autocuidado; Actividad física y deporte; Cultura y expresiones artísticas; Promoción socioeconómica; y Fortalecimiento académico y convivencia institucional. Finalmente, se consolida una base de datos en un archivo de Excel, que facilita el acceso a los datos clave del proceso de medición del bienestar.
El Informe de Desarrollo del Plan fue socializado con la comunidad universitaria a través de la página web de la Universidad de los Llanos, en el menú Participa, sección Consulta ciudadana, apartado Documentos. Este informe presenta la ejecución del Plan de Acción de Bienestar correspondiente a la vigencia 2025, con corte al 24 de noviembre. 
Link: https://unillanos.edu.co/index.php/documentacion/participa/6-2-3-consulta-ciudadana-1/2025-9/8374-informe-seguimiento-plan-de-accion-2025-enero-septiembre/file
</v>
      </c>
      <c r="AC76" s="152" t="str">
        <f>IFERROR(__xludf.DUMMYFUNCTION("""COMPUTED_VALUE"""),"Jefe División de Bienestar Universitario")</f>
        <v>Jefe División de Bienestar Universitario</v>
      </c>
      <c r="AD76" s="153" t="str">
        <f>IFERROR(__xludf.DUMMYFUNCTION("""COMPUTED_VALUE"""),"Evidencia")</f>
        <v>Evidencia</v>
      </c>
      <c r="AE76" s="150" t="str">
        <f>IFERROR(__xludf.DUMMYFUNCTION("""COMPUTED_VALUE"""),"Si")</f>
        <v>Si</v>
      </c>
      <c r="AF76" s="152" t="str">
        <f>IFERROR(__xludf.DUMMYFUNCTION("""COMPUTED_VALUE"""),"Ejecutada")</f>
        <v>Ejecutada</v>
      </c>
      <c r="AG76" s="32" t="str">
        <f>IFERROR(__xludf.DUMMYFUNCTION("""COMPUTED_VALUE"""),"Se evidencia que el riesgo no se materializó durante el período evaluado.
Sobre los controles:
Durante este corte se revisaron las evidencias relacionadas con la presentación mensual de informes por parte de los colaboradores de las Coordinaciones de Bie"&amp;"nestar Institucional, los cuales son revisados por los coordinadores y remitidos a la jefatura para su visto bueno, garantizando la trazabilidad y transparencia de la información. Adicionalmente, se evidencia la sistematización de la participación de los "&amp;"beneficiarios mediante formularios virtuales con código QR en los diferentes ejes de trabajo.
Así mismo, se reporta la realización de cinco sesiones del Comité de Trabajo Social durante el período evaluado, en las cuales se revisaron las bases de datos de"&amp;" beneficiarios y los programas socioeconómicos, incluido el Programa de Prácticas Extramurales. El área de Promoción Socioeconómica adelanta la sistematización de los apoyos económicos al cierre del semestre, y el Informe de Desarrollo del Plan fue social"&amp;"izado ante el Consejo de Bienestar, lo que evidencia la aplicación de los controles establecidos para el manejo y verificación de la información del proceso.
Sobre las acciones:
Se desarrollaron las actividades de seguimiento y control definidas para el "&amp;"período, evidenciándose la aplicación de los lineamientos establecidos por parte de los colaboradores de las áreas de Bienestar Institucional. Las acciones ejecutadas permiten dar cumplimiento a la acción de tratamiento definida para el semestre y contrib"&amp;"uyen a mantener la efectividad del control del riesgo.")</f>
        <v>Se evidencia que el riesgo no se materializó durante el período evaluado.
Sobre los controles:
Durante este corte se revisaron las evidencias relacionadas con la presentación mensual de informes por parte de los colaboradores de las Coordinaciones de Bienestar Institucional, los cuales son revisados por los coordinadores y remitidos a la jefatura para su visto bueno, garantizando la trazabilidad y transparencia de la información. Adicionalmente, se evidencia la sistematización de la participación de los beneficiarios mediante formularios virtuales con código QR en los diferentes ejes de trabajo.
Así mismo, se reporta la realización de cinco sesiones del Comité de Trabajo Social durante el período evaluado, en las cuales se revisaron las bases de datos de beneficiarios y los programas socioeconómicos, incluido el Programa de Prácticas Extramurales. El área de Promoción Socioeconómica adelanta la sistematización de los apoyos económicos al cierre del semestre, y el Informe de Desarrollo del Plan fue socializado ante el Consejo de Bienestar, lo que evidencia la aplicación de los controles establecidos para el manejo y verificación de la información del proceso.
Sobre las acciones:
Se desarrollaron las actividades de seguimiento y control definidas para el período, evidenciándose la aplicación de los lineamientos establecidos por parte de los colaboradores de las áreas de Bienestar Institucional. Las acciones ejecutadas permiten dar cumplimiento a la acción de tratamiento definida para el semestre y contribuyen a mantener la efectividad del control del riesgo.</v>
      </c>
      <c r="AH76" s="150" t="str">
        <f>IFERROR(__xludf.DUMMYFUNCTION("""COMPUTED_VALUE"""),"31 de diciembre")</f>
        <v>31 de diciembre</v>
      </c>
      <c r="AI76" s="32" t="str">
        <f>IFERROR(__xludf.DUMMYFUNCTION("""COMPUTED_VALUE"""),"Si")</f>
        <v>Si</v>
      </c>
      <c r="AJ76" s="32" t="str">
        <f>IFERROR(__xludf.DUMMYFUNCTION("""COMPUTED_VALUE"""),"Si")</f>
        <v>Si</v>
      </c>
      <c r="AK76" s="32" t="str">
        <f>IFERROR(__xludf.DUMMYFUNCTION("""COMPUTED_VALUE"""),"Si")</f>
        <v>Si</v>
      </c>
      <c r="AL76" s="32" t="str">
        <f>IFERROR(__xludf.DUMMYFUNCTION("""COMPUTED_VALUE"""),"Si")</f>
        <v>Si</v>
      </c>
      <c r="AM76" s="32" t="str">
        <f>IFERROR(__xludf.DUMMYFUNCTION("""COMPUTED_VALUE"""),"Si")</f>
        <v>Si</v>
      </c>
      <c r="AN76" s="32" t="str">
        <f>IFERROR(__xludf.DUMMYFUNCTION("""COMPUTED_VALUE"""),"Si")</f>
        <v>Si</v>
      </c>
      <c r="AO76" s="32" t="str">
        <f>IFERROR(__xludf.DUMMYFUNCTION("""COMPUTED_VALUE"""),"Si")</f>
        <v>Si</v>
      </c>
      <c r="AP76" s="32" t="str">
        <f>IFERROR(__xludf.DUMMYFUNCTION("""COMPUTED_VALUE"""),"No")</f>
        <v>No</v>
      </c>
      <c r="AQ76" s="32" t="str">
        <f>IFERROR(__xludf.DUMMYFUNCTION("""COMPUTED_VALUE"""),"No")</f>
        <v>No</v>
      </c>
      <c r="AR76" s="32" t="str">
        <f>IFERROR(__xludf.DUMMYFUNCTION("""COMPUTED_VALUE"""),"No")</f>
        <v>No</v>
      </c>
      <c r="AS76" s="150" t="str">
        <f>IFERROR(__xludf.DUMMYFUNCTION("""COMPUTED_VALUE"""),"Recomendaciones:
*Fortalecer la descripción del riesgo conforme a la metodología propuesta en la Guía para la Administración del Riesgo y el diseño de controles en entidades públicas Versión 4 de 2018, ue propone los elementos que debe contemplar el diseñ"&amp;"o del control relacionados con los riesgos de corrupción:
ACCIÓN U OMISIÓN + USO DEL PODER + DESVIACIÓN DE LA GESTIÓN DE LO PÚBLICO + EL BENEFICIO PRIVADO. 
*Fortalecer la descripción de los controles conforme a la metodología propuesta en la Guía para l"&amp;"a Administración del Riesgo y el diseño de controles en entidades públicas Versión 4 de 2018, que propone los elementos que debe contemplar el diseño del control relacionados con los riesgos de corrupción:
-Debe tener definido el responsable de llevar a c"&amp;"abo la actividad de control.
-Debe tener una periodicidad definida para su ejecución.
-Debe indicar cuál es el propósito del control.
-Debe establecer el cómo se realiza la actividad de control.
-Debe indicar qué pasa con las observaciones o desviaciones "&amp;"resultantes de ejecutar el control
-Debe dejar evidencia de la ejecución del control.
")</f>
        <v>Recomendaciones:
*Fortalecer la descripción del riesgo conforme a la metodología propuesta en la Guía para la Administración del Riesgo y el diseño de controles en entidades públicas Versión 4 de 2018, ue propone los elementos que debe contemplar el diseño del control relacionados con los riesgos de corrupción:
ACCIÓN U OMISIÓN + USO DEL PODER + DESVIACIÓN DE LA GESTIÓN DE LO PÚBLICO + EL BENEFICIO PRIVADO. 
*Fortalecer la descripción de los controles conforme a la metodología propuesta en la Guía para la Administración del Riesgo y el diseño de controles en entidades públicas Versión 4 de 2018, que propone los elementos que debe contemplar el diseño del control relacionados con los riesgos de corrupción:
-Debe tener definido el responsable de llevar a cabo la actividad de control.
-Debe tener una periodicidad definida para su ejecución.
-Debe indicar cuál es el propósito del control.
-Debe establecer el cómo se realiza la actividad de control.
-Debe indicar qué pasa con las observaciones o desviaciones resultantes de ejecutar el control
-Debe dejar evidencia de la ejecución del control.
</v>
      </c>
      <c r="AT76" s="139"/>
    </row>
    <row r="77">
      <c r="A77" s="86"/>
      <c r="B77" s="73"/>
      <c r="C77" s="73"/>
      <c r="D77" s="144" t="str">
        <f>IFERROR(__xludf.DUMMYFUNCTION("""COMPUTED_VALUE"""),"Afectación económica y reputacional por incumplimiento del plan de acción anual de Bienestar Institucional Universitario, debido a debilidades en el seguimiento a dicho plan.")</f>
        <v>Afectación económica y reputacional por incumplimiento del plan de acción anual de Bienestar Institucional Universitario, debido a debilidades en el seguimiento a dicho plan.</v>
      </c>
      <c r="E77" s="144" t="str">
        <f>IFERROR(__xludf.DUMMYFUNCTION("""COMPUTED_VALUE"""),"División de Bienestar Institucional")</f>
        <v>División de Bienestar Institucional</v>
      </c>
      <c r="F77" s="144" t="str">
        <f>IFERROR(__xludf.DUMMYFUNCTION("""COMPUTED_VALUE"""),"Gestión")</f>
        <v>Gestión</v>
      </c>
      <c r="G77" s="144" t="str">
        <f>IFERROR(__xludf.DUMMYFUNCTION("""COMPUTED_VALUE"""),"- Cambios en el contexto interno o externo que afecten la ejecución del plan de acción de Bienestar
- Recortes en el presupuesto
- Debilidades en el seguimiento al plan de acción de Bienestar")</f>
        <v>- Cambios en el contexto interno o externo que afecten la ejecución del plan de acción de Bienestar
- Recortes en el presupuesto
- Debilidades en el seguimiento al plan de acción de Bienestar</v>
      </c>
      <c r="H77" s="144" t="str">
        <f>IFERROR(__xludf.DUMMYFUNCTION("""COMPUTED_VALUE"""),"1. Afectación a los indicadores institucionales.
2. Intervención de órganos de control.
3. Insatisfacción de los usuarios de los servicios de bienestar institucional.")</f>
        <v>1. Afectación a los indicadores institucionales.
2. Intervención de órganos de control.
3. Insatisfacción de los usuarios de los servicios de bienestar institucional.</v>
      </c>
      <c r="I77" s="145" t="str">
        <f>IFERROR(__xludf.DUMMYFUNCTION("""COMPUTED_VALUE"""),"BIN_02")</f>
        <v>BIN_02</v>
      </c>
      <c r="J77" s="145" t="str">
        <f>IFERROR(__xludf.DUMMYFUNCTION("""COMPUTED_VALUE"""),"Media")</f>
        <v>Media</v>
      </c>
      <c r="K77" s="145" t="str">
        <f>IFERROR(__xludf.DUMMYFUNCTION("""COMPUTED_VALUE"""),"Moderado")</f>
        <v>Moderado</v>
      </c>
      <c r="L77" s="145" t="str">
        <f>IFERROR(__xludf.DUMMYFUNCTION("""COMPUTED_VALUE"""),"Alta")</f>
        <v>Alta</v>
      </c>
      <c r="M77" s="144" t="str">
        <f>IFERROR(__xludf.DUMMYFUNCTION("""COMPUTED_VALUE"""),"- El Consejo Superior Universitario, aprueba el POAI para la vigencia, mediante el cual se aseguran los recursos para la ejecución de diferentes actividades en la Universidad, dentro de ellas el Plan de Acción de Bienestar 
- Los coordinadores de área rea"&amp;"lizan seguimiento a las acciones establecidas, con el fin de determinar el nivel de cumplimiento y las acciones a seguir en caso de que no sea aceptable dicho nivel
- El jefe de Bienestar Universitario, realiza seguimiento a la ejecución del Plan de Acció"&amp;"n de Bienestar, con el fin de determinar acciones en caso de bajo cumplimiento del mismo ")</f>
        <v>- El Consejo Superior Universitario, aprueba el POAI para la vigencia, mediante el cual se aseguran los recursos para la ejecución de diferentes actividades en la Universidad, dentro de ellas el Plan de Acción de Bienestar 
- Los coordinadores de área realizan seguimiento a las acciones establecidas, con el fin de determinar el nivel de cumplimiento y las acciones a seguir en caso de que no sea aceptable dicho nivel
- El jefe de Bienestar Universitario, realiza seguimiento a la ejecución del Plan de Acción de Bienestar, con el fin de determinar acciones en caso de bajo cumplimiento del mismo </v>
      </c>
      <c r="N77" s="145" t="str">
        <f>IFERROR(__xludf.DUMMYFUNCTION("""COMPUTED_VALUE"""),"Muy baja")</f>
        <v>Muy baja</v>
      </c>
      <c r="O77" s="145" t="str">
        <f>IFERROR(__xludf.DUMMYFUNCTION("""COMPUTED_VALUE"""),"Moderado")</f>
        <v>Moderado</v>
      </c>
      <c r="P77" s="145" t="str">
        <f>IFERROR(__xludf.DUMMYFUNCTION("""COMPUTED_VALUE"""),"Media")</f>
        <v>Media</v>
      </c>
      <c r="Q77" s="178" t="str">
        <f>IFERROR(__xludf.DUMMYFUNCTION("""COMPUTED_VALUE"""),"Reducir")</f>
        <v>Reducir</v>
      </c>
      <c r="R77" s="158" t="str">
        <f>IFERROR(__xludf.DUMMYFUNCTION("""COMPUTED_VALUE"""),"Consolidar el plan de acción de Bienestar Institucional Universitario")</f>
        <v>Consolidar el plan de acción de Bienestar Institucional Universitario</v>
      </c>
      <c r="S77" s="159" t="str">
        <f>IFERROR(__xludf.DUMMYFUNCTION("""COMPUTED_VALUE"""),"Mensual")</f>
        <v>Mensual</v>
      </c>
      <c r="T77" s="170" t="str">
        <f>IFERROR(__xludf.DUMMYFUNCTION("""COMPUTED_VALUE"""),"Jefe de Bienestar Institucional")</f>
        <v>Jefe de Bienestar Institucional</v>
      </c>
      <c r="U77" s="170" t="str">
        <f>IFERROR(__xludf.DUMMYFUNCTION("""COMPUTED_VALUE"""),"Plan de Acción de Bienestar Institucional")</f>
        <v>Plan de Acción de Bienestar Institucional</v>
      </c>
      <c r="V77" s="167" t="str">
        <f>IFERROR(__xludf.DUMMYFUNCTION("""COMPUTED_VALUE"""),"Modificar el plan de acción de Bienestar Institucional, de acuerdo a los cambios que se presenten en el contexto interno o externo.")</f>
        <v>Modificar el plan de acción de Bienestar Institucional, de acuerdo a los cambios que se presenten en el contexto interno o externo.</v>
      </c>
      <c r="W77" s="167" t="str">
        <f>IFERROR(__xludf.DUMMYFUNCTION("""COMPUTED_VALUE"""),"Actas de Consejo de Bienestar Institucional")</f>
        <v>Actas de Consejo de Bienestar Institucional</v>
      </c>
      <c r="X77" s="169" t="str">
        <f>IFERROR(__xludf.DUMMYFUNCTION("""COMPUTED_VALUE"""),"Consejo de Bienestar Institucional")</f>
        <v>Consejo de Bienestar Institucional</v>
      </c>
      <c r="Y77" s="169" t="str">
        <f>IFERROR(__xludf.DUMMYFUNCTION("""COMPUTED_VALUE"""),"2 meses")</f>
        <v>2 meses</v>
      </c>
      <c r="Z77" s="150" t="str">
        <f>IFERROR(__xludf.DUMMYFUNCTION("""COMPUTED_VALUE"""),"30 de abril")</f>
        <v>30 de abril</v>
      </c>
      <c r="AA77" s="151">
        <f>IFERROR(__xludf.DUMMYFUNCTION("""COMPUTED_VALUE"""),45777.0)</f>
        <v>45777</v>
      </c>
      <c r="AB77" s="150" t="str">
        <f>IFERROR(__xludf.DUMMYFUNCTION("""COMPUTED_VALUE"""),"Durante el primer monitoreo NO se materializó el riesgo ""Afectación económica y reputacional por incuplimiento del Plan de Acción Anual de Bienestar Institucional Universitario, debido a las debilidades en el seguimiento a dicho plan"".
Actividades rela"&amp;"cionadas con los controles:
- A través de la Resolución Superior 040 de 2024 ""Por el cual se aprueba el Plan Operativo Anual de Inversión (POAI) correspondiente a la vigencia  fiscal 2025 y autoriza al Rector a utilizar recusos del Presupuesto General d"&amp;"e la Nación PGN- Inversión, Estampilla ""Universidad de los Llanos"", Estampilla Universidad Nacional de Colombia y demás universidades, Recursos CREE y realizar el trámite correspondiente para contratar la ejecución de los proyectos contemplados en el Pl"&amp;"an Operativo Anual de Inversión (POAI 2025)"". Por esta razón, se anexa la misma en la carpeta correspondiente del primer trimestre del 2025.
- En el mes de abril se creó la herramienta para el seguimiento mensual  del Plan de Acción, con el fin de realiz"&amp;"ar el seguimiento por los coordinadores y asímismo por el jefe de la División de Bienestar Universitario. Por esta razón, sólo se anexa la herramienta, la cual  reflejará los avances en el segundo trimestre del año en curso.
Acciones asociadas al tratam"&amp;"iento:
- A finales del mes de febrero, desde cada área de Bienestar, fueron entregados los cinco planes de acción para el 2025, con el fin de ser unificados y emitir el Plan de Acción de La División de Bienestar Universitario 2025. Asimismo, finalizando "&amp;"el mes de abril, se creó la herramienta, para hacer el seguimiento mensual del PLAN DE ACCIÓN DE BIENESTAR 2025, la cual se estará diligenciando mensualmente.")</f>
        <v>Durante el primer monitoreo NO se materializó el riesgo "Afectación económica y reputacional por incuplimiento del Plan de Acción Anual de Bienestar Institucional Universitario, debido a las debilidades en el seguimiento a dicho plan".
Actividades relacionadas con los controles:
- A través de la Resolución Superior 040 de 2024 "Por el cual se aprueba el Plan Operativo Anual de Inversión (POAI) correspondiente a la vigencia  fiscal 2025 y autoriza al Rector a utilizar recusos del Presupuesto General de la Nación PGN- Inversión, Estampilla "Universidad de los Llanos", Estampilla Universidad Nacional de Colombia y demás universidades, Recursos CREE y realizar el trámite correspondiente para contratar la ejecución de los proyectos contemplados en el Plan Operativo Anual de Inversión (POAI 2025)". Por esta razón, se anexa la misma en la carpeta correspondiente del primer trimestre del 2025.
- En el mes de abril se creó la herramienta para el seguimiento mensual  del Plan de Acción, con el fin de realizar el seguimiento por los coordinadores y asímismo por el jefe de la División de Bienestar Universitario. Por esta razón, sólo se anexa la herramienta, la cual  reflejará los avances en el segundo trimestre del año en curso.
Acciones asociadas al tratamiento:
- A finales del mes de febrero, desde cada área de Bienestar, fueron entregados los cinco planes de acción para el 2025, con el fin de ser unificados y emitir el Plan de Acción de La División de Bienestar Universitario 2025. Asimismo, finalizando el mes de abril, se creó la herramienta, para hacer el seguimiento mensual del PLAN DE ACCIÓN DE BIENESTAR 2025, la cual se estará diligenciando mensualmente.</v>
      </c>
      <c r="AC77" s="152" t="str">
        <f>IFERROR(__xludf.DUMMYFUNCTION("""COMPUTED_VALUE"""),"Jefe División de Bienestar Universitario")</f>
        <v>Jefe División de Bienestar Universitario</v>
      </c>
      <c r="AD77" s="153" t="str">
        <f>IFERROR(__xludf.DUMMYFUNCTION("""COMPUTED_VALUE"""),"Evidencia")</f>
        <v>Evidencia</v>
      </c>
      <c r="AE77" s="150" t="str">
        <f>IFERROR(__xludf.DUMMYFUNCTION("""COMPUTED_VALUE"""),"Si")</f>
        <v>Si</v>
      </c>
      <c r="AF77" s="150" t="str">
        <f>IFERROR(__xludf.DUMMYFUNCTION("""COMPUTED_VALUE"""),"En proceso")</f>
        <v>En proceso</v>
      </c>
      <c r="AG77" s="32" t="str">
        <f>IFERROR(__xludf.DUMMYFUNCTION("""COMPUTED_VALUE"""),"Se evidencia que el proceso reporta el estado sobre la NO materialización del riesgo. 
Sobre las actividades relacionadas con los controles.
Se verifica el primer avance sobre la acción de control 1 estableciendo la aprobación del POAI, se evidencia el "&amp;"reporte de una herramienta de seguimiento mensual al plan de acción la cual esta orientada al seguimiento por los coordinadores justificando la acción de control 2 y 3 debido a que en ella interactuará tambien el jefe de la división, se anexa la herramien"&amp;"ta diseñada sin avance, se recomienda para el proximo monitoreo generar reporte de seguimiento dentro de la herramienta diseñada. 
Sobre las acciones asociadas al tratamiento: 
Accion 1: consolidar el plan de acción de Bienestar Institucional Universit"&amp;"ario, acción de caracter mensual por medio del plan de acción de bienestar, al revisar la evidencia se reporta los 5 planes de acción para el 2025 desde el mes de febrero se generan reportes oportunos para este primer monitoreo. 
Acción 2: Diseñar una he"&amp;"rramienta que permita realizar el seguimiento al plan de acción de Bienestar Institucional Universitario, acción de caracter mensual, se verifican las evidencias y se reporta la herramienta de seguimiento dando cumplimmiento al avance de este primer monit"&amp;"oreo de manera adecuada. ")</f>
        <v>Se evidencia que el proceso reporta el estado sobre la NO materialización del riesgo. 
Sobre las actividades relacionadas con los controles.
Se verifica el primer avance sobre la acción de control 1 estableciendo la aprobación del POAI, se evidencia el reporte de una herramienta de seguimiento mensual al plan de acción la cual esta orientada al seguimiento por los coordinadores justificando la acción de control 2 y 3 debido a que en ella interactuará tambien el jefe de la división, se anexa la herramienta diseñada sin avance, se recomienda para el proximo monitoreo generar reporte de seguimiento dentro de la herramienta diseñada. 
Sobre las acciones asociadas al tratamiento: 
Accion 1: consolidar el plan de acción de Bienestar Institucional Universitario, acción de caracter mensual por medio del plan de acción de bienestar, al revisar la evidencia se reporta los 5 planes de acción para el 2025 desde el mes de febrero se generan reportes oportunos para este primer monitoreo. 
Acción 2: Diseñar una herramienta que permita realizar el seguimiento al plan de acción de Bienestar Institucional Universitario, acción de caracter mensual, se verifican las evidencias y se reporta la herramienta de seguimiento dando cumplimmiento al avance de este primer monitoreo de manera adecuada. </v>
      </c>
      <c r="AH77" s="150" t="str">
        <f>IFERROR(__xludf.DUMMYFUNCTION("""COMPUTED_VALUE"""),"30 de abril")</f>
        <v>30 de abril</v>
      </c>
      <c r="AI77" s="32" t="str">
        <f>IFERROR(__xludf.DUMMYFUNCTION("""COMPUTED_VALUE"""),"Si")</f>
        <v>Si</v>
      </c>
      <c r="AJ77" s="32" t="str">
        <f>IFERROR(__xludf.DUMMYFUNCTION("""COMPUTED_VALUE"""),"Si")</f>
        <v>Si</v>
      </c>
      <c r="AK77" s="32" t="str">
        <f>IFERROR(__xludf.DUMMYFUNCTION("""COMPUTED_VALUE"""),"Si")</f>
        <v>Si</v>
      </c>
      <c r="AL77" s="32" t="str">
        <f>IFERROR(__xludf.DUMMYFUNCTION("""COMPUTED_VALUE"""),"No")</f>
        <v>No</v>
      </c>
      <c r="AM77" s="32" t="str">
        <f>IFERROR(__xludf.DUMMYFUNCTION("""COMPUTED_VALUE"""),"Si")</f>
        <v>Si</v>
      </c>
      <c r="AN77" s="32" t="str">
        <f>IFERROR(__xludf.DUMMYFUNCTION("""COMPUTED_VALUE"""),"Si")</f>
        <v>Si</v>
      </c>
      <c r="AO77" s="32" t="str">
        <f>IFERROR(__xludf.DUMMYFUNCTION("""COMPUTED_VALUE"""),"Si")</f>
        <v>Si</v>
      </c>
      <c r="AP77" s="32" t="str">
        <f>IFERROR(__xludf.DUMMYFUNCTION("""COMPUTED_VALUE"""),"No aplica")</f>
        <v>No aplica</v>
      </c>
      <c r="AQ77" s="32" t="str">
        <f>IFERROR(__xludf.DUMMYFUNCTION("""COMPUTED_VALUE"""),"No aplica")</f>
        <v>No aplica</v>
      </c>
      <c r="AR77" s="32" t="str">
        <f>IFERROR(__xludf.DUMMYFUNCTION("""COMPUTED_VALUE"""),"No aplica")</f>
        <v>No aplica</v>
      </c>
      <c r="AS77" s="150" t="str">
        <f>IFERROR(__xludf.DUMMYFUNCTION("""COMPUTED_VALUE"""),"Recomendaciones:
*Validar la adecuación de la herramienta diseñada para aplicación del control No. 3. El encabezado se refiere a la vigencia 2024.
*Garantizar la ejecución del control No. 3 toda vez que al corte del primer cuatrimestre no se reportó su ej"&amp;"ución.
*Establecer fecha o periodicidad de cada uno de los controles, considerando que no todos tienen la misma frecuencia no se realizar de manera permanente.")</f>
        <v>Recomendaciones:
*Validar la adecuación de la herramienta diseñada para aplicación del control No. 3. El encabezado se refiere a la vigencia 2024.
*Garantizar la ejecución del control No. 3 toda vez que al corte del primer cuatrimestre no se reportó su ejución.
*Establecer fecha o periodicidad de cada uno de los controles, considerando que no todos tienen la misma frecuencia no se realizar de manera permanente.</v>
      </c>
      <c r="AT77" s="139"/>
    </row>
    <row r="78">
      <c r="A78" s="86"/>
      <c r="B78" s="73"/>
      <c r="C78" s="73"/>
      <c r="D78" s="156"/>
      <c r="E78" s="156"/>
      <c r="F78" s="156"/>
      <c r="G78" s="156"/>
      <c r="H78" s="156"/>
      <c r="I78" s="156"/>
      <c r="J78" s="156"/>
      <c r="K78" s="156"/>
      <c r="L78" s="156"/>
      <c r="M78" s="156"/>
      <c r="N78" s="156"/>
      <c r="O78" s="156"/>
      <c r="P78" s="156"/>
      <c r="Q78" s="157"/>
      <c r="R78" s="158" t="str">
        <f>IFERROR(__xludf.DUMMYFUNCTION("""COMPUTED_VALUE"""),"Diseñar una herramienta que permita realizar el seguimiento al Plan de acción de Bienestar Institucional Universitario")</f>
        <v>Diseñar una herramienta que permita realizar el seguimiento al Plan de acción de Bienestar Institucional Universitario</v>
      </c>
      <c r="S78" s="159" t="str">
        <f>IFERROR(__xludf.DUMMYFUNCTION("""COMPUTED_VALUE"""),"Mensual")</f>
        <v>Mensual</v>
      </c>
      <c r="T78" s="170" t="str">
        <f>IFERROR(__xludf.DUMMYFUNCTION("""COMPUTED_VALUE"""),"Jefe de Bienestar Institucional")</f>
        <v>Jefe de Bienestar Institucional</v>
      </c>
      <c r="U78" s="170" t="str">
        <f>IFERROR(__xludf.DUMMYFUNCTION("""COMPUTED_VALUE"""),"Herramienta de seguimiento")</f>
        <v>Herramienta de seguimiento</v>
      </c>
      <c r="V78" s="94"/>
      <c r="W78" s="94"/>
      <c r="X78" s="94"/>
      <c r="Y78" s="94"/>
      <c r="Z78" s="150" t="str">
        <f>IFERROR(__xludf.DUMMYFUNCTION("""COMPUTED_VALUE"""),"30 de agosto")</f>
        <v>30 de agosto</v>
      </c>
      <c r="AA78" s="151">
        <f>IFERROR(__xludf.DUMMYFUNCTION("""COMPUTED_VALUE"""),45898.0)</f>
        <v>45898</v>
      </c>
      <c r="AB78" s="150" t="str">
        <f>IFERROR(__xludf.DUMMYFUNCTION("""COMPUTED_VALUE"""),"Monitoreo del Riesgo DOS:
Durante el primer monitoreo, NO se evidenció la materialización del riesgo identificado como:
""Afectación económica y reputacional por incumplimiento del Plan de Acción Anual de Bienestar Institucional Universitario, debido a d"&amp;"ebilidades en el seguimiento a dicho plan.""
Actividades relacionadas con los controles:
Se realizó un seguimiento riguroso al Plan de Acción de Bienestar Institucional correspondiente a la vigencia 2025, con el acompañamiento de las Coordinaciones de B"&amp;"ienestar Institucional. Este seguimiento permitió verificar el avance efectivo en la implementación de las líneas estratégicas establecidas en la Política de Bienestar Institucional, en el marco del Acuerdo Superior 011 de 2024.
Las acciones ejecutadas a"&amp;"barcaron los siguientes ejes:
·        Salud mental y competencias para la vida
·        Salud integral y autocuidado
·        Actividad física y deporte
·        Cultura y expresiones artísticas
·        Promoción socioeconómica
·        Fortalecim"&amp;"iento académico y convivencia institucional
Este ejercicio de control y seguimiento no solo fortalece la planeación y ejecución interna, sino que contribuye activamente al cumplimiento de los principios de calidad en la educación superior, garantizando q"&amp;"ue los servicios de bienestar impacten positivamente en la formación integral de los estudiantes, el clima institucional y el desarrollo humano de la comunidad universitaria.
Acciones asociadas al tratamiento del riesgo:
·         En el marco del fortal"&amp;"ecimiento institucional y del principio de responsabilidad pública, los coordinadores de la División de Bienestar Institucional presentaron los Informes de Gestión correspondientes al semestre 2025-1. Dichos informes, revisados por la jefatura, consolidan"&amp;" de forma sistemática la ejecución de las estrategias del Plan de Acción de Bienestar Institucional.
·         Este proceso de rendición de cuentas permite demostrar el cumplimiento de los objetivos trazados, promoviendo la trazabilidad, eficiencia y tra"&amp;"nsparencia en la gestión institucional. De este modo, se garantiza que los recursos públicos sean gestionados con responsabilidad, coherencia y alineación con los fines misionales de la educación superior, en consonancia con los marcos normativos que rige"&amp;"n la función pública.
·         Asimismo, estas acciones se articulan con los lineamientos del Sistema de Gestión de la Calidad de la Universidad, en tanto se orientan a la mejora continua, el aseguramiento de procesos eficaces y la consolidación de una "&amp;"cultura institucional basada en la ética, la responsabilidad social y la excelencia académica.
 ")</f>
        <v>Monitoreo del Riesgo DOS:
Durante el primer monitoreo, NO se evidenció la materialización del riesgo identificado como:
"Afectación económica y reputacional por incumplimiento del Plan de Acción Anual de Bienestar Institucional Universitario, debido a debilidades en el seguimiento a dicho plan."
Actividades relacionadas con los controles:
Se realizó un seguimiento riguroso al Plan de Acción de Bienestar Institucional correspondiente a la vigencia 2025, con el acompañamiento de las Coordinaciones de Bienestar Institucional. Este seguimiento permitió verificar el avance efectivo en la implementación de las líneas estratégicas establecidas en la Política de Bienestar Institucional, en el marco del Acuerdo Superior 011 de 2024.
Las acciones ejecutadas abarcaron los siguientes ejes:
·        Salud mental y competencias para la vida
·        Salud integral y autocuidado
·        Actividad física y deporte
·        Cultura y expresiones artísticas
·        Promoción socioeconómica
·        Fortalecimiento académico y convivencia institucional
Este ejercicio de control y seguimiento no solo fortalece la planeación y ejecución interna, sino que contribuye activamente al cumplimiento de los principios de calidad en la educación superior, garantizando que los servicios de bienestar impacten positivamente en la formación integral de los estudiantes, el clima institucional y el desarrollo humano de la comunidad universitaria.
Acciones asociadas al tratamiento del riesgo:
·         En el marco del fortalecimiento institucional y del principio de responsabilidad pública, los coordinadores de la División de Bienestar Institucional presentaron los Informes de Gestión correspondientes al semestre 2025-1. Dichos informes, revisados por la jefatura, consolidan de forma sistemática la ejecución de las estrategias del Plan de Acción de Bienestar Institucional.
·         Este proceso de rendición de cuentas permite demostrar el cumplimiento de los objetivos trazados, promoviendo la trazabilidad, eficiencia y transparencia en la gestión institucional. De este modo, se garantiza que los recursos públicos sean gestionados con responsabilidad, coherencia y alineación con los fines misionales de la educación superior, en consonancia con los marcos normativos que rigen la función pública.
·         Asimismo, estas acciones se articulan con los lineamientos del Sistema de Gestión de la Calidad de la Universidad, en tanto se orientan a la mejora continua, el aseguramiento de procesos eficaces y la consolidación de una cultura institucional basada en la ética, la responsabilidad social y la excelencia académica.
 </v>
      </c>
      <c r="AC78" s="152" t="str">
        <f>IFERROR(__xludf.DUMMYFUNCTION("""COMPUTED_VALUE"""),"Jefe División de Bienestar Universitario")</f>
        <v>Jefe División de Bienestar Universitario</v>
      </c>
      <c r="AD78" s="153" t="str">
        <f>IFERROR(__xludf.DUMMYFUNCTION("""COMPUTED_VALUE"""),"Evidencia")</f>
        <v>Evidencia</v>
      </c>
      <c r="AE78" s="150" t="str">
        <f>IFERROR(__xludf.DUMMYFUNCTION("""COMPUTED_VALUE"""),"Si")</f>
        <v>Si</v>
      </c>
      <c r="AF78" s="152" t="str">
        <f>IFERROR(__xludf.DUMMYFUNCTION("""COMPUTED_VALUE"""),"En proceso")</f>
        <v>En proceso</v>
      </c>
      <c r="AG78" s="32" t="str">
        <f>IFERROR(__xludf.DUMMYFUNCTION("""COMPUTED_VALUE"""),"Se evidencia que el riesgo no se materializó.
Sobre los controles:
Se realizó seguimiento al Plan de Acción de Bienestar Institucional 2025, con acompañamiento de las coordinaciones, verificando el avance en las líneas estratégicas definidas en la Políti"&amp;"ca de Bienestar Institucional (Acuerdo Superior 011 de 2024). Este control incluyó los ejes de salud mental, salud integral, actividad física, cultura, promoción socioeconómica y fortalecimiento académico, lo que permitió evidenciar cumplimiento y fortale"&amp;"cer la planeación y ejecución de las actividades.
Sobre las acciones:
Se presentaron los informes de gestión del semestre 2025-1 por parte de los coordinadores de la División de Bienestar Institucional, los cuales fueron revisados y consolidados por la j"&amp;"efatura. Con ello se da cumplimiento a las acciones de tratamiento de consolidar y dar seguimiento al Plan de Acción de Bienestar, evidenciándose trazabilidad y transparencia en la gestión. Se recomienda continuar con la utilización de herramientas que fo"&amp;"rtalezcan el seguimiento periódico y garanticen la eficiencia y alineación con el Sistema de Gestión de la Calidad.")</f>
        <v>Se evidencia que el riesgo no se materializó.
Sobre los controles:
Se realizó seguimiento al Plan de Acción de Bienestar Institucional 2025, con acompañamiento de las coordinaciones, verificando el avance en las líneas estratégicas definidas en la Política de Bienestar Institucional (Acuerdo Superior 011 de 2024). Este control incluyó los ejes de salud mental, salud integral, actividad física, cultura, promoción socioeconómica y fortalecimiento académico, lo que permitió evidenciar cumplimiento y fortalecer la planeación y ejecución de las actividades.
Sobre las acciones:
Se presentaron los informes de gestión del semestre 2025-1 por parte de los coordinadores de la División de Bienestar Institucional, los cuales fueron revisados y consolidados por la jefatura. Con ello se da cumplimiento a las acciones de tratamiento de consolidar y dar seguimiento al Plan de Acción de Bienestar, evidenciándose trazabilidad y transparencia en la gestión. Se recomienda continuar con la utilización de herramientas que fortalezcan el seguimiento periódico y garanticen la eficiencia y alineación con el Sistema de Gestión de la Calidad.</v>
      </c>
      <c r="AH78" s="150" t="str">
        <f>IFERROR(__xludf.DUMMYFUNCTION("""COMPUTED_VALUE"""),"31 de agosto")</f>
        <v>31 de agosto</v>
      </c>
      <c r="AI78" s="32" t="str">
        <f>IFERROR(__xludf.DUMMYFUNCTION("""COMPUTED_VALUE"""),"Si")</f>
        <v>Si</v>
      </c>
      <c r="AJ78" s="32" t="str">
        <f>IFERROR(__xludf.DUMMYFUNCTION("""COMPUTED_VALUE"""),"Si")</f>
        <v>Si</v>
      </c>
      <c r="AK78" s="32" t="str">
        <f>IFERROR(__xludf.DUMMYFUNCTION("""COMPUTED_VALUE"""),"Si")</f>
        <v>Si</v>
      </c>
      <c r="AL78" s="32" t="str">
        <f>IFERROR(__xludf.DUMMYFUNCTION("""COMPUTED_VALUE"""),"No")</f>
        <v>No</v>
      </c>
      <c r="AM78" s="32" t="str">
        <f>IFERROR(__xludf.DUMMYFUNCTION("""COMPUTED_VALUE"""),"Si")</f>
        <v>Si</v>
      </c>
      <c r="AN78" s="32" t="str">
        <f>IFERROR(__xludf.DUMMYFUNCTION("""COMPUTED_VALUE"""),"Si")</f>
        <v>Si</v>
      </c>
      <c r="AO78" s="32" t="str">
        <f>IFERROR(__xludf.DUMMYFUNCTION("""COMPUTED_VALUE"""),"Si")</f>
        <v>Si</v>
      </c>
      <c r="AP78" s="32" t="str">
        <f>IFERROR(__xludf.DUMMYFUNCTION("""COMPUTED_VALUE"""),"No aplica")</f>
        <v>No aplica</v>
      </c>
      <c r="AQ78" s="32" t="str">
        <f>IFERROR(__xludf.DUMMYFUNCTION("""COMPUTED_VALUE"""),"No aplica")</f>
        <v>No aplica</v>
      </c>
      <c r="AR78" s="32" t="str">
        <f>IFERROR(__xludf.DUMMYFUNCTION("""COMPUTED_VALUE"""),"No aplica")</f>
        <v>No aplica</v>
      </c>
      <c r="AS78" s="150" t="str">
        <f>IFERROR(__xludf.DUMMYFUNCTION("""COMPUTED_VALUE"""),"Ninguna")</f>
        <v>Ninguna</v>
      </c>
      <c r="AT78" s="139"/>
    </row>
    <row r="79">
      <c r="A79" s="86"/>
      <c r="B79" s="38"/>
      <c r="C79" s="38"/>
      <c r="D79" s="119"/>
      <c r="E79" s="119"/>
      <c r="F79" s="119"/>
      <c r="G79" s="119"/>
      <c r="H79" s="119"/>
      <c r="I79" s="119"/>
      <c r="J79" s="119"/>
      <c r="K79" s="119"/>
      <c r="L79" s="119"/>
      <c r="M79" s="119"/>
      <c r="N79" s="119"/>
      <c r="O79" s="119"/>
      <c r="P79" s="119"/>
      <c r="Q79" s="162"/>
      <c r="R79" s="163" t="str">
        <f>IFERROR(__xludf.DUMMYFUNCTION("""COMPUTED_VALUE"""),"")</f>
        <v/>
      </c>
      <c r="S79" s="164" t="str">
        <f>IFERROR(__xludf.DUMMYFUNCTION("""COMPUTED_VALUE"""),"")</f>
        <v/>
      </c>
      <c r="T79" s="176"/>
      <c r="U79" s="176"/>
      <c r="V79" s="98"/>
      <c r="W79" s="98"/>
      <c r="X79" s="98"/>
      <c r="Y79" s="98"/>
      <c r="Z79" s="150" t="str">
        <f>IFERROR(__xludf.DUMMYFUNCTION("""COMPUTED_VALUE"""),"30 de diciembre")</f>
        <v>30 de diciembre</v>
      </c>
      <c r="AA79" s="184">
        <f>IFERROR(__xludf.DUMMYFUNCTION("""COMPUTED_VALUE"""),45996.0)</f>
        <v>45996</v>
      </c>
      <c r="AB79" s="150" t="str">
        <f>IFERROR(__xludf.DUMMYFUNCTION("""COMPUTED_VALUE"""),"Durante el tercer monitoreo no se evidenció la materialización del riesgo identificado como “Afectación económica y reputacional por incumplimiento del Plan de Acción Anual de Bienestar Institucional Universitario”, riesgo asociado a debilidades en los pr"&amp;"ocesos de seguimiento del mencionado plan. Los resultados obtenidos indican que las actividades programadas se han venido desarrollando conforme a lo establecido, lo que disminuye la probabilidad de ocurrencia del riesgo.
En cuanto a las actividades relac"&amp;"ionadas con los controles, se adelantó un seguimiento al Plan de Acción de Bienestar Institucional correspondiente a la vigencia 2025. Este ejercicio permitió verificar el cumplimiento y resultados de plan en la vigencia, esto en coherencia con la Polític"&amp;"a de Bienestar Institucional, en concordancia con lo estipulado en el Acuerdo Superior 011 de 2024.
Las acciones ejecutadas se articularon alrededor de los ejes de salud mental y competencias para la vida, salud integral y autocuidado, actividad física y "&amp;"deporte, cultura y expresiones artísticas, promoción socioeconómica, y fortalecimiento académico y convivencia institucional. Cada uno de estos componentes mostró progresos significativos, evidenciando una adecuada gestión de los recursos y esfuerzos inst"&amp;"itucionales.
Este ejercicio de control y seguimiento no solo fortaleció la planeación y la ejecución interna del plan, sino que también contribuyó al cumplimiento de los principios de calidad en la educación superior. Gracias a ello, se garantiza que los "&amp;"servicios de bienestar generen un impacto positivo en la formación integral de los estudiantes, al igual que en el clima institucional y en el desarrollo humano de la comunidad universitaria.
Acciones asociadas al tratamiento del riesgo:
• En el marco de"&amp;"l fortalecimiento institucional y del principio de responsabilidad pública, la División de Bienestar Institucional presento el Informe de Resultados del Plan de Acción de Bienestar 2025, documento que resume los avances, logros y lecciones aprendidas dura"&amp;"nte la ejecución de las actividades planificadas. Este informe fue socializado a través del sitio web de la Universidad, en el menú Participa, asegurando así la transparencia y el acceso libre a la información por parte de toda la comunidad universitaria "&amp;"y la sociedad en general. La publicación del informe permite que estudiantes, docentes, personal administrativo y público externo puedan conocer de manera detallada los resultados obtenidos y el impacto de las iniciativas de bienestar en el desarrollo int"&amp;"egral de la comunidad universitaria.
Link: https://unillanos.edu.co/index.php/documentacion/participa/6-2-3-consulta-ciudadana-1/2025-9/8374-informe-seguimiento-plan-de-accion-2025-enero-septiembre/file
• Estas acciones se encuentran plenamente alineada"&amp;"s con los lineamientos del Sistema de Gestión de la Calidad de la Universidad, dado que fomentan la mejora continua de los procesos institucionales, la eficiencia en la implementación de proyectos y el cumplimiento de los objetivos estratégicos de la orga"&amp;"nización. Además, contribuyen a la consolidación de una cultura institucional sólida, basada en la ética, la responsabilidad social, la excelencia académica y la promoción del bienestar colectivo. De esta manera, la gestión del bienestar no solo impacta p"&amp;"ositivamente en la calidad de vida de los estudiantes y colaboradores, sino que también fortalece la confianza en la institución, reafirma su compromiso con la sociedad y garantiza la sostenibilidad de sus programas y servicios en el largo plazo.
       "&amp;"                                                         
                                                   "&amp;"                     
")</f>
        <v>Durante el tercer monitoreo no se evidenció la materialización del riesgo identificado como “Afectación económica y reputacional por incumplimiento del Plan de Acción Anual de Bienestar Institucional Universitario”, riesgo asociado a debilidades en los procesos de seguimiento del mencionado plan. Los resultados obtenidos indican que las actividades programadas se han venido desarrollando conforme a lo establecido, lo que disminuye la probabilidad de ocurrencia del riesgo.
En cuanto a las actividades relacionadas con los controles, se adelantó un seguimiento al Plan de Acción de Bienestar Institucional correspondiente a la vigencia 2025. Este ejercicio permitió verificar el cumplimiento y resultados de plan en la vigencia, esto en coherencia con la Política de Bienestar Institucional, en concordancia con lo estipulado en el Acuerdo Superior 011 de 2024.
Las acciones ejecutadas se articularon alrededor de los ejes de salud mental y competencias para la vida, salud integral y autocuidado, actividad física y deporte, cultura y expresiones artísticas, promoción socioeconómica, y fortalecimiento académico y convivencia institucional. Cada uno de estos componentes mostró progresos significativos, evidenciando una adecuada gestión de los recursos y esfuerzos institucionales.
Este ejercicio de control y seguimiento no solo fortaleció la planeación y la ejecución interna del plan, sino que también contribuyó al cumplimiento de los principios de calidad en la educación superior. Gracias a ello, se garantiza que los servicios de bienestar generen un impacto positivo en la formación integral de los estudiantes, al igual que en el clima institucional y en el desarrollo humano de la comunidad universitaria.
Acciones asociadas al tratamiento del riesgo:
• En el marco del fortalecimiento institucional y del principio de responsabilidad pública, la División de Bienestar Institucional presento el Informe de Resultados del Plan de Acción de Bienestar 2025, documento que resume los avances, logros y lecciones aprendidas durante la ejecución de las actividades planificadas. Este informe fue socializado a través del sitio web de la Universidad, en el menú Participa, asegurando así la transparencia y el acceso libre a la información por parte de toda la comunidad universitaria y la sociedad en general. La publicación del informe permite que estudiantes, docentes, personal administrativo y público externo puedan conocer de manera detallada los resultados obtenidos y el impacto de las iniciativas de bienestar en el desarrollo integral de la comunidad universitaria.
Link: https://unillanos.edu.co/index.php/documentacion/participa/6-2-3-consulta-ciudadana-1/2025-9/8374-informe-seguimiento-plan-de-accion-2025-enero-septiembre/file
• Estas acciones se encuentran plenamente alineadas con los lineamientos del Sistema de Gestión de la Calidad de la Universidad, dado que fomentan la mejora continua de los procesos institucionales, la eficiencia en la implementación de proyectos y el cumplimiento de los objetivos estratégicos de la organización. Además, contribuyen a la consolidación de una cultura institucional sólida, basada en la ética, la responsabilidad social, la excelencia académica y la promoción del bienestar colectivo. De esta manera, la gestión del bienestar no solo impacta positivamente en la calidad de vida de los estudiantes y colaboradores, sino que también fortalece la confianza en la institución, reafirma su compromiso con la sociedad y garantiza la sostenibilidad de sus programas y servicios en el largo plazo.
</v>
      </c>
      <c r="AC79" s="152" t="str">
        <f>IFERROR(__xludf.DUMMYFUNCTION("""COMPUTED_VALUE"""),"Jefe División de Bienestar Universitario")</f>
        <v>Jefe División de Bienestar Universitario</v>
      </c>
      <c r="AD79" s="153" t="str">
        <f>IFERROR(__xludf.DUMMYFUNCTION("""COMPUTED_VALUE"""),"Evidencia")</f>
        <v>Evidencia</v>
      </c>
      <c r="AE79" s="150" t="str">
        <f>IFERROR(__xludf.DUMMYFUNCTION("""COMPUTED_VALUE"""),"Si")</f>
        <v>Si</v>
      </c>
      <c r="AF79" s="152" t="str">
        <f>IFERROR(__xludf.DUMMYFUNCTION("""COMPUTED_VALUE"""),"Ejecutada")</f>
        <v>Ejecutada</v>
      </c>
      <c r="AG79" s="32" t="str">
        <f>IFERROR(__xludf.DUMMYFUNCTION("""COMPUTED_VALUE"""),"Se evidencia que el riesgo no se materializó durante el tercer monitoreo. El proceso reporta el desarrollo continuo de las actividades del Plan de Acción Anual de Bienestar Institucional, lo cual disminuye la probabilidad de ocurrencia del riesgo asociado"&amp;" al incumplimiento del plan.
Sobre los controles:
Durante el período evaluado se realizó seguimiento al Plan de Acción de Bienestar Institucional correspondiente a la vigencia 2025, verificando el cumplimiento de las actividades programadas y los resulta"&amp;"dos obtenidos, en coherencia con la Política de Bienestar Institucional y lo establecido en el Acuerdo Superior 011 de 2024. Las acciones ejecutadas en los diferentes ejes estratégicos evidencian una adecuada planeación, ejecución y control del plan, así "&amp;"como una gestión eficiente de los recursos, lo que contribuye al cumplimiento de los objetivos institucionales y a la mitigación del riesgo identificado.
Sobre las acciones de tratamiento:
Como acción de tratamiento, la División de Bienestar Instituciona"&amp;"l presentó y socializó el Informe de Resultados del Plan de Acción de Bienestar 2025 a través del sitio web institucional, garantizando la transparencia y el acceso a la información por parte de la comunidad universitaria y la ciudadanía. Las acciones des"&amp;"arrolladas se encuentran alineadas con el Sistema de Gestión de la Calidad y permiten dar cumplimiento a la acción de tratamiento definida para el período, fortaleciendo la mejora continua y la sostenibilidad de los servicios de bienestar institucional.")</f>
        <v>Se evidencia que el riesgo no se materializó durante el tercer monitoreo. El proceso reporta el desarrollo continuo de las actividades del Plan de Acción Anual de Bienestar Institucional, lo cual disminuye la probabilidad de ocurrencia del riesgo asociado al incumplimiento del plan.
Sobre los controles:
Durante el período evaluado se realizó seguimiento al Plan de Acción de Bienestar Institucional correspondiente a la vigencia 2025, verificando el cumplimiento de las actividades programadas y los resultados obtenidos, en coherencia con la Política de Bienestar Institucional y lo establecido en el Acuerdo Superior 011 de 2024. Las acciones ejecutadas en los diferentes ejes estratégicos evidencian una adecuada planeación, ejecución y control del plan, así como una gestión eficiente de los recursos, lo que contribuye al cumplimiento de los objetivos institucionales y a la mitigación del riesgo identificado.
Sobre las acciones de tratamiento:
Como acción de tratamiento, la División de Bienestar Institucional presentó y socializó el Informe de Resultados del Plan de Acción de Bienestar 2025 a través del sitio web institucional, garantizando la transparencia y el acceso a la información por parte de la comunidad universitaria y la ciudadanía. Las acciones desarrolladas se encuentran alineadas con el Sistema de Gestión de la Calidad y permiten dar cumplimiento a la acción de tratamiento definida para el período, fortaleciendo la mejora continua y la sostenibilidad de los servicios de bienestar institucional.</v>
      </c>
      <c r="AH79" s="150" t="str">
        <f>IFERROR(__xludf.DUMMYFUNCTION("""COMPUTED_VALUE"""),"31 de diciembre")</f>
        <v>31 de diciembre</v>
      </c>
      <c r="AI79" s="32"/>
      <c r="AJ79" s="32" t="str">
        <f>IFERROR(__xludf.DUMMYFUNCTION("""COMPUTED_VALUE"""),"Si")</f>
        <v>Si</v>
      </c>
      <c r="AK79" s="32" t="str">
        <f>IFERROR(__xludf.DUMMYFUNCTION("""COMPUTED_VALUE"""),"Si")</f>
        <v>Si</v>
      </c>
      <c r="AL79" s="32" t="str">
        <f>IFERROR(__xludf.DUMMYFUNCTION("""COMPUTED_VALUE"""),"No")</f>
        <v>No</v>
      </c>
      <c r="AM79" s="32" t="str">
        <f>IFERROR(__xludf.DUMMYFUNCTION("""COMPUTED_VALUE"""),"Si")</f>
        <v>Si</v>
      </c>
      <c r="AN79" s="32" t="str">
        <f>IFERROR(__xludf.DUMMYFUNCTION("""COMPUTED_VALUE"""),"Si")</f>
        <v>Si</v>
      </c>
      <c r="AO79" s="32" t="str">
        <f>IFERROR(__xludf.DUMMYFUNCTION("""COMPUTED_VALUE"""),"Si")</f>
        <v>Si</v>
      </c>
      <c r="AP79" s="32" t="str">
        <f>IFERROR(__xludf.DUMMYFUNCTION("""COMPUTED_VALUE"""),"No aplica")</f>
        <v>No aplica</v>
      </c>
      <c r="AQ79" s="32" t="str">
        <f>IFERROR(__xludf.DUMMYFUNCTION("""COMPUTED_VALUE"""),"No aplica")</f>
        <v>No aplica</v>
      </c>
      <c r="AR79" s="32" t="str">
        <f>IFERROR(__xludf.DUMMYFUNCTION("""COMPUTED_VALUE"""),"No aplica")</f>
        <v>No aplica</v>
      </c>
      <c r="AS79" s="150" t="str">
        <f>IFERROR(__xludf.DUMMYFUNCTION("""COMPUTED_VALUE"""),"Ninguna")</f>
        <v>Ninguna</v>
      </c>
      <c r="AT79" s="139"/>
    </row>
    <row r="80">
      <c r="A80" s="86"/>
      <c r="B80" s="140" t="s">
        <v>226</v>
      </c>
      <c r="C80" s="141" t="str">
        <f>IFERROR(__xludf.DUMMYFUNCTION("IMPORTRANGE(""https://docs.google.com/spreadsheets/d/1S_FRLgvBlpGx26qvs4uDy38e--4PrQfS5l00mIKMSq8/edit?gid=1094014233#gid=1094014233"",""Matriz_riesgos!C11:AS19"")"),"Administrar de manera eficiente y eficaz los recursos financieros de la Universidad, garantizando el cumplimiento de los compromisos adquiridos con la comunidad y los entes de control. ")</f>
        <v>Administrar de manera eficiente y eficaz los recursos financieros de la Universidad, garantizando el cumplimiento de los compromisos adquiridos con la comunidad y los entes de control. </v>
      </c>
      <c r="D80" s="144" t="str">
        <f>IFERROR(__xludf.DUMMYFUNCTION("""COMPUTED_VALUE"""),"Detrimento en la imagen institucional por incumplimiento inoportunidad o inexactitud en la entrega de reportes de información a la oficina de contabilidad")</f>
        <v>Detrimento en la imagen institucional por incumplimiento inoportunidad o inexactitud en la entrega de reportes de información a la oficina de contabilidad</v>
      </c>
      <c r="E80" s="144" t="str">
        <f>IFERROR(__xludf.DUMMYFUNCTION("""COMPUTED_VALUE"""),"Oficina de contabilidad")</f>
        <v>Oficina de contabilidad</v>
      </c>
      <c r="F80" s="144" t="str">
        <f>IFERROR(__xludf.DUMMYFUNCTION("""COMPUTED_VALUE"""),"Financiero")</f>
        <v>Financiero</v>
      </c>
      <c r="G80" s="144" t="str">
        <f>IFERROR(__xludf.DUMMYFUNCTION("""COMPUTED_VALUE"""),"- Entrega inoportuna de la información pertinente por parte de las dependencias de la Instituciòn
-Desconocimiento de la importancia, priorizaciòn y autocontrol de los responsables de la información a suministrar
")</f>
        <v>- Entrega inoportuna de la información pertinente por parte de las dependencias de la Instituciòn
-Desconocimiento de la importancia, priorizaciòn y autocontrol de los responsables de la información a suministrar
</v>
      </c>
      <c r="H80" s="144" t="str">
        <f>IFERROR(__xludf.DUMMYFUNCTION("""COMPUTED_VALUE"""),"- Generación de procesos
- Sanciones fiscales")</f>
        <v>- Generación de procesos
- Sanciones fiscales</v>
      </c>
      <c r="I80" s="145" t="str">
        <f>IFERROR(__xludf.DUMMYFUNCTION("""COMPUTED_VALUE"""),"FIN_01")</f>
        <v>FIN_01</v>
      </c>
      <c r="J80" s="145" t="str">
        <f>IFERROR(__xludf.DUMMYFUNCTION("""COMPUTED_VALUE"""),"Baja")</f>
        <v>Baja</v>
      </c>
      <c r="K80" s="145" t="str">
        <f>IFERROR(__xludf.DUMMYFUNCTION("""COMPUTED_VALUE"""),"Menor")</f>
        <v>Menor</v>
      </c>
      <c r="L80" s="145" t="str">
        <f>IFERROR(__xludf.DUMMYFUNCTION("""COMPUTED_VALUE"""),"Baja")</f>
        <v>Baja</v>
      </c>
      <c r="M80" s="144" t="str">
        <f>IFERROR(__xludf.DUMMYFUNCTION("""COMPUTED_VALUE"""),"- El Contador establece el cronograma de entrega de informes al área de contabilidad, con el fin de identiticar las fechas oportunas para el reporte de información
- El Contador hace seguimiento al cronograma de entrega de informes al área de contabilidad"&amp;", con el fin de indentificar posibles retrasos en el reporte de información 
- El profesional de contabilidad, revisa la idoneidad de la información, con el fin de evitar errores en los reportes   ")</f>
        <v>- El Contador establece el cronograma de entrega de informes al área de contabilidad, con el fin de identiticar las fechas oportunas para el reporte de información
- El Contador hace seguimiento al cronograma de entrega de informes al área de contabilidad, con el fin de indentificar posibles retrasos en el reporte de información 
- El profesional de contabilidad, revisa la idoneidad de la información, con el fin de evitar errores en los reportes   </v>
      </c>
      <c r="N80" s="145" t="str">
        <f>IFERROR(__xludf.DUMMYFUNCTION("""COMPUTED_VALUE"""),"Muy baja")</f>
        <v>Muy baja</v>
      </c>
      <c r="O80" s="145" t="str">
        <f>IFERROR(__xludf.DUMMYFUNCTION("""COMPUTED_VALUE"""),"Menor")</f>
        <v>Menor</v>
      </c>
      <c r="P80" s="145" t="str">
        <f>IFERROR(__xludf.DUMMYFUNCTION("""COMPUTED_VALUE"""),"Baja")</f>
        <v>Baja</v>
      </c>
      <c r="Q80" s="178" t="str">
        <f>IFERROR(__xludf.DUMMYFUNCTION("""COMPUTED_VALUE"""),"Aceptar")</f>
        <v>Aceptar</v>
      </c>
      <c r="R80" s="158" t="str">
        <f>IFERROR(__xludf.DUMMYFUNCTION("""COMPUTED_VALUE"""),"Ya que se acepta el riesgo, no se determinan acciones de tratamiento, sin embargo se monitorea la aplicación de los controles")</f>
        <v>Ya que se acepta el riesgo, no se determinan acciones de tratamiento, sin embargo se monitorea la aplicación de los controles</v>
      </c>
      <c r="S80" s="159" t="str">
        <f>IFERROR(__xludf.DUMMYFUNCTION("""COMPUTED_VALUE"""),"N/A")</f>
        <v>N/A</v>
      </c>
      <c r="T80" s="159" t="str">
        <f>IFERROR(__xludf.DUMMYFUNCTION("""COMPUTED_VALUE"""),"N/A")</f>
        <v>N/A</v>
      </c>
      <c r="U80" s="159" t="str">
        <f>IFERROR(__xludf.DUMMYFUNCTION("""COMPUTED_VALUE"""),"N/A")</f>
        <v>N/A</v>
      </c>
      <c r="V80" s="167" t="str">
        <f>IFERROR(__xludf.DUMMYFUNCTION("""COMPUTED_VALUE"""),"- Solicitar a traves del correo la información pertinente a las dependencias
- Revisar información más actual suministrada por la dependencia y de acuerdo a esta se ajusta la información contable
")</f>
        <v>- Solicitar a traves del correo la información pertinente a las dependencias
- Revisar información más actual suministrada por la dependencia y de acuerdo a esta se ajusta la información contable
</v>
      </c>
      <c r="W80" s="167" t="str">
        <f>IFERROR(__xludf.DUMMYFUNCTION("""COMPUTED_VALUE"""),"Correos enviados")</f>
        <v>Correos enviados</v>
      </c>
      <c r="X80" s="169" t="str">
        <f>IFERROR(__xludf.DUMMYFUNCTION("""COMPUTED_VALUE"""),"Jefe de Contabilidad")</f>
        <v>Jefe de Contabilidad</v>
      </c>
      <c r="Y80" s="169" t="str">
        <f>IFERROR(__xludf.DUMMYFUNCTION("""COMPUTED_VALUE"""),"Màximo 30 días después")</f>
        <v>Màximo 30 días después</v>
      </c>
      <c r="Z80" s="150" t="str">
        <f>IFERROR(__xludf.DUMMYFUNCTION("""COMPUTED_VALUE"""),"30 de abril")</f>
        <v>30 de abril</v>
      </c>
      <c r="AA80" s="32" t="str">
        <f>IFERROR(__xludf.DUMMYFUNCTION("""COMPUTED_VALUE"""),"15-01-2025
18-02-2025
20-02-2025
03-03-2025
26-03-2025
28-04-2025")</f>
        <v>15-01-2025
18-02-2025
20-02-2025
03-03-2025
26-03-2025
28-04-2025</v>
      </c>
      <c r="AB80" s="150" t="str">
        <f>IFERROR(__xludf.DUMMYFUNCTION("""COMPUTED_VALUE"""),"Durante este primer monitoreo NO se materializó el riesgo. 
Para el presente riesgo no se reportan acciones de tratamiento, debido a que se acepta el riesgo por ello solamente se reportan controles:
De acuerdo a las acciones de mitigación establacidas p"&amp;"ara controlar el riesgo, para este primer cuatrimestre se llevaron acabo las siguientes acciones:
-Se elaboró y Socializó el Cronograma de Entrega de Informes al Área de Contabilidad Vigencia 2025 mediante correo electrónico a las dependencias responsabl"&amp;"es.
-Se realizaron las respectivas solicitudes mediante correo electrónico a las áreas responsables de la información para la elaboración de los informes de la Oficina de Contabilidad.")</f>
        <v>Durante este primer monitoreo NO se materializó el riesgo. 
Para el presente riesgo no se reportan acciones de tratamiento, debido a que se acepta el riesgo por ello solamente se reportan controles:
De acuerdo a las acciones de mitigación establacidas para controlar el riesgo, para este primer cuatrimestre se llevaron acabo las siguientes acciones:
-Se elaboró y Socializó el Cronograma de Entrega de Informes al Área de Contabilidad Vigencia 2025 mediante correo electrónico a las dependencias responsables.
-Se realizaron las respectivas solicitudes mediante correo electrónico a las áreas responsables de la información para la elaboración de los informes de la Oficina de Contabilidad.</v>
      </c>
      <c r="AC80" s="152" t="str">
        <f>IFERROR(__xludf.DUMMYFUNCTION("""COMPUTED_VALUE"""),"Jefe Oficina de Contabilidad")</f>
        <v>Jefe Oficina de Contabilidad</v>
      </c>
      <c r="AD80" s="153" t="str">
        <f>IFERROR(__xludf.DUMMYFUNCTION("""COMPUTED_VALUE"""),"Evidencia")</f>
        <v>Evidencia</v>
      </c>
      <c r="AE80" s="150" t="str">
        <f>IFERROR(__xludf.DUMMYFUNCTION("""COMPUTED_VALUE"""),"Si")</f>
        <v>Si</v>
      </c>
      <c r="AF80" s="150" t="str">
        <f>IFERROR(__xludf.DUMMYFUNCTION("""COMPUTED_VALUE"""),"En proceso")</f>
        <v>En proceso</v>
      </c>
      <c r="AG80" s="32" t="str">
        <f>IFERROR(__xludf.DUMMYFUNCTION("""COMPUTED_VALUE"""),"Materialización del riesgo:
Durante este primer monitoreo NO se materializó el riesgo.
Acciones asociadas al tratamiento:
No se reportan acciones de tratamiento, ya que el riesgo fue aceptado. Por lo tanto, el seguimiento se realiza únicamente sobre los "&amp;"controles establecidos.
Sobre los controles:
Se evidencia que, como parte de las acciones de mitigación previstas, durante el primer cuatrimestre se elaboró y socializó el cronograma de entrega de informes a la Oficina de Contabilidad para la vigencia 20"&amp;"25, y se realizaron las solicitudes formales a las áreas responsables de suministrar la información necesaria. Estos controles reflejan una gestión proactiva orientada a garantizar el cumplimiento de los tiempos y flujos de información requeridos. No obst"&amp;"ante, se sugiere complementar el reporte con evidencia del cumplimiento efectivo del cronograma y del envío oportuno de los informes por parte de las dependencias, con el fin de validar la eficacia real del control aplicado en el desarrollo de los proximo"&amp;"s monitoreos, se genera reporte de actividad en estado en proceso. ")</f>
        <v>Materialización del riesgo:
Durante este primer monitoreo NO se materializó el riesgo.
Acciones asociadas al tratamiento:
No se reportan acciones de tratamiento, ya que el riesgo fue aceptado. Por lo tanto, el seguimiento se realiza únicamente sobre los controles establecidos.
Sobre los controles:
Se evidencia que, como parte de las acciones de mitigación previstas, durante el primer cuatrimestre se elaboró y socializó el cronograma de entrega de informes a la Oficina de Contabilidad para la vigencia 2025, y se realizaron las solicitudes formales a las áreas responsables de suministrar la información necesaria. Estos controles reflejan una gestión proactiva orientada a garantizar el cumplimiento de los tiempos y flujos de información requeridos. No obstante, se sugiere complementar el reporte con evidencia del cumplimiento efectivo del cronograma y del envío oportuno de los informes por parte de las dependencias, con el fin de validar la eficacia real del control aplicado en el desarrollo de los proximos monitoreos, se genera reporte de actividad en estado en proceso. </v>
      </c>
      <c r="AH80" s="150" t="str">
        <f>IFERROR(__xludf.DUMMYFUNCTION("""COMPUTED_VALUE"""),"30 de abril")</f>
        <v>30 de abril</v>
      </c>
      <c r="AI80" s="32" t="str">
        <f>IFERROR(__xludf.DUMMYFUNCTION("""COMPUTED_VALUE"""),"Si")</f>
        <v>Si</v>
      </c>
      <c r="AJ80" s="32" t="str">
        <f>IFERROR(__xludf.DUMMYFUNCTION("""COMPUTED_VALUE"""),"Si")</f>
        <v>Si</v>
      </c>
      <c r="AK80" s="32" t="str">
        <f>IFERROR(__xludf.DUMMYFUNCTION("""COMPUTED_VALUE"""),"Si")</f>
        <v>Si</v>
      </c>
      <c r="AL80" s="32" t="str">
        <f>IFERROR(__xludf.DUMMYFUNCTION("""COMPUTED_VALUE"""),"Si")</f>
        <v>Si</v>
      </c>
      <c r="AM80" s="32" t="str">
        <f>IFERROR(__xludf.DUMMYFUNCTION("""COMPUTED_VALUE"""),"No")</f>
        <v>No</v>
      </c>
      <c r="AN80" s="32" t="str">
        <f>IFERROR(__xludf.DUMMYFUNCTION("""COMPUTED_VALUE"""),"Si")</f>
        <v>Si</v>
      </c>
      <c r="AO80" s="32" t="str">
        <f>IFERROR(__xludf.DUMMYFUNCTION("""COMPUTED_VALUE"""),"Si")</f>
        <v>Si</v>
      </c>
      <c r="AP80" s="32" t="str">
        <f>IFERROR(__xludf.DUMMYFUNCTION("""COMPUTED_VALUE"""),"No aplica")</f>
        <v>No aplica</v>
      </c>
      <c r="AQ80" s="32" t="str">
        <f>IFERROR(__xludf.DUMMYFUNCTION("""COMPUTED_VALUE"""),"No aplica")</f>
        <v>No aplica</v>
      </c>
      <c r="AR80" s="32" t="str">
        <f>IFERROR(__xludf.DUMMYFUNCTION("""COMPUTED_VALUE"""),"No aplica")</f>
        <v>No aplica</v>
      </c>
      <c r="AS80" s="150" t="str">
        <f>IFERROR(__xludf.DUMMYFUNCTION("""COMPUTED_VALUE"""),"Recomendaciones:
*Fortalecer la calidad del reporte de la ejecución de los controles. En el presente monitoreo y en concordancia con lo advertido por parte de la segunda línea de defensa, faltó el reporte de soportes relacionados con la informaciòn entreg"&amp;"ada por las dependencias y lo correspondiente al control No. 3. Se requiere que la evidencia sea competente, es decir con calidad en relación a su relevancia y confiabilidad y suficiente en términos de cantidad y completitud, que permita demostrar de mane"&amp;"ra íntegra el hecho.
*Fortalecer la descripción del riesgo, considerando la metodología de la Guía para la Administración del Riesgo y el diseño de controles en entidades públicas Versión 6, que propone los elementos para la descripción del riesgo, como "&amp;"son: 
Impacto: las consecuencias que puede ocasionar a la organización la materialización del riesgo.
Causa inmediata: circunstancias o situaciones más evidentes sobre las cuales se presenta el riesgo, las mismas no constituyen la causa principal o base p"&amp;"ara que se presente el riesgo.
Causa raíz: es la causa principal o básica, corresponden a las razones por la cuales se puede presentar el riesgo, son la base para la definición de controles en la etapa de valoración del riesgo. Se debe tener en cuenta que"&amp;" para un mismo riesgo pueden existir más de una causa o subcausas que pueden ser analizadas.
*Reevaluar la tipología del riesgo, toda vez que por la naturaleza de la actividad, se constituye principalmente coomo un riesgo de gestión. El riesgo de gestión"&amp;" se refiere a las amenazas que pueden afectar la operación, incluyendo la calidad y puntualidad de los procesos internos. En este caso, la falta de cumplimiento con la entrega de reportes impacta directamente en la gestión de la información, la eficacia d"&amp;"e los procesos contables, y eventualmente en la reputación de la institución.
Por otro lado, el riesgo financiero se enfoca en las amenazas que pueden afectar la situación económica de la universidad, como riesgos de crédito o riesgos de liquidez. Aunque "&amp;"la inoportunidad o inexactitud en los reportes contables podría tener una consecuencia financiera (por ejemplo, errores en la declaración de impuestos o dificultades para acceder a financiamiento), el riesgo primario no es financiero, sino que tiene que v"&amp;"er con la calidad y eficiencia de los procesos internos. 
")</f>
        <v>Recomendaciones:
*Fortalecer la calidad del reporte de la ejecución de los controles. En el presente monitoreo y en concordancia con lo advertido por parte de la segunda línea de defensa, faltó el reporte de soportes relacionados con la informaciòn entregada por las dependencias y lo correspondiente al control No. 3. Se requiere que la evidencia sea competente, es decir con calidad en relación a su relevancia y confiabilidad y suficiente en términos de cantidad y completitud, que permita demostrar de manera íntegra el hecho.
*Fortalecer la descripción del riesgo, considerando la metodología de la Guía para la Administración del Riesgo y el diseño de controles en entidades públicas Versión 6, que propone los elementos para la descripción del riesgo, como son: 
Impacto: las consecuencias que puede ocasionar a la organización la materialización del riesgo.
Causa inmediata: circunstancias o situaciones más evidentes sobre las cuales se presenta el riesgo, las mismas no constituyen la causa principal o base para que se presente el riesgo.
Causa raíz: es la causa principal o básica, corresponden a las razones por la cuales se puede presentar el riesgo, son la base para la definición de controles en la etapa de valoración del riesgo. Se debe tener en cuenta que para un mismo riesgo pueden existir más de una causa o subcausas que pueden ser analizadas.
*Reevaluar la tipología del riesgo, toda vez que por la naturaleza de la actividad, se constituye principalmente coomo un riesgo de gestión. El riesgo de gestión se refiere a las amenazas que pueden afectar la operación, incluyendo la calidad y puntualidad de los procesos internos. En este caso, la falta de cumplimiento con la entrega de reportes impacta directamente en la gestión de la información, la eficacia de los procesos contables, y eventualmente en la reputación de la institución.
Por otro lado, el riesgo financiero se enfoca en las amenazas que pueden afectar la situación económica de la universidad, como riesgos de crédito o riesgos de liquidez. Aunque la inoportunidad o inexactitud en los reportes contables podría tener una consecuencia financiera (por ejemplo, errores en la declaración de impuestos o dificultades para acceder a financiamiento), el riesgo primario no es financiero, sino que tiene que ver con la calidad y eficiencia de los procesos internos. 
</v>
      </c>
      <c r="AT80" s="139"/>
    </row>
    <row r="81">
      <c r="A81" s="86"/>
      <c r="B81" s="73"/>
      <c r="C81" s="73"/>
      <c r="D81" s="156"/>
      <c r="E81" s="156"/>
      <c r="F81" s="156"/>
      <c r="G81" s="156"/>
      <c r="H81" s="156"/>
      <c r="I81" s="156"/>
      <c r="J81" s="156"/>
      <c r="K81" s="156"/>
      <c r="L81" s="156"/>
      <c r="M81" s="156"/>
      <c r="N81" s="156"/>
      <c r="O81" s="156"/>
      <c r="P81" s="156"/>
      <c r="Q81" s="157"/>
      <c r="R81" s="158" t="str">
        <f>IFERROR(__xludf.DUMMYFUNCTION("""COMPUTED_VALUE"""),"")</f>
        <v/>
      </c>
      <c r="S81" s="159" t="str">
        <f>IFERROR(__xludf.DUMMYFUNCTION("""COMPUTED_VALUE"""),"")</f>
        <v/>
      </c>
      <c r="T81" s="170"/>
      <c r="U81" s="170"/>
      <c r="V81" s="94"/>
      <c r="W81" s="94"/>
      <c r="X81" s="94"/>
      <c r="Y81" s="94"/>
      <c r="Z81" s="150" t="str">
        <f>IFERROR(__xludf.DUMMYFUNCTION("""COMPUTED_VALUE"""),"30 de agosto")</f>
        <v>30 de agosto</v>
      </c>
      <c r="AA81" s="32" t="str">
        <f>IFERROR(__xludf.DUMMYFUNCTION("""COMPUTED_VALUE"""),"28/05/2025 26/06/2025  29/07/2025 26/08/2025")</f>
        <v>28/05/2025 26/06/2025  29/07/2025 26/08/2025</v>
      </c>
      <c r="AB81" s="150" t="str">
        <f>IFERROR(__xludf.DUMMYFUNCTION("""COMPUTED_VALUE"""),"Durante este segundo monitoreo NO se materializó el riesgo. 
Para el presente riesgo no se reportan acciones de tratamiento, debido a que se acepta el riesgo por ello solamente se reportan controles de acuerdo a la acción de mejora y/o control propuesto:"&amp;"
De acuerdo a las acciones de mitigación establacidas para controlar el riesgo, para este segundo cuatrimestre se llevaron acabo las siguientes acciones:
-Se realizaron las respectivas solicitudes mediante correo electrónico a las áreas responsables de "&amp;"la información para la elaboración de los informes de la Oficina de Contabilidad.")</f>
        <v>Durante este segundo monitoreo NO se materializó el riesgo. 
Para el presente riesgo no se reportan acciones de tratamiento, debido a que se acepta el riesgo por ello solamente se reportan controles de acuerdo a la acción de mejora y/o control propuesto:
De acuerdo a las acciones de mitigación establacidas para controlar el riesgo, para este segundo cuatrimestre se llevaron acabo las siguientes acciones:
-Se realizaron las respectivas solicitudes mediante correo electrónico a las áreas responsables de la información para la elaboración de los informes de la Oficina de Contabilidad.</v>
      </c>
      <c r="AC81" s="152" t="str">
        <f>IFERROR(__xludf.DUMMYFUNCTION("""COMPUTED_VALUE"""),"Jefe Oficina de Contabilidad")</f>
        <v>Jefe Oficina de Contabilidad</v>
      </c>
      <c r="AD81" s="153" t="str">
        <f>IFERROR(__xludf.DUMMYFUNCTION("""COMPUTED_VALUE"""),"Evidencia")</f>
        <v>Evidencia</v>
      </c>
      <c r="AE81" s="150" t="str">
        <f>IFERROR(__xludf.DUMMYFUNCTION("""COMPUTED_VALUE"""),"Si")</f>
        <v>Si</v>
      </c>
      <c r="AF81" s="152" t="str">
        <f>IFERROR(__xludf.DUMMYFUNCTION("""COMPUTED_VALUE"""),"En proceso")</f>
        <v>En proceso</v>
      </c>
      <c r="AG81" s="32" t="str">
        <f>IFERROR(__xludf.DUMMYFUNCTION("""COMPUTED_VALUE"""),"Durante este segundo monitoreo no se materializó el riesgo.
En lo relacionado con las acciones de tratamiento, debido a que el riesgo fue aceptado, no aplican; por lo tanto, se atiende lo proyectado dentro de los controles de la siguiente forma:
Control"&amp;"es implementados:
Control 1: El Contador establece el cronograma de entrega de informes al área de contabilidad, con el fin de identificar las fechas oportunas para el reporte de información.
Avance: Se realizaron solicitudes mediante correo electrónico "&amp;"a las áreas responsables de la información, con el fin de garantizar el cumplimiento del cronograma de entregas.
Control 2: El Contador hace seguimiento al cronograma de entrega de informes al área de contabilidad, con el fin de identificar posibles retr"&amp;"asos en el reporte de información.
Avance: La evidencia de los correos enviados constituye soporte del seguimiento realizado en el periodo de monitoreo.
Control 3: El profesional de contabilidad revisa la idoneidad de la información, con el fin de evitar"&amp;" errores en los reportes.
Avance: No se reportaron novedades adicionales frente a este control en el segundo monitoreo.")</f>
        <v>Durante este segundo monitoreo no se materializó el riesgo.
En lo relacionado con las acciones de tratamiento, debido a que el riesgo fue aceptado, no aplican; por lo tanto, se atiende lo proyectado dentro de los controles de la siguiente forma:
Controles implementados:
Control 1: El Contador establece el cronograma de entrega de informes al área de contabilidad, con el fin de identificar las fechas oportunas para el reporte de información.
Avance: Se realizaron solicitudes mediante correo electrónico a las áreas responsables de la información, con el fin de garantizar el cumplimiento del cronograma de entregas.
Control 2: El Contador hace seguimiento al cronograma de entrega de informes al área de contabilidad, con el fin de identificar posibles retrasos en el reporte de información.
Avance: La evidencia de los correos enviados constituye soporte del seguimiento realizado en el periodo de monitoreo.
Control 3: El profesional de contabilidad revisa la idoneidad de la información, con el fin de evitar errores en los reportes.
Avance: No se reportaron novedades adicionales frente a este control en el segundo monitoreo.</v>
      </c>
      <c r="AH81" s="150" t="str">
        <f>IFERROR(__xludf.DUMMYFUNCTION("""COMPUTED_VALUE"""),"31 de agosto")</f>
        <v>31 de agosto</v>
      </c>
      <c r="AI81" s="32" t="str">
        <f>IFERROR(__xludf.DUMMYFUNCTION("""COMPUTED_VALUE"""),"Si")</f>
        <v>Si</v>
      </c>
      <c r="AJ81" s="32" t="str">
        <f>IFERROR(__xludf.DUMMYFUNCTION("""COMPUTED_VALUE"""),"Si")</f>
        <v>Si</v>
      </c>
      <c r="AK81" s="32" t="str">
        <f>IFERROR(__xludf.DUMMYFUNCTION("""COMPUTED_VALUE"""),"Si")</f>
        <v>Si</v>
      </c>
      <c r="AL81" s="32" t="str">
        <f>IFERROR(__xludf.DUMMYFUNCTION("""COMPUTED_VALUE"""),"Si")</f>
        <v>Si</v>
      </c>
      <c r="AM81" s="32" t="str">
        <f>IFERROR(__xludf.DUMMYFUNCTION("""COMPUTED_VALUE"""),"No")</f>
        <v>No</v>
      </c>
      <c r="AN81" s="32" t="str">
        <f>IFERROR(__xludf.DUMMYFUNCTION("""COMPUTED_VALUE"""),"Si")</f>
        <v>Si</v>
      </c>
      <c r="AO81" s="32" t="str">
        <f>IFERROR(__xludf.DUMMYFUNCTION("""COMPUTED_VALUE"""),"Si")</f>
        <v>Si</v>
      </c>
      <c r="AP81" s="32" t="str">
        <f>IFERROR(__xludf.DUMMYFUNCTION("""COMPUTED_VALUE"""),"No aplica")</f>
        <v>No aplica</v>
      </c>
      <c r="AQ81" s="32" t="str">
        <f>IFERROR(__xludf.DUMMYFUNCTION("""COMPUTED_VALUE"""),"No aplica")</f>
        <v>No aplica</v>
      </c>
      <c r="AR81" s="32" t="str">
        <f>IFERROR(__xludf.DUMMYFUNCTION("""COMPUTED_VALUE"""),"No aplica")</f>
        <v>No aplica</v>
      </c>
      <c r="AS81" s="150" t="str">
        <f>IFERROR(__xludf.DUMMYFUNCTION("""COMPUTED_VALUE"""),"Se reiteran las recomendaciones generadas en la evaluación del primer cuatrimestre:
*Fortalecer la descripción del riesgo, considerando la metodología de la Guía para la Administración del Riesgo y el diseño de controles en entidades públicas Versión 6, q"&amp;"ue propone los elementos para la descripción del riesgo, como son: 
Impacto: las consecuencias que puede ocasionar a la organización la materialización del riesgo.
Causa inmediata: circunstancias o situaciones más evidentes sobre las cuales se presenta el"&amp;" riesgo, las mismas no constituyen la causa principal o base para que se presente el riesgo.
Causa raíz: es la causa principal o básica, corresponden a las razones por la cuales se puede presentar el riesgo, son la base para la definición de controles en "&amp;"la etapa de valoración del riesgo. Se debe tener en cuenta que para un mismo riesgo pueden existir más de una causa o subcausas que pueden ser analizadas.
*Reevaluar la tipología del riesgo, toda vez que por la naturaleza de la actividad, se constituye p"&amp;"rincipalmente coomo un riesgo de gestión. El riesgo de gestión se refiere a las amenazas que pueden afectar la operación, incluyendo la calidad y puntualidad de los procesos internos. En este caso, la falta de cumplimiento con la entrega de reportes impac"&amp;"ta directamente en la gestión de la información, la eficacia de los procesos contables, y eventualmente en la reputación de la institución.
Por otro lado, el riesgo financiero se enfoca en las amenazas que pueden afectar la situación económica de la unive"&amp;"rsidad, como riesgos de crédito o riesgos de liquidez. Aunque la inoportunidad o inexactitud en los reportes contables podría tener una consecuencia financiera (por ejemplo, errores en la declaración de impuestos o dificultades para acceder a financiamien"&amp;"to), el riesgo primario no es financiero, sino que tiene que ver con la calidad y eficiencia de los procesos internos. 
")</f>
        <v>Se reiteran las recomendaciones generadas en la evaluación del primer cuatrimestre:
*Fortalecer la descripción del riesgo, considerando la metodología de la Guía para la Administración del Riesgo y el diseño de controles en entidades públicas Versión 6, que propone los elementos para la descripción del riesgo, como son: 
Impacto: las consecuencias que puede ocasionar a la organización la materialización del riesgo.
Causa inmediata: circunstancias o situaciones más evidentes sobre las cuales se presenta el riesgo, las mismas no constituyen la causa principal o base para que se presente el riesgo.
Causa raíz: es la causa principal o básica, corresponden a las razones por la cuales se puede presentar el riesgo, son la base para la definición de controles en la etapa de valoración del riesgo. Se debe tener en cuenta que para un mismo riesgo pueden existir más de una causa o subcausas que pueden ser analizadas.
*Reevaluar la tipología del riesgo, toda vez que por la naturaleza de la actividad, se constituye principalmente coomo un riesgo de gestión. El riesgo de gestión se refiere a las amenazas que pueden afectar la operación, incluyendo la calidad y puntualidad de los procesos internos. En este caso, la falta de cumplimiento con la entrega de reportes impacta directamente en la gestión de la información, la eficacia de los procesos contables, y eventualmente en la reputación de la institución.
Por otro lado, el riesgo financiero se enfoca en las amenazas que pueden afectar la situación económica de la universidad, como riesgos de crédito o riesgos de liquidez. Aunque la inoportunidad o inexactitud en los reportes contables podría tener una consecuencia financiera (por ejemplo, errores en la declaración de impuestos o dificultades para acceder a financiamiento), el riesgo primario no es financiero, sino que tiene que ver con la calidad y eficiencia de los procesos internos. 
</v>
      </c>
      <c r="AT81" s="139"/>
    </row>
    <row r="82">
      <c r="A82" s="86"/>
      <c r="B82" s="73"/>
      <c r="C82" s="73"/>
      <c r="D82" s="119"/>
      <c r="E82" s="119"/>
      <c r="F82" s="119"/>
      <c r="G82" s="119"/>
      <c r="H82" s="119"/>
      <c r="I82" s="119"/>
      <c r="J82" s="119"/>
      <c r="K82" s="119"/>
      <c r="L82" s="119"/>
      <c r="M82" s="119"/>
      <c r="N82" s="119"/>
      <c r="O82" s="119"/>
      <c r="P82" s="119"/>
      <c r="Q82" s="162"/>
      <c r="R82" s="163" t="str">
        <f>IFERROR(__xludf.DUMMYFUNCTION("""COMPUTED_VALUE"""),"")</f>
        <v/>
      </c>
      <c r="S82" s="164" t="str">
        <f>IFERROR(__xludf.DUMMYFUNCTION("""COMPUTED_VALUE"""),"")</f>
        <v/>
      </c>
      <c r="T82" s="176"/>
      <c r="U82" s="176"/>
      <c r="V82" s="98"/>
      <c r="W82" s="98"/>
      <c r="X82" s="98"/>
      <c r="Y82" s="98"/>
      <c r="Z82" s="150" t="str">
        <f>IFERROR(__xludf.DUMMYFUNCTION("""COMPUTED_VALUE"""),"30 de diciembre")</f>
        <v>30 de diciembre</v>
      </c>
      <c r="AA82" s="32" t="str">
        <f>IFERROR(__xludf.DUMMYFUNCTION("""COMPUTED_VALUE"""),"29/09/2025   29/10/2025    27/11/2025  ")</f>
        <v>29/09/2025   29/10/2025    27/11/2025  </v>
      </c>
      <c r="AB82" s="150" t="str">
        <f>IFERROR(__xludf.DUMMYFUNCTION("""COMPUTED_VALUE"""),"Durante este tercer monitoreo NO se materializó el riesgo. 
Para el presente riesgo no se reportan acciones de tratamiento, debido a que se acepta el riesgo por ello solamente se reportan controles de acuerdo a la acción de mejora y/o control propuesto:
"&amp;"
De acuerdo a las acciones de mitigación establacidas para controlar el riesgo, para este tercer cuatrimestre se llevaron acabo las siguientes acciones:
-Se realizaron las respectivas solicitudes mediante correo electrónico a las áreas responsables de la"&amp;" información para la elaboración de los informes de la Oficina de Contabilidad.")</f>
        <v>Durante este tercer monitoreo NO se materializó el riesgo. 
Para el presente riesgo no se reportan acciones de tratamiento, debido a que se acepta el riesgo por ello solamente se reportan controles de acuerdo a la acción de mejora y/o control propuesto:
De acuerdo a las acciones de mitigación establacidas para controlar el riesgo, para este tercer cuatrimestre se llevaron acabo las siguientes acciones:
-Se realizaron las respectivas solicitudes mediante correo electrónico a las áreas responsables de la información para la elaboración de los informes de la Oficina de Contabilidad.</v>
      </c>
      <c r="AC82" s="152" t="str">
        <f>IFERROR(__xludf.DUMMYFUNCTION("""COMPUTED_VALUE"""),"Jefe Oficina de Contabilidad")</f>
        <v>Jefe Oficina de Contabilidad</v>
      </c>
      <c r="AD82" s="153" t="str">
        <f>IFERROR(__xludf.DUMMYFUNCTION("""COMPUTED_VALUE"""),"Evidencia")</f>
        <v>Evidencia</v>
      </c>
      <c r="AE82" s="150" t="str">
        <f>IFERROR(__xludf.DUMMYFUNCTION("""COMPUTED_VALUE"""),"No aplica")</f>
        <v>No aplica</v>
      </c>
      <c r="AF82" s="152" t="str">
        <f>IFERROR(__xludf.DUMMYFUNCTION("""COMPUTED_VALUE"""),"Ejecutada")</f>
        <v>Ejecutada</v>
      </c>
      <c r="AG82" s="32" t="str">
        <f>IFERROR(__xludf.DUMMYFUNCTION("""COMPUTED_VALUE"""),"-Dado que el riesgo fue aceptado, no se establecieron acciones de tratamiento específicas.
En cumplimiento de las acciones de control definidas para su mitigación, durante el tercer cuatrimestre se ejecutó la siguiente actividad:
-Se realizaron las solici"&amp;"tudes correspondientes, mediante correo electrónico, a las dependencias encargadas de entregar la información requerida para la elaboración de los informes de la Oficina de Contabilidad.                                                                     "&amp;"                                                                                            -Se sugiere continuar realizando las solicitudes de información con la misma oportunidad y mantener consolidadas las evidencias de gestión, de manera que se facili"&amp;"te el seguimiento en los próximos monitoreos.")</f>
        <v>-Dado que el riesgo fue aceptado, no se establecieron acciones de tratamiento específicas.
En cumplimiento de las acciones de control definidas para su mitigación, durante el tercer cuatrimestre se ejecutó la siguiente actividad:
-Se realizaron las solicitudes correspondientes, mediante correo electrónico, a las dependencias encargadas de entregar la información requerida para la elaboración de los informes de la Oficina de Contabilidad.                                                                                                                                                                 -Se sugiere continuar realizando las solicitudes de información con la misma oportunidad y mantener consolidadas las evidencias de gestión, de manera que se facilite el seguimiento en los próximos monitoreos.</v>
      </c>
      <c r="AH82" s="150" t="str">
        <f>IFERROR(__xludf.DUMMYFUNCTION("""COMPUTED_VALUE"""),"31 de diciembre")</f>
        <v>31 de diciembre</v>
      </c>
      <c r="AI82" s="32" t="str">
        <f>IFERROR(__xludf.DUMMYFUNCTION("""COMPUTED_VALUE"""),"Si")</f>
        <v>Si</v>
      </c>
      <c r="AJ82" s="32" t="str">
        <f>IFERROR(__xludf.DUMMYFUNCTION("""COMPUTED_VALUE"""),"Si")</f>
        <v>Si</v>
      </c>
      <c r="AK82" s="32" t="str">
        <f>IFERROR(__xludf.DUMMYFUNCTION("""COMPUTED_VALUE"""),"Si")</f>
        <v>Si</v>
      </c>
      <c r="AL82" s="32" t="str">
        <f>IFERROR(__xludf.DUMMYFUNCTION("""COMPUTED_VALUE"""),"Si")</f>
        <v>Si</v>
      </c>
      <c r="AM82" s="32" t="str">
        <f>IFERROR(__xludf.DUMMYFUNCTION("""COMPUTED_VALUE"""),"No")</f>
        <v>No</v>
      </c>
      <c r="AN82" s="32" t="str">
        <f>IFERROR(__xludf.DUMMYFUNCTION("""COMPUTED_VALUE"""),"Si")</f>
        <v>Si</v>
      </c>
      <c r="AO82" s="32" t="str">
        <f>IFERROR(__xludf.DUMMYFUNCTION("""COMPUTED_VALUE"""),"Si")</f>
        <v>Si</v>
      </c>
      <c r="AP82" s="32" t="str">
        <f>IFERROR(__xludf.DUMMYFUNCTION("""COMPUTED_VALUE"""),"No aplica")</f>
        <v>No aplica</v>
      </c>
      <c r="AQ82" s="32" t="str">
        <f>IFERROR(__xludf.DUMMYFUNCTION("""COMPUTED_VALUE"""),"No aplica")</f>
        <v>No aplica</v>
      </c>
      <c r="AR82" s="32" t="str">
        <f>IFERROR(__xludf.DUMMYFUNCTION("""COMPUTED_VALUE"""),"No aplica")</f>
        <v>No aplica</v>
      </c>
      <c r="AS82" s="150" t="str">
        <f>IFERROR(__xludf.DUMMYFUNCTION("""COMPUTED_VALUE"""),"Se reiteran las recomendaciones generadas en la evaluación del primer y segundo cuatrimestre:
*Fortalecer la descripción del riesgo, considerando la metodología de la Guía para la Administración del Riesgo y el diseño de controles en entidades públicas Ve"&amp;"rsión 6, que propone los elementos para la descripción del riesgo, como son: 
Impacto: las consecuencias que puede ocasionar a la organización la materialización del riesgo.
Causa inmediata: circunstancias o situaciones más evidentes sobre las cuales se p"&amp;"resenta el riesgo, las mismas no constituyen la causa principal o base para que se presente el riesgo.
Causa raíz: es la causa principal o básica, corresponden a las razones por la cuales se puede presentar el riesgo, son la base para la definición de con"&amp;"troles en la etapa de valoración del riesgo. Se debe tener en cuenta que para un mismo riesgo pueden existir más de una causa o subcausas que pueden ser analizadas.
*Reevaluar la tipología del riesgo, toda vez que por la naturaleza de la actividad, se co"&amp;"nstituye principalmente coomo un riesgo de gestión. El riesgo de gestión se refiere a las amenazas que pueden afectar la operación, incluyendo la calidad y puntualidad de los procesos internos. En este caso, la falta de cumplimiento con la entrega de repo"&amp;"rtes impacta directamente en la gestión de la información, la eficacia de los procesos contables, y eventualmente en la reputación de la institución.
Por otro lado, el riesgo financiero se enfoca en las amenazas que pueden afectar la situación económica d"&amp;"e la universidad, como riesgos de crédito o riesgos de liquidez. Aunque la inoportunidad o inexactitud en los reportes contables podría tener una consecuencia financiera (por ejemplo, errores en la declaración de impuestos o dificultades para acceder a fi"&amp;"nanciamiento), el riesgo primario no es financiero, sino que tiene que ver con la calidad y eficiencia de los procesos internos. 
")</f>
        <v>Se reiteran las recomendaciones generadas en la evaluación del primer y segundo cuatrimestre:
*Fortalecer la descripción del riesgo, considerando la metodología de la Guía para la Administración del Riesgo y el diseño de controles en entidades públicas Versión 6, que propone los elementos para la descripción del riesgo, como son: 
Impacto: las consecuencias que puede ocasionar a la organización la materialización del riesgo.
Causa inmediata: circunstancias o situaciones más evidentes sobre las cuales se presenta el riesgo, las mismas no constituyen la causa principal o base para que se presente el riesgo.
Causa raíz: es la causa principal o básica, corresponden a las razones por la cuales se puede presentar el riesgo, son la base para la definición de controles en la etapa de valoración del riesgo. Se debe tener en cuenta que para un mismo riesgo pueden existir más de una causa o subcausas que pueden ser analizadas.
*Reevaluar la tipología del riesgo, toda vez que por la naturaleza de la actividad, se constituye principalmente coomo un riesgo de gestión. El riesgo de gestión se refiere a las amenazas que pueden afectar la operación, incluyendo la calidad y puntualidad de los procesos internos. En este caso, la falta de cumplimiento con la entrega de reportes impacta directamente en la gestión de la información, la eficacia de los procesos contables, y eventualmente en la reputación de la institución.
Por otro lado, el riesgo financiero se enfoca en las amenazas que pueden afectar la situación económica de la universidad, como riesgos de crédito o riesgos de liquidez. Aunque la inoportunidad o inexactitud en los reportes contables podría tener una consecuencia financiera (por ejemplo, errores en la declaración de impuestos o dificultades para acceder a financiamiento), el riesgo primario no es financiero, sino que tiene que ver con la calidad y eficiencia de los procesos internos. 
</v>
      </c>
      <c r="AT82" s="139"/>
    </row>
    <row r="83">
      <c r="A83" s="86"/>
      <c r="B83" s="73"/>
      <c r="C83" s="73"/>
      <c r="D83" s="144" t="str">
        <f>IFERROR(__xludf.DUMMYFUNCTION("""COMPUTED_VALUE"""),"Afectación económica por pérdida o daño de documentos y títulos valores.")</f>
        <v>Afectación económica por pérdida o daño de documentos y títulos valores.</v>
      </c>
      <c r="E83" s="144" t="str">
        <f>IFERROR(__xludf.DUMMYFUNCTION("""COMPUTED_VALUE"""),"Oficina de tesorería")</f>
        <v>Oficina de tesorería</v>
      </c>
      <c r="F83" s="144" t="str">
        <f>IFERROR(__xludf.DUMMYFUNCTION("""COMPUTED_VALUE"""),"Financiero")</f>
        <v>Financiero</v>
      </c>
      <c r="G83" s="144" t="str">
        <f>IFERROR(__xludf.DUMMYFUNCTION("""COMPUTED_VALUE"""),"- Libre acceso del personal ajeno a la tesorería
- Falta de talento humano, con función específica de administrar el archivo de la tesorería
- Factores ambientales que deterioren el archivo de la tesorería")</f>
        <v>- Libre acceso del personal ajeno a la tesorería
- Falta de talento humano, con función específica de administrar el archivo de la tesorería
- Factores ambientales que deterioren el archivo de la tesorería</v>
      </c>
      <c r="H83" s="144" t="str">
        <f>IFERROR(__xludf.DUMMYFUNCTION("""COMPUTED_VALUE"""),"- Perdida de evidencias de las transacciones bancarias y/u operaciones financieras y demás documentos que acompañan las diferentes órdenes de pago. 
- Sanciones disciplinarias. ")</f>
        <v>- Perdida de evidencias de las transacciones bancarias y/u operaciones financieras y demás documentos que acompañan las diferentes órdenes de pago. 
- Sanciones disciplinarias. </v>
      </c>
      <c r="I83" s="145" t="str">
        <f>IFERROR(__xludf.DUMMYFUNCTION("""COMPUTED_VALUE"""),"FIN_02")</f>
        <v>FIN_02</v>
      </c>
      <c r="J83" s="145" t="str">
        <f>IFERROR(__xludf.DUMMYFUNCTION("""COMPUTED_VALUE"""),"Alta")</f>
        <v>Alta</v>
      </c>
      <c r="K83" s="145" t="str">
        <f>IFERROR(__xludf.DUMMYFUNCTION("""COMPUTED_VALUE"""),"Insignificante")</f>
        <v>Insignificante</v>
      </c>
      <c r="L83" s="145" t="str">
        <f>IFERROR(__xludf.DUMMYFUNCTION("""COMPUTED_VALUE"""),"Media")</f>
        <v>Media</v>
      </c>
      <c r="M83" s="144" t="str">
        <f>IFERROR(__xludf.DUMMYFUNCTION("""COMPUTED_VALUE"""),"- La oficina de Tesorería ha restringido el acceso al area de archivo de tesorería a personal no autorizado
- El Tesorero ha documentado y el procedimiento de archivo de tesorería para consulta de material, con el fin de establecer controles en el acceso "&amp;"a los documentos 
- El personal de aseo, limpia el area de archivo de la tesorería  
 ")</f>
        <v>- La oficina de Tesorería ha restringido el acceso al area de archivo de tesorería a personal no autorizado
- El Tesorero ha documentado y el procedimiento de archivo de tesorería para consulta de material, con el fin de establecer controles en el acceso a los documentos 
- El personal de aseo, limpia el area de archivo de la tesorería  
 </v>
      </c>
      <c r="N83" s="145" t="str">
        <f>IFERROR(__xludf.DUMMYFUNCTION("""COMPUTED_VALUE"""),"Muy baja")</f>
        <v>Muy baja</v>
      </c>
      <c r="O83" s="145" t="str">
        <f>IFERROR(__xludf.DUMMYFUNCTION("""COMPUTED_VALUE"""),"Insignificante")</f>
        <v>Insignificante</v>
      </c>
      <c r="P83" s="145" t="str">
        <f>IFERROR(__xludf.DUMMYFUNCTION("""COMPUTED_VALUE"""),"Baja")</f>
        <v>Baja</v>
      </c>
      <c r="Q83" s="178" t="str">
        <f>IFERROR(__xludf.DUMMYFUNCTION("""COMPUTED_VALUE"""),"Aceptar")</f>
        <v>Aceptar</v>
      </c>
      <c r="R83" s="158" t="str">
        <f>IFERROR(__xludf.DUMMYFUNCTION("""COMPUTED_VALUE"""),"Ya que se acepta el riesgo, no se determinan acciones de tratamiento, sin embargo se monitorea la aplicación de los controles")</f>
        <v>Ya que se acepta el riesgo, no se determinan acciones de tratamiento, sin embargo se monitorea la aplicación de los controles</v>
      </c>
      <c r="S83" s="159" t="str">
        <f>IFERROR(__xludf.DUMMYFUNCTION("""COMPUTED_VALUE"""),"N/A")</f>
        <v>N/A</v>
      </c>
      <c r="T83" s="170" t="str">
        <f>IFERROR(__xludf.DUMMYFUNCTION("""COMPUTED_VALUE"""),"N/A")</f>
        <v>N/A</v>
      </c>
      <c r="U83" s="170" t="str">
        <f>IFERROR(__xludf.DUMMYFUNCTION("""COMPUTED_VALUE"""),"N/A")</f>
        <v>N/A</v>
      </c>
      <c r="V83" s="167" t="str">
        <f>IFERROR(__xludf.DUMMYFUNCTION("""COMPUTED_VALUE"""),"- Búsqueda inmediata de los documentos acorde al area donde se extravió.
- Se recolecta la información y se vuelve a elaborar.
- Denuncia ante las autoridades competentes del título valor extraviado
- Informar a la Entidad bancaria del título perdido
- Re"&amp;"alizar acta en caso de daño del título valor
- Informar a la Vicerectoria de recursos")</f>
        <v>- Búsqueda inmediata de los documentos acorde al area donde se extravió.
- Se recolecta la información y se vuelve a elaborar.
- Denuncia ante las autoridades competentes del título valor extraviado
- Informar a la Entidad bancaria del título perdido
- Realizar acta en caso de daño del título valor
- Informar a la Vicerectoria de recursos</v>
      </c>
      <c r="W83" s="167" t="str">
        <f>IFERROR(__xludf.DUMMYFUNCTION("""COMPUTED_VALUE"""),"Oficios enviados")</f>
        <v>Oficios enviados</v>
      </c>
      <c r="X83" s="169" t="str">
        <f>IFERROR(__xludf.DUMMYFUNCTION("""COMPUTED_VALUE"""),"Tesorero")</f>
        <v>Tesorero</v>
      </c>
      <c r="Y83" s="169" t="str">
        <f>IFERROR(__xludf.DUMMYFUNCTION("""COMPUTED_VALUE"""),"Inmediato")</f>
        <v>Inmediato</v>
      </c>
      <c r="Z83" s="150" t="str">
        <f>IFERROR(__xludf.DUMMYFUNCTION("""COMPUTED_VALUE"""),"30 de abril")</f>
        <v>30 de abril</v>
      </c>
      <c r="AA83" s="151">
        <f>IFERROR(__xludf.DUMMYFUNCTION("""COMPUTED_VALUE"""),45776.0)</f>
        <v>45776</v>
      </c>
      <c r="AB83" s="150" t="str">
        <f>IFERROR(__xludf.DUMMYFUNCTION("""COMPUTED_VALUE"""),"
Durante este primer monitoreo NO se materializó el riesgo. 
Para el presente riesgo no se reportan acciones de tratamiento , debido a que se acepta el riesgo por ello solamente se reportan controles:
1 .- De acuerdo al Manual de Funciones y Competencia"&amp;"s adoptado por la Universidad, El Técnico Operativo y el Auxiliar Administrativo, son las personas encargadas de custodiar, velar, llevar, mantener organizar y actualizar el archivo con la documentación inherente a las actividades de la Tesorería, de acue"&amp;"rdo con las normas técnicas en materia de archivo general y tablas de retención documental. De esta manera, se realizan los debidos controles preventivos de acceso al área de archivo.  Se anexa evidencia fotográfica. 
2 .- Se adoptó el procedimiento 2 PD"&amp;"-FIN-05 PROCEDIMIENTO DE CONSULTA Y PRESTAMO DE DOCUMENTOS ARCHIVO DE GESTION DE TESORERIA, para prestar el servicio de consulta o préstamo de documentos a personal ajeno a la dependencia, con el fin de facilitar el acceso a los movimientos contables de T"&amp;"esorería, el cual se encuentra implementado en la página del sig, de acuerdo al siguiente link: link: https://sig.unillanos.edu.co/phocadownload/PD-FIN-05%20PROCEDIMIENTO%20DE%20CONSULTA%20Y%20PRSTAMO%20DE%20DOCUMENTOS%20ARCHIVO%20DE%20GESTIN%20DE%20TESOR"&amp;"ERA.pdf.  De igual manera, se anexa el proceso adoptado.  
3 .- Para la limpieza del área de archivo se requiere de tratamiento especial y adecuado para preservar los libros del archivo, por lo que cada vez que se programa jornada de aseo, se les hace la"&amp;"s respectivas recomendaciones a las funcionarias de la Empresa contratada (Tempoaseo).  Se adjunta evidencia fotográfica.
")</f>
        <v>
Durante este primer monitoreo NO se materializó el riesgo. 
Para el presente riesgo no se reportan acciones de tratamiento , debido a que se acepta el riesgo por ello solamente se reportan controles:
1 .- De acuerdo al Manual de Funciones y Competencias adoptado por la Universidad, El Técnico Operativo y el Auxiliar Administrativo, son las personas encargadas de custodiar, velar, llevar, mantener organizar y actualizar el archivo con la documentación inherente a las actividades de la Tesorería, de acuerdo con las normas técnicas en materia de archivo general y tablas de retención documental. De esta manera, se realizan los debidos controles preventivos de acceso al área de archivo.  Se anexa evidencia fotográfica. 
2 .- Se adoptó el procedimiento 2 PD-FIN-05 PROCEDIMIENTO DE CONSULTA Y PRESTAMO DE DOCUMENTOS ARCHIVO DE GESTION DE TESORERIA, para prestar el servicio de consulta o préstamo de documentos a personal ajeno a la dependencia, con el fin de facilitar el acceso a los movimientos contables de Tesorería, el cual se encuentra implementado en la página del sig, de acuerdo al siguiente link: link: https://sig.unillanos.edu.co/phocadownload/PD-FIN-05%20PROCEDIMIENTO%20DE%20CONSULTA%20Y%20PRSTAMO%20DE%20DOCUMENTOS%20ARCHIVO%20DE%20GESTIN%20DE%20TESORERA.pdf.  De igual manera, se anexa el proceso adoptado.  
3 .- Para la limpieza del área de archivo se requiere de tratamiento especial y adecuado para preservar los libros del archivo, por lo que cada vez que se programa jornada de aseo, se les hace las respectivas recomendaciones a las funcionarias de la Empresa contratada (Tempoaseo).  Se adjunta evidencia fotográfica.
</v>
      </c>
      <c r="AC83" s="152" t="str">
        <f>IFERROR(__xludf.DUMMYFUNCTION("""COMPUTED_VALUE"""),"Tesoreria")</f>
        <v>Tesoreria</v>
      </c>
      <c r="AD83" s="153" t="str">
        <f>IFERROR(__xludf.DUMMYFUNCTION("""COMPUTED_VALUE"""),"Evidencia")</f>
        <v>Evidencia</v>
      </c>
      <c r="AE83" s="150" t="str">
        <f>IFERROR(__xludf.DUMMYFUNCTION("""COMPUTED_VALUE"""),"Si")</f>
        <v>Si</v>
      </c>
      <c r="AF83" s="150" t="str">
        <f>IFERROR(__xludf.DUMMYFUNCTION("""COMPUTED_VALUE"""),"En proceso")</f>
        <v>En proceso</v>
      </c>
      <c r="AG83" s="32" t="str">
        <f>IFERROR(__xludf.DUMMYFUNCTION("""COMPUTED_VALUE"""),"Materialización del riesgo:
Durante este primer monitoreo NO se materializó el riesgo.
Acciones asociadas al tratamiento:
No se reportan acciones de tratamiento, ya que el riesgo fue aceptado. Por tanto, se realiza seguimiento únicamente a los controles "&amp;"establecidos.
Sobre los controles:
Se evidencia que el reporte de controles incluye tres medidas implementadas para mitigar el riesgo:
1) la asignación de responsabilidades de custodia y organización del archivo a los cargos definidos en el Manual de Fun"&amp;"ciones, con controles preventivos sobre el acceso al área;
2) la adopción e implementación formal del procedimiento PD-FIN-05 para la consulta y préstamo de documentos a personal externo, disponible en el SIG institucional; y
3) la aplicación de protocolo"&amp;"s especiales de limpieza, comunicados a la empresa de aseo, para preservar adecuadamente los libros del archivo.
Estas acciones reflejan un control estructurado tanto desde el punto de vista organizativo como operativo. ")</f>
        <v>Materialización del riesgo:
Durante este primer monitoreo NO se materializó el riesgo.
Acciones asociadas al tratamiento:
No se reportan acciones de tratamiento, ya que el riesgo fue aceptado. Por tanto, se realiza seguimiento únicamente a los controles establecidos.
Sobre los controles:
Se evidencia que el reporte de controles incluye tres medidas implementadas para mitigar el riesgo:
1) la asignación de responsabilidades de custodia y organización del archivo a los cargos definidos en el Manual de Funciones, con controles preventivos sobre el acceso al área;
2) la adopción e implementación formal del procedimiento PD-FIN-05 para la consulta y préstamo de documentos a personal externo, disponible en el SIG institucional; y
3) la aplicación de protocolos especiales de limpieza, comunicados a la empresa de aseo, para preservar adecuadamente los libros del archivo.
Estas acciones reflejan un control estructurado tanto desde el punto de vista organizativo como operativo. </v>
      </c>
      <c r="AH83" s="150" t="str">
        <f>IFERROR(__xludf.DUMMYFUNCTION("""COMPUTED_VALUE"""),"30 de abril")</f>
        <v>30 de abril</v>
      </c>
      <c r="AI83" s="32" t="str">
        <f>IFERROR(__xludf.DUMMYFUNCTION("""COMPUTED_VALUE"""),"Si")</f>
        <v>Si</v>
      </c>
      <c r="AJ83" s="32" t="str">
        <f>IFERROR(__xludf.DUMMYFUNCTION("""COMPUTED_VALUE"""),"Si")</f>
        <v>Si</v>
      </c>
      <c r="AK83" s="32" t="str">
        <f>IFERROR(__xludf.DUMMYFUNCTION("""COMPUTED_VALUE"""),"Si")</f>
        <v>Si</v>
      </c>
      <c r="AL83" s="32" t="str">
        <f>IFERROR(__xludf.DUMMYFUNCTION("""COMPUTED_VALUE"""),"Si")</f>
        <v>Si</v>
      </c>
      <c r="AM83" s="32" t="str">
        <f>IFERROR(__xludf.DUMMYFUNCTION("""COMPUTED_VALUE"""),"Si")</f>
        <v>Si</v>
      </c>
      <c r="AN83" s="32" t="str">
        <f>IFERROR(__xludf.DUMMYFUNCTION("""COMPUTED_VALUE"""),"No")</f>
        <v>No</v>
      </c>
      <c r="AO83" s="32" t="str">
        <f>IFERROR(__xludf.DUMMYFUNCTION("""COMPUTED_VALUE"""),"No aplica")</f>
        <v>No aplica</v>
      </c>
      <c r="AP83" s="32" t="str">
        <f>IFERROR(__xludf.DUMMYFUNCTION("""COMPUTED_VALUE"""),"No aplica")</f>
        <v>No aplica</v>
      </c>
      <c r="AQ83" s="32" t="str">
        <f>IFERROR(__xludf.DUMMYFUNCTION("""COMPUTED_VALUE"""),"No aplica")</f>
        <v>No aplica</v>
      </c>
      <c r="AR83" s="32" t="str">
        <f>IFERROR(__xludf.DUMMYFUNCTION("""COMPUTED_VALUE"""),"No aplica")</f>
        <v>No aplica</v>
      </c>
      <c r="AS83" s="150" t="str">
        <f>IFERROR(__xludf.DUMMYFUNCTION("""COMPUTED_VALUE"""),"Recomendaciones:
*Fortalecer la descripción del riesgo, considerando la metodología de la Guía para la Administración del Riesgo y el diseño de controles en entidades públicas Versión 6, que propone los elementos para la descripción del riesgo, como son: "&amp;"
Impacto: las consecuencias que puede ocasionar a la organización la materialización del riesgo.
Causa inmediata: circunstancias o situaciones más evidentes sobre las cuales se presenta el riesgo, las mismas no constituyen la causa principal o base para q"&amp;"ue se presente el riesgo.
Causa raíz: es la causa principal o básica, corresponden a las razones por la cuales se puede presentar el riesgo, son la base para la definición de controles en la etapa de valoración del riesgo. Se debe tener en cuenta que para"&amp;" un mismo riesgo pueden existir más de una causa o subcausas que pueden ser analizadas.
")</f>
        <v>Recomendaciones:
*Fortalecer la descripción del riesgo, considerando la metodología de la Guía para la Administración del Riesgo y el diseño de controles en entidades públicas Versión 6, que propone los elementos para la descripción del riesgo, como son: 
Impacto: las consecuencias que puede ocasionar a la organización la materialización del riesgo.
Causa inmediata: circunstancias o situaciones más evidentes sobre las cuales se presenta el riesgo, las mismas no constituyen la causa principal o base para que se presente el riesgo.
Causa raíz: es la causa principal o básica, corresponden a las razones por la cuales se puede presentar el riesgo, son la base para la definición de controles en la etapa de valoración del riesgo. Se debe tener en cuenta que para un mismo riesgo pueden existir más de una causa o subcausas que pueden ser analizadas.
</v>
      </c>
      <c r="AT83" s="139"/>
    </row>
    <row r="84">
      <c r="A84" s="86"/>
      <c r="B84" s="73"/>
      <c r="C84" s="73"/>
      <c r="D84" s="156"/>
      <c r="E84" s="156"/>
      <c r="F84" s="156"/>
      <c r="G84" s="156"/>
      <c r="H84" s="156"/>
      <c r="I84" s="156"/>
      <c r="J84" s="156"/>
      <c r="K84" s="156"/>
      <c r="L84" s="156"/>
      <c r="M84" s="156"/>
      <c r="N84" s="156"/>
      <c r="O84" s="156"/>
      <c r="P84" s="156"/>
      <c r="Q84" s="157"/>
      <c r="R84" s="158" t="str">
        <f>IFERROR(__xludf.DUMMYFUNCTION("""COMPUTED_VALUE"""),"")</f>
        <v/>
      </c>
      <c r="S84" s="159" t="str">
        <f>IFERROR(__xludf.DUMMYFUNCTION("""COMPUTED_VALUE"""),"")</f>
        <v/>
      </c>
      <c r="T84" s="170"/>
      <c r="U84" s="170"/>
      <c r="V84" s="94"/>
      <c r="W84" s="94"/>
      <c r="X84" s="94"/>
      <c r="Y84" s="94"/>
      <c r="Z84" s="150" t="str">
        <f>IFERROR(__xludf.DUMMYFUNCTION("""COMPUTED_VALUE"""),"30 de agosto")</f>
        <v>30 de agosto</v>
      </c>
      <c r="AA84" s="151">
        <f>IFERROR(__xludf.DUMMYFUNCTION("""COMPUTED_VALUE"""),45898.0)</f>
        <v>45898</v>
      </c>
      <c r="AB84" s="150" t="str">
        <f>IFERROR(__xludf.DUMMYFUNCTION("""COMPUTED_VALUE"""),"""
En el segundo monitoreo NO se materializa el riesgo. 
No se reportan acciones de tratamiento , debido a que se acepta el riesgo por ello solamente se reportan controles, de acuerdo a la acción de mejora y/o control propuesto :
1 .- De acuerdo al Manu"&amp;"al de Funciones y Competencias adoptado por la Universidad, El Técnico Operativo y el Auxiliar Administrativo, son las personas encargadas de custodiar, velar, llevar, mantener organizar y actualizar el archivo con la documentación inherente a las activid"&amp;"ades de la Tesorería, de acuerdo con las normas técnicas en materia de archivo general y tablas de retención documental. De esta manera, se realizan los debidos controles preventivos de acceso al área de archivo.  Se anexa evidencia fotográfica. 
2 .- Se"&amp;" adoptó el procedimiento 2 PD-FIN-05 PROCEDIMIENTO DE CONSULTA Y PRESTAMO DE DOCUMENTOS ARCHIVO DE GESTION DE TESORERIA, para prestar el servicio de consulta o préstamo de documentos a personal ajeno a la dependencia, con el fin de facilitar el acceso a l"&amp;"os movimientos contables de Tesorería, el cual se encuentra implementado en la página del sig, de acuerdo al siguiente link: link: https://sig.unillanos.edu.co/phocadownload/PD-FIN-05%20PROCEDIMIENTO%20DE%20CONSULTA%20Y%20PRSTAMO%20DE%20DOCUMENTOS%20ARCHI"&amp;"VO%20DE%20GESTIN%20DE%20TESORERA.pdf.  De igual manera, se anexa el proceso adoptado.  
3 .- Para la limpieza del área de archivo se requiere de tratamiento especial y adecuado para preservar los libros del archivo, por lo que cada vez que se programa jo"&amp;"rnada de aseo, se les hace las respectivas recomendaciones a las funcionarias de la Empresa contratada (Tempoaseo).  Se adjunta evidencia fotográfica.
""")</f>
        <v>"
En el segundo monitoreo NO se materializa el riesgo. 
No se reportan acciones de tratamiento , debido a que se acepta el riesgo por ello solamente se reportan controles, de acuerdo a la acción de mejora y/o control propuesto :
1 .- De acuerdo al Manual de Funciones y Competencias adoptado por la Universidad, El Técnico Operativo y el Auxiliar Administrativo, son las personas encargadas de custodiar, velar, llevar, mantener organizar y actualizar el archivo con la documentación inherente a las actividades de la Tesorería, de acuerdo con las normas técnicas en materia de archivo general y tablas de retención documental. De esta manera, se realizan los debidos controles preventivos de acceso al área de archivo.  Se anexa evidencia fotográfica. 
2 .- Se adoptó el procedimiento 2 PD-FIN-05 PROCEDIMIENTO DE CONSULTA Y PRESTAMO DE DOCUMENTOS ARCHIVO DE GESTION DE TESORERIA, para prestar el servicio de consulta o préstamo de documentos a personal ajeno a la dependencia, con el fin de facilitar el acceso a los movimientos contables de Tesorería, el cual se encuentra implementado en la página del sig, de acuerdo al siguiente link: link: https://sig.unillanos.edu.co/phocadownload/PD-FIN-05%20PROCEDIMIENTO%20DE%20CONSULTA%20Y%20PRSTAMO%20DE%20DOCUMENTOS%20ARCHIVO%20DE%20GESTIN%20DE%20TESORERA.pdf.  De igual manera, se anexa el proceso adoptado.  
3 .- Para la limpieza del área de archivo se requiere de tratamiento especial y adecuado para preservar los libros del archivo, por lo que cada vez que se programa jornada de aseo, se les hace las respectivas recomendaciones a las funcionarias de la Empresa contratada (Tempoaseo).  Se adjunta evidencia fotográfica.
"</v>
      </c>
      <c r="AC84" s="152" t="str">
        <f>IFERROR(__xludf.DUMMYFUNCTION("""COMPUTED_VALUE"""),"Tesoreria")</f>
        <v>Tesoreria</v>
      </c>
      <c r="AD84" s="153" t="str">
        <f>IFERROR(__xludf.DUMMYFUNCTION("""COMPUTED_VALUE"""),"Evidencia")</f>
        <v>Evidencia</v>
      </c>
      <c r="AE84" s="150" t="str">
        <f>IFERROR(__xludf.DUMMYFUNCTION("""COMPUTED_VALUE"""),"Si")</f>
        <v>Si</v>
      </c>
      <c r="AF84" s="152" t="str">
        <f>IFERROR(__xludf.DUMMYFUNCTION("""COMPUTED_VALUE"""),"En proceso")</f>
        <v>En proceso</v>
      </c>
      <c r="AG84" s="32" t="str">
        <f>IFERROR(__xludf.DUMMYFUNCTION("""COMPUTED_VALUE"""),"Durante este segundo monitoreo no se materializó el riesgo.
En lo relacionado con las acciones de tratamiento, debido a que el riesgo fue aceptado, no aplican; por lo tanto, se atiende lo proyectado dentro de los controles de la siguiente forma:
Control"&amp;"es implementados:
Control 1: La oficina de Tesorería ha restringido el acceso al área de archivo de tesorería a personal no autorizado.
Avance: De acuerdo con el Manual de Funciones y Competencias, el Técnico Operativo y el Auxiliar Administrativo son re"&amp;"sponsables de custodiar, organizar y actualizar el archivo de la Tesorería, asegurando los controles de acceso. Se anexa evidencia fotográfica.
Control 2: El Tesorero ha documentado el procedimiento de archivo de tesorería para consulta de material, con "&amp;"el fin de establecer controles en el acceso a los documentos.
Avance: Se adoptó el procedimiento PD-FIN-05 Procedimiento de consulta y préstamo de documentos archivo de gestión de Tesorería, disponible en el SIG institucional, el cual regula el acceso y p"&amp;"réstamo de documentos. Se anexa copia del procedimiento como evidencia.
Control 3: El personal de aseo limpia el área de archivo de la Tesorería.
Avance: Se realizan recomendaciones al personal de aseo de la empresa contratista (Tempoaseo) para garantiza"&amp;"r el tratamiento especial y la preservación de los libros del archivo. Se anexa evidencia fotográfica de la gestión.")</f>
        <v>Durante este segundo monitoreo no se materializó el riesgo.
En lo relacionado con las acciones de tratamiento, debido a que el riesgo fue aceptado, no aplican; por lo tanto, se atiende lo proyectado dentro de los controles de la siguiente forma:
Controles implementados:
Control 1: La oficina de Tesorería ha restringido el acceso al área de archivo de tesorería a personal no autorizado.
Avance: De acuerdo con el Manual de Funciones y Competencias, el Técnico Operativo y el Auxiliar Administrativo son responsables de custodiar, organizar y actualizar el archivo de la Tesorería, asegurando los controles de acceso. Se anexa evidencia fotográfica.
Control 2: El Tesorero ha documentado el procedimiento de archivo de tesorería para consulta de material, con el fin de establecer controles en el acceso a los documentos.
Avance: Se adoptó el procedimiento PD-FIN-05 Procedimiento de consulta y préstamo de documentos archivo de gestión de Tesorería, disponible en el SIG institucional, el cual regula el acceso y préstamo de documentos. Se anexa copia del procedimiento como evidencia.
Control 3: El personal de aseo limpia el área de archivo de la Tesorería.
Avance: Se realizan recomendaciones al personal de aseo de la empresa contratista (Tempoaseo) para garantizar el tratamiento especial y la preservación de los libros del archivo. Se anexa evidencia fotográfica de la gestión.</v>
      </c>
      <c r="AH84" s="150" t="str">
        <f>IFERROR(__xludf.DUMMYFUNCTION("""COMPUTED_VALUE"""),"31 de agosto")</f>
        <v>31 de agosto</v>
      </c>
      <c r="AI84" s="32" t="str">
        <f>IFERROR(__xludf.DUMMYFUNCTION("""COMPUTED_VALUE"""),"Si")</f>
        <v>Si</v>
      </c>
      <c r="AJ84" s="32" t="str">
        <f>IFERROR(__xludf.DUMMYFUNCTION("""COMPUTED_VALUE"""),"Si")</f>
        <v>Si</v>
      </c>
      <c r="AK84" s="32" t="str">
        <f>IFERROR(__xludf.DUMMYFUNCTION("""COMPUTED_VALUE"""),"Si")</f>
        <v>Si</v>
      </c>
      <c r="AL84" s="32" t="str">
        <f>IFERROR(__xludf.DUMMYFUNCTION("""COMPUTED_VALUE"""),"Si")</f>
        <v>Si</v>
      </c>
      <c r="AM84" s="32" t="str">
        <f>IFERROR(__xludf.DUMMYFUNCTION("""COMPUTED_VALUE"""),"Si")</f>
        <v>Si</v>
      </c>
      <c r="AN84" s="32" t="str">
        <f>IFERROR(__xludf.DUMMYFUNCTION("""COMPUTED_VALUE"""),"No")</f>
        <v>No</v>
      </c>
      <c r="AO84" s="32" t="str">
        <f>IFERROR(__xludf.DUMMYFUNCTION("""COMPUTED_VALUE"""),"No aplica")</f>
        <v>No aplica</v>
      </c>
      <c r="AP84" s="32" t="str">
        <f>IFERROR(__xludf.DUMMYFUNCTION("""COMPUTED_VALUE"""),"No aplica")</f>
        <v>No aplica</v>
      </c>
      <c r="AQ84" s="32" t="str">
        <f>IFERROR(__xludf.DUMMYFUNCTION("""COMPUTED_VALUE"""),"No aplica")</f>
        <v>No aplica</v>
      </c>
      <c r="AR84" s="32" t="str">
        <f>IFERROR(__xludf.DUMMYFUNCTION("""COMPUTED_VALUE"""),"No aplica")</f>
        <v>No aplica</v>
      </c>
      <c r="AS84" s="150" t="str">
        <f>IFERROR(__xludf.DUMMYFUNCTION("""COMPUTED_VALUE"""),"Se reiteran las recomendaciones generadas en la evaluación del primer cuatrimestre:
*Fortalecer la descripción del riesgo, considerando la metodología de la Guía para la Administración del Riesgo y el diseño de controles en entidades públicas Versión 6, q"&amp;"ue propone los elementos para la descripción del riesgo, como son: 
Impacto: las consecuencias que puede ocasionar a la organización la materialización del riesgo.
Causa inmediata: circunstancias o situaciones más evidentes sobre las cuales se presenta el"&amp;" riesgo, las mismas no constituyen la causa principal o base para que se presente el riesgo.
Causa raíz: es la causa principal o básica, corresponden a las razones por la cuales se puede presentar el riesgo, son la base para la definición de controles en "&amp;"la etapa de valoración del riesgo. Se debe tener en cuenta que para un mismo riesgo pueden existir más de una causa o subcausas que pueden ser analizadas.
")</f>
        <v>Se reiteran las recomendaciones generadas en la evaluación del primer cuatrimestre:
*Fortalecer la descripción del riesgo, considerando la metodología de la Guía para la Administración del Riesgo y el diseño de controles en entidades públicas Versión 6, que propone los elementos para la descripción del riesgo, como son: 
Impacto: las consecuencias que puede ocasionar a la organización la materialización del riesgo.
Causa inmediata: circunstancias o situaciones más evidentes sobre las cuales se presenta el riesgo, las mismas no constituyen la causa principal o base para que se presente el riesgo.
Causa raíz: es la causa principal o básica, corresponden a las razones por la cuales se puede presentar el riesgo, son la base para la definición de controles en la etapa de valoración del riesgo. Se debe tener en cuenta que para un mismo riesgo pueden existir más de una causa o subcausas que pueden ser analizadas.
</v>
      </c>
      <c r="AT84" s="139"/>
    </row>
    <row r="85">
      <c r="A85" s="86"/>
      <c r="B85" s="73"/>
      <c r="C85" s="73"/>
      <c r="D85" s="119"/>
      <c r="E85" s="119"/>
      <c r="F85" s="119"/>
      <c r="G85" s="119"/>
      <c r="H85" s="119"/>
      <c r="I85" s="119"/>
      <c r="J85" s="119"/>
      <c r="K85" s="119"/>
      <c r="L85" s="119"/>
      <c r="M85" s="119"/>
      <c r="N85" s="119"/>
      <c r="O85" s="119"/>
      <c r="P85" s="119"/>
      <c r="Q85" s="162"/>
      <c r="R85" s="163" t="str">
        <f>IFERROR(__xludf.DUMMYFUNCTION("""COMPUTED_VALUE"""),"")</f>
        <v/>
      </c>
      <c r="S85" s="164" t="str">
        <f>IFERROR(__xludf.DUMMYFUNCTION("""COMPUTED_VALUE"""),"")</f>
        <v/>
      </c>
      <c r="T85" s="176"/>
      <c r="U85" s="176"/>
      <c r="V85" s="98"/>
      <c r="W85" s="98"/>
      <c r="X85" s="98"/>
      <c r="Y85" s="98"/>
      <c r="Z85" s="150" t="str">
        <f>IFERROR(__xludf.DUMMYFUNCTION("""COMPUTED_VALUE"""),"30 de diciembre")</f>
        <v>30 de diciembre</v>
      </c>
      <c r="AA85" s="151">
        <f>IFERROR(__xludf.DUMMYFUNCTION("""COMPUTED_VALUE"""),45994.0)</f>
        <v>45994</v>
      </c>
      <c r="AB85" s="150" t="str">
        <f>IFERROR(__xludf.DUMMYFUNCTION("""COMPUTED_VALUE"""),"En el tercer monitoreo NO se materializa el riesgo. 
No se reportan acciones de tratamiento , debido a que se acepta el riesgo por ello solamente se reportan controles, de acuerdo a la acción de mejora y/o control propuesto :
1 .- De acuerdo al Manual d"&amp;"e Funciones y Competencias adoptado por la Universidad, El Técnico Operativo y el Auxiliar Administrativo, son las personas encargadas de custodiar, velar, llevar, mantener organizar y actualizar el archivo con la documentación inherente a las actividades"&amp;" de la Tesorería, de acuerdo con las normas técnicas en materia de archivo general y tablas de retención documental. De esta manera, se realizan los debidos controles preventivos de acceso al área de archivo.  Se anexa evidencia fotográfica. 
2 .- Se ado"&amp;"ptó el procedimiento 2 PD-FIN-05 PROCEDIMIENTO DE CONSULTA Y PRESTAMO DE DOCUMENTOS ARCHIVO DE GESTION DE TESORERIA, para prestar el servicio de consulta o préstamo de documentos a personal ajeno a la dependencia, con el fin de facilitar el acceso a los m"&amp;"ovimientos contables de Tesorería, el cual se encuentra implementado en la página del sig, de acuerdo al siguiente link: link: https://sig.unillanos.edu.co/phocadownload/PD-FIN-05%20PROCEDIMIENTO%20DE%20CONSULTA%20Y%20PRSTAMO%20DE%20DOCUMENTOS%20ARCHIVO%2"&amp;"0DE%20GESTIN%20DE%20TESORERA.pdf.  De igual manera, se anexa el proceso adoptado.  
3 .- Para la limpieza del área de archivo se requiere de tratamiento especial y adecuado para preservar los libros del archivo, por lo que cada vez que se programa jornad"&amp;"a de aseo, se les hace las respectivas recomendaciones a las funcionarias de la Empresa contratada (Tempoaseo).  Se adjunta evidencia fotográfica.
DE ACUERDO LAS OBSERVACIONES GENERADAS EN EVALUACIONES ANTERIORES, LA TESORERIA SUSCRIBIRA EL RIESGO, PARA "&amp;"LA SIGUIENTE VIGENCIA, BASADA EN ""LA GUIA PARA LA ADMINISTRACION DEL RIESGO Y EL DISEÑO DE CONTROLES EN ENTIDADES PUBLICAS VERSION 6"" ")</f>
        <v>En el tercer monitoreo NO se materializa el riesgo. 
No se reportan acciones de tratamiento , debido a que se acepta el riesgo por ello solamente se reportan controles, de acuerdo a la acción de mejora y/o control propuesto :
1 .- De acuerdo al Manual de Funciones y Competencias adoptado por la Universidad, El Técnico Operativo y el Auxiliar Administrativo, son las personas encargadas de custodiar, velar, llevar, mantener organizar y actualizar el archivo con la documentación inherente a las actividades de la Tesorería, de acuerdo con las normas técnicas en materia de archivo general y tablas de retención documental. De esta manera, se realizan los debidos controles preventivos de acceso al área de archivo.  Se anexa evidencia fotográfica. 
2 .- Se adoptó el procedimiento 2 PD-FIN-05 PROCEDIMIENTO DE CONSULTA Y PRESTAMO DE DOCUMENTOS ARCHIVO DE GESTION DE TESORERIA, para prestar el servicio de consulta o préstamo de documentos a personal ajeno a la dependencia, con el fin de facilitar el acceso a los movimientos contables de Tesorería, el cual se encuentra implementado en la página del sig, de acuerdo al siguiente link: link: https://sig.unillanos.edu.co/phocadownload/PD-FIN-05%20PROCEDIMIENTO%20DE%20CONSULTA%20Y%20PRSTAMO%20DE%20DOCUMENTOS%20ARCHIVO%20DE%20GESTIN%20DE%20TESORERA.pdf.  De igual manera, se anexa el proceso adoptado.  
3 .- Para la limpieza del área de archivo se requiere de tratamiento especial y adecuado para preservar los libros del archivo, por lo que cada vez que se programa jornada de aseo, se les hace las respectivas recomendaciones a las funcionarias de la Empresa contratada (Tempoaseo).  Se adjunta evidencia fotográfica.
DE ACUERDO LAS OBSERVACIONES GENERADAS EN EVALUACIONES ANTERIORES, LA TESORERIA SUSCRIBIRA EL RIESGO, PARA LA SIGUIENTE VIGENCIA, BASADA EN "LA GUIA PARA LA ADMINISTRACION DEL RIESGO Y EL DISEÑO DE CONTROLES EN ENTIDADES PUBLICAS VERSION 6" </v>
      </c>
      <c r="AC85" s="152" t="str">
        <f>IFERROR(__xludf.DUMMYFUNCTION("""COMPUTED_VALUE"""),"Tesorería")</f>
        <v>Tesorería</v>
      </c>
      <c r="AD85" s="153" t="str">
        <f>IFERROR(__xludf.DUMMYFUNCTION("""COMPUTED_VALUE"""),"Evidencia")</f>
        <v>Evidencia</v>
      </c>
      <c r="AE85" s="150" t="str">
        <f>IFERROR(__xludf.DUMMYFUNCTION("""COMPUTED_VALUE"""),"No aplica")</f>
        <v>No aplica</v>
      </c>
      <c r="AF85" s="152" t="str">
        <f>IFERROR(__xludf.DUMMYFUNCTION("""COMPUTED_VALUE"""),"Ejecutada")</f>
        <v>Ejecutada</v>
      </c>
      <c r="AG85" s="32" t="str">
        <f>IFERROR(__xludf.DUMMYFUNCTION("""COMPUTED_VALUE"""),"-Dado que este riesgo se encuentra aceptado, no se reportan acciones de tratamiento. Únicamente se relacionan los controles establecidos para su gestión:
-Custodia y control del archivo:
El Técnico Operativo y el Auxiliar Administrativo realizan la organ"&amp;"ización, actualización y custodia del archivo de Tesorería, garantizando el cumplimiento de las normas del Archivo General y las Tablas de Retención Documental. Se mantienen controles preventivos de acceso al área. -
-Procedimiento de consulta y préstamo"&amp;" de documentos:
Se encuentra implementado el procedimiento PD-FIN-05, que regula el acceso y préstamo de documentos del Archivo de Gestión de Tesorería. El procedimiento está publicado en el SIG institucional. 
-Recomendaciones para jornadas de aseo:
Dur"&amp;"ante la programación de limpieza del archivo, se brindan indicaciones específicas al personal de la empresa contratista para preservar adecuadamente los libros y documentos. Se adjunta evidencia fotográfica.                                                "&amp;"                                                -Se sugiere mantener el riesgo suscrito para la siguiente vigencia, conforme a los lineamientos de la Guía para la Administración del Riesgo y el Diseño de Controles en Entidades Públicas – Versión 6")</f>
        <v>-Dado que este riesgo se encuentra aceptado, no se reportan acciones de tratamiento. Únicamente se relacionan los controles establecidos para su gestión:
-Custodia y control del archivo:
El Técnico Operativo y el Auxiliar Administrativo realizan la organización, actualización y custodia del archivo de Tesorería, garantizando el cumplimiento de las normas del Archivo General y las Tablas de Retención Documental. Se mantienen controles preventivos de acceso al área. -
-Procedimiento de consulta y préstamo de documentos:
Se encuentra implementado el procedimiento PD-FIN-05, que regula el acceso y préstamo de documentos del Archivo de Gestión de Tesorería. El procedimiento está publicado en el SIG institucional. 
-Recomendaciones para jornadas de aseo:
Durante la programación de limpieza del archivo, se brindan indicaciones específicas al personal de la empresa contratista para preservar adecuadamente los libros y documentos. Se adjunta evidencia fotográfica.                                                                                                -Se sugiere mantener el riesgo suscrito para la siguiente vigencia, conforme a los lineamientos de la Guía para la Administración del Riesgo y el Diseño de Controles en Entidades Públicas – Versión 6</v>
      </c>
      <c r="AH85" s="150" t="str">
        <f>IFERROR(__xludf.DUMMYFUNCTION("""COMPUTED_VALUE"""),"31 de diciembre")</f>
        <v>31 de diciembre</v>
      </c>
      <c r="AI85" s="32" t="str">
        <f>IFERROR(__xludf.DUMMYFUNCTION("""COMPUTED_VALUE"""),"Si")</f>
        <v>Si</v>
      </c>
      <c r="AJ85" s="32" t="str">
        <f>IFERROR(__xludf.DUMMYFUNCTION("""COMPUTED_VALUE"""),"Si")</f>
        <v>Si</v>
      </c>
      <c r="AK85" s="32" t="str">
        <f>IFERROR(__xludf.DUMMYFUNCTION("""COMPUTED_VALUE"""),"Si")</f>
        <v>Si</v>
      </c>
      <c r="AL85" s="32" t="str">
        <f>IFERROR(__xludf.DUMMYFUNCTION("""COMPUTED_VALUE"""),"Si")</f>
        <v>Si</v>
      </c>
      <c r="AM85" s="32" t="str">
        <f>IFERROR(__xludf.DUMMYFUNCTION("""COMPUTED_VALUE"""),"Si")</f>
        <v>Si</v>
      </c>
      <c r="AN85" s="32" t="str">
        <f>IFERROR(__xludf.DUMMYFUNCTION("""COMPUTED_VALUE"""),"No")</f>
        <v>No</v>
      </c>
      <c r="AO85" s="32" t="str">
        <f>IFERROR(__xludf.DUMMYFUNCTION("""COMPUTED_VALUE"""),"No aplica")</f>
        <v>No aplica</v>
      </c>
      <c r="AP85" s="32" t="str">
        <f>IFERROR(__xludf.DUMMYFUNCTION("""COMPUTED_VALUE"""),"No aplica")</f>
        <v>No aplica</v>
      </c>
      <c r="AQ85" s="32" t="str">
        <f>IFERROR(__xludf.DUMMYFUNCTION("""COMPUTED_VALUE"""),"No aplica")</f>
        <v>No aplica</v>
      </c>
      <c r="AR85" s="32" t="str">
        <f>IFERROR(__xludf.DUMMYFUNCTION("""COMPUTED_VALUE"""),"No aplica")</f>
        <v>No aplica</v>
      </c>
      <c r="AS85" s="150" t="str">
        <f>IFERROR(__xludf.DUMMYFUNCTION("""COMPUTED_VALUE"""),"Se reiteran las recomendaciones generadas en la evaluación del primer y segundo  cuatrimestre:
*Fortalecer la descripción del riesgo, considerando la metodología de la Guía para la Administración del Riesgo y el diseño de controles en entidades públicas V"&amp;"ersión 6, que propone los elementos para la descripción del riesgo, como son: 
Impacto: las consecuencias que puede ocasionar a la organización la materialización del riesgo.
Causa inmediata: circunstancias o situaciones más evidentes sobre las cuales se "&amp;"presenta el riesgo, las mismas no constituyen la causa principal o base para que se presente el riesgo.
Causa raíz: es la causa principal o básica, corresponden a las razones por la cuales se puede presentar el riesgo, son la base para la definición de co"&amp;"ntroles en la etapa de valoración del riesgo. Se debe tener en cuenta que para un mismo riesgo pueden existir más de una causa o subcausas que pueden ser analizadas.
")</f>
        <v>Se reiteran las recomendaciones generadas en la evaluación del primer y segundo  cuatrimestre:
*Fortalecer la descripción del riesgo, considerando la metodología de la Guía para la Administración del Riesgo y el diseño de controles en entidades públicas Versión 6, que propone los elementos para la descripción del riesgo, como son: 
Impacto: las consecuencias que puede ocasionar a la organización la materialización del riesgo.
Causa inmediata: circunstancias o situaciones más evidentes sobre las cuales se presenta el riesgo, las mismas no constituyen la causa principal o base para que se presente el riesgo.
Causa raíz: es la causa principal o básica, corresponden a las razones por la cuales se puede presentar el riesgo, son la base para la definición de controles en la etapa de valoración del riesgo. Se debe tener en cuenta que para un mismo riesgo pueden existir más de una causa o subcausas que pueden ser analizadas.
</v>
      </c>
      <c r="AT85" s="139"/>
    </row>
    <row r="86">
      <c r="A86" s="86"/>
      <c r="B86" s="73"/>
      <c r="C86" s="73"/>
      <c r="D86" s="144" t="str">
        <f>IFERROR(__xludf.DUMMYFUNCTION("""COMPUTED_VALUE"""),"Afectación económica y reputacional por emisión de informes con inexactitud en la información debido a los cambios de normatividad de entes de control externos")</f>
        <v>Afectación económica y reputacional por emisión de informes con inexactitud en la información debido a los cambios de normatividad de entes de control externos</v>
      </c>
      <c r="E86" s="144" t="str">
        <f>IFERROR(__xludf.DUMMYFUNCTION("""COMPUTED_VALUE"""),"Oficina de presupuesto")</f>
        <v>Oficina de presupuesto</v>
      </c>
      <c r="F86" s="144" t="str">
        <f>IFERROR(__xludf.DUMMYFUNCTION("""COMPUTED_VALUE"""),"Financiero")</f>
        <v>Financiero</v>
      </c>
      <c r="G86" s="144" t="str">
        <f>IFERROR(__xludf.DUMMYFUNCTION("""COMPUTED_VALUE"""),"- Cambios en los formatos que emite el ente de control
- Retrasos en el desarrollo de software dentro de la plataforma SICOF
- Información reportada con  inexactitud por parte de las dependencias ")</f>
        <v>- Cambios en los formatos que emite el ente de control
- Retrasos en el desarrollo de software dentro de la plataforma SICOF
- Información reportada con  inexactitud por parte de las dependencias </v>
      </c>
      <c r="H86" s="144" t="str">
        <f>IFERROR(__xludf.DUMMYFUNCTION("""COMPUTED_VALUE"""),"- Sanciones disciplinarias
- Sanciones fiscales
- Afectación de la imagen institucional")</f>
        <v>- Sanciones disciplinarias
- Sanciones fiscales
- Afectación de la imagen institucional</v>
      </c>
      <c r="I86" s="145" t="str">
        <f>IFERROR(__xludf.DUMMYFUNCTION("""COMPUTED_VALUE"""),"FIN_03")</f>
        <v>FIN_03</v>
      </c>
      <c r="J86" s="145" t="str">
        <f>IFERROR(__xludf.DUMMYFUNCTION("""COMPUTED_VALUE"""),"Baja")</f>
        <v>Baja</v>
      </c>
      <c r="K86" s="145" t="str">
        <f>IFERROR(__xludf.DUMMYFUNCTION("""COMPUTED_VALUE"""),"Menor")</f>
        <v>Menor</v>
      </c>
      <c r="L86" s="145" t="str">
        <f>IFERROR(__xludf.DUMMYFUNCTION("""COMPUTED_VALUE"""),"Baja")</f>
        <v>Baja</v>
      </c>
      <c r="M86" s="144" t="str">
        <f>IFERROR(__xludf.DUMMYFUNCTION("""COMPUTED_VALUE"""),"- El profesional de la oficina de presupuesto, verifica la información reportada por las unidades académico administrativas, con el fin de evitar errores al momento de reportar información
- El jefe de la oficina de Presupuesto, solicita capacitación a lo"&amp;"s entes de Control, con el fin de promover las buenas prácticas en la dependencia
")</f>
        <v>- El profesional de la oficina de presupuesto, verifica la información reportada por las unidades académico administrativas, con el fin de evitar errores al momento de reportar información
- El jefe de la oficina de Presupuesto, solicita capacitación a los entes de Control, con el fin de promover las buenas prácticas en la dependencia
</v>
      </c>
      <c r="N86" s="145" t="str">
        <f>IFERROR(__xludf.DUMMYFUNCTION("""COMPUTED_VALUE"""),"Muy baja")</f>
        <v>Muy baja</v>
      </c>
      <c r="O86" s="145" t="str">
        <f>IFERROR(__xludf.DUMMYFUNCTION("""COMPUTED_VALUE"""),"Menor")</f>
        <v>Menor</v>
      </c>
      <c r="P86" s="145" t="str">
        <f>IFERROR(__xludf.DUMMYFUNCTION("""COMPUTED_VALUE"""),"Baja")</f>
        <v>Baja</v>
      </c>
      <c r="Q86" s="178" t="str">
        <f>IFERROR(__xludf.DUMMYFUNCTION("""COMPUTED_VALUE"""),"Aceptar")</f>
        <v>Aceptar</v>
      </c>
      <c r="R86" s="158" t="str">
        <f>IFERROR(__xludf.DUMMYFUNCTION("""COMPUTED_VALUE"""),"Ya que se acepta el riesgo, no se determinan acciones de tratamiento, sin embargo se monitorea la aplicación de los controles")</f>
        <v>Ya que se acepta el riesgo, no se determinan acciones de tratamiento, sin embargo se monitorea la aplicación de los controles</v>
      </c>
      <c r="S86" s="159" t="str">
        <f>IFERROR(__xludf.DUMMYFUNCTION("""COMPUTED_VALUE"""),"N/A")</f>
        <v>N/A</v>
      </c>
      <c r="T86" s="170" t="str">
        <f>IFERROR(__xludf.DUMMYFUNCTION("""COMPUTED_VALUE"""),"N/A")</f>
        <v>N/A</v>
      </c>
      <c r="U86" s="170" t="str">
        <f>IFERROR(__xludf.DUMMYFUNCTION("""COMPUTED_VALUE"""),"N/A")</f>
        <v>N/A</v>
      </c>
      <c r="V86" s="167" t="str">
        <f>IFERROR(__xludf.DUMMYFUNCTION("""COMPUTED_VALUE"""),"Modificar el informe antes del cierre de las plataformas de los entes de control (si no se han cerrado las plataformas)")</f>
        <v>Modificar el informe antes del cierre de las plataformas de los entes de control (si no se han cerrado las plataformas)</v>
      </c>
      <c r="W86" s="167" t="str">
        <f>IFERROR(__xludf.DUMMYFUNCTION("""COMPUTED_VALUE"""),"Reporte de la plataforma ")</f>
        <v>Reporte de la plataforma </v>
      </c>
      <c r="X86" s="169" t="str">
        <f>IFERROR(__xludf.DUMMYFUNCTION("""COMPUTED_VALUE"""),"Jefe de Presupuesto")</f>
        <v>Jefe de Presupuesto</v>
      </c>
      <c r="Y86" s="169" t="str">
        <f>IFERROR(__xludf.DUMMYFUNCTION("""COMPUTED_VALUE"""),"Inmediato")</f>
        <v>Inmediato</v>
      </c>
      <c r="Z86" s="150" t="str">
        <f>IFERROR(__xludf.DUMMYFUNCTION("""COMPUTED_VALUE"""),"30 de abril")</f>
        <v>30 de abril</v>
      </c>
      <c r="AA86" s="201">
        <f>IFERROR(__xludf.DUMMYFUNCTION("""COMPUTED_VALUE"""),45734.0)</f>
        <v>45734</v>
      </c>
      <c r="AB86" s="150" t="str">
        <f>IFERROR(__xludf.DUMMYFUNCTION("""COMPUTED_VALUE"""),"
Durante este primer monitoreo NO se materializó el riesgo. 
Para el presente riesgo no se reportan acciones de tratamiento , debido a que se acepta el riesgo por ello solamente se reportan controles:
                                                   "&amp;"                                                                                                                                                                                                                                                               "&amp;"                                                                                                                                               Control 1: Un profesional de Presupuesto se encarga de revisar solicitudes de CDP Y REG, para que los recursos n"&amp;"o sean desviados a otros rubros o centros de costo y por medio de tickets se realiza seguimiento a algunos errores que presentan los CDP y REGISTROS en  la no visualización de firmas.                                                                        "&amp;"                                                                                                                                                                                                                                                         
Contr"&amp;"ol 2: Para esta vigencia 2025 desde la Direccion Financiera con el acompañamiento del Jefe y un Profesional de apoyo se dictó capacitación para diferentes dependiencias de  la Universidad de los Llanos. Con el fin de disminuir error humano, para realizar "&amp;"CDP Y REG de manera masiva para la práctica que realizan los estudiantes de extramuro, para así implementarlo y ser actualizado en el procedimiento del Presupuesto.           ")</f>
        <v>
Durante este primer monitoreo NO se materializó el riesgo. 
Para el presente riesgo no se reportan acciones de tratamiento , debido a que se acepta el riesgo por ello solamente se reportan controles:
                                                                                                                                                                                                                                                                                                                                                                                                                                                                 Control 1: Un profesional de Presupuesto se encarga de revisar solicitudes de CDP Y REG, para que los recursos no sean desviados a otros rubros o centros de costo y por medio de tickets se realiza seguimiento a algunos errores que presentan los CDP y REGISTROS en  la no visualización de firmas.                                                                                                                                                                                                                                                                                                                                 
Control 2: Para esta vigencia 2025 desde la Direccion Financiera con el acompañamiento del Jefe y un Profesional de apoyo se dictó capacitación para diferentes dependiencias de  la Universidad de los Llanos. Con el fin de disminuir error humano, para realizar CDP Y REG de manera masiva para la práctica que realizan los estudiantes de extramuro, para así implementarlo y ser actualizado en el procedimiento del Presupuesto.           </v>
      </c>
      <c r="AC86" s="152" t="str">
        <f>IFERROR(__xludf.DUMMYFUNCTION("""COMPUTED_VALUE"""),"Jefe Direccion Financiera")</f>
        <v>Jefe Direccion Financiera</v>
      </c>
      <c r="AD86" s="153" t="str">
        <f>IFERROR(__xludf.DUMMYFUNCTION("""COMPUTED_VALUE"""),"Evidencia")</f>
        <v>Evidencia</v>
      </c>
      <c r="AE86" s="150" t="str">
        <f>IFERROR(__xludf.DUMMYFUNCTION("""COMPUTED_VALUE"""),"Si")</f>
        <v>Si</v>
      </c>
      <c r="AF86" s="150" t="str">
        <f>IFERROR(__xludf.DUMMYFUNCTION("""COMPUTED_VALUE"""),"En proceso")</f>
        <v>En proceso</v>
      </c>
      <c r="AG86" s="32" t="str">
        <f>IFERROR(__xludf.DUMMYFUNCTION("""COMPUTED_VALUE"""),"Materialización del riesgo:
Durante este primer monitoreo NO se materializó el riesgo.
Acciones asociadas al tratamiento:
No se reportan acciones de tratamiento, ya que el riesgo fue aceptado. Por tanto, el seguimiento se realiza únicamente sobre los con"&amp;"troles establecidos.
Sobre los controles:
Se evidencia que el reporte de avance incluye dos controles:
La revisión de las solicitudes de CDP y registros por parte de un profesional de presupuesto, con uso de tickets para hacer seguimiento a errores rela"&amp;"cionados con la visualización de firmas, lo cual busca prevenir desviaciones indebidas de recursos entre rubros o centros de costo.
La realización de una capacitación institucional por parte de la Dirección Financiera, con acompañamiento del jefe del áre"&amp;"a y un profesional de apoyo, dirigida a distintas dependencias de la Universidad, con el objetivo de reducir errores humanos en la elaboración masiva de CDP y registros vinculados a las prácticas estudiantiles extramuro.
Ambos controles fueron implementa"&amp;"dos conforme a lo previsto y cuentan con la respectiva evidencia de su ejecución, lo cual permite validar su aplicación efectiva y aporta positivamente a la mitigación del riesgo identificado.")</f>
        <v>Materialización del riesgo:
Durante este primer monitoreo NO se materializó el riesgo.
Acciones asociadas al tratamiento:
No se reportan acciones de tratamiento, ya que el riesgo fue aceptado. Por tanto, el seguimiento se realiza únicamente sobre los controles establecidos.
Sobre los controles:
Se evidencia que el reporte de avance incluye dos controles:
La revisión de las solicitudes de CDP y registros por parte de un profesional de presupuesto, con uso de tickets para hacer seguimiento a errores relacionados con la visualización de firmas, lo cual busca prevenir desviaciones indebidas de recursos entre rubros o centros de costo.
La realización de una capacitación institucional por parte de la Dirección Financiera, con acompañamiento del jefe del área y un profesional de apoyo, dirigida a distintas dependencias de la Universidad, con el objetivo de reducir errores humanos en la elaboración masiva de CDP y registros vinculados a las prácticas estudiantiles extramuro.
Ambos controles fueron implementados conforme a lo previsto y cuentan con la respectiva evidencia de su ejecución, lo cual permite validar su aplicación efectiva y aporta positivamente a la mitigación del riesgo identificado.</v>
      </c>
      <c r="AH86" s="150" t="str">
        <f>IFERROR(__xludf.DUMMYFUNCTION("""COMPUTED_VALUE"""),"30 de abril")</f>
        <v>30 de abril</v>
      </c>
      <c r="AI86" s="32" t="str">
        <f>IFERROR(__xludf.DUMMYFUNCTION("""COMPUTED_VALUE"""),"Si")</f>
        <v>Si</v>
      </c>
      <c r="AJ86" s="32" t="str">
        <f>IFERROR(__xludf.DUMMYFUNCTION("""COMPUTED_VALUE"""),"Si")</f>
        <v>Si</v>
      </c>
      <c r="AK86" s="32" t="str">
        <f>IFERROR(__xludf.DUMMYFUNCTION("""COMPUTED_VALUE"""),"Si")</f>
        <v>Si</v>
      </c>
      <c r="AL86" s="32" t="str">
        <f>IFERROR(__xludf.DUMMYFUNCTION("""COMPUTED_VALUE"""),"Si")</f>
        <v>Si</v>
      </c>
      <c r="AM86" s="32" t="str">
        <f>IFERROR(__xludf.DUMMYFUNCTION("""COMPUTED_VALUE"""),"Si")</f>
        <v>Si</v>
      </c>
      <c r="AN86" s="32" t="str">
        <f>IFERROR(__xludf.DUMMYFUNCTION("""COMPUTED_VALUE"""),"No")</f>
        <v>No</v>
      </c>
      <c r="AO86" s="32" t="str">
        <f>IFERROR(__xludf.DUMMYFUNCTION("""COMPUTED_VALUE"""),"No aplica")</f>
        <v>No aplica</v>
      </c>
      <c r="AP86" s="32" t="str">
        <f>IFERROR(__xludf.DUMMYFUNCTION("""COMPUTED_VALUE"""),"No aplica")</f>
        <v>No aplica</v>
      </c>
      <c r="AQ86" s="32" t="str">
        <f>IFERROR(__xludf.DUMMYFUNCTION("""COMPUTED_VALUE"""),"No aplica")</f>
        <v>No aplica</v>
      </c>
      <c r="AR86" s="32" t="str">
        <f>IFERROR(__xludf.DUMMYFUNCTION("""COMPUTED_VALUE"""),"No aplica")</f>
        <v>No aplica</v>
      </c>
      <c r="AS86" s="150" t="str">
        <f>IFERROR(__xludf.DUMMYFUNCTION("""COMPUTED_VALUE"""),"Recomendaciones:
*Reevaluar la tipología del riesgo, considerando que, por la naturaleza de la actividad se constituye principalmente en un riesgo de gestión. Si bien podría tener un impacto financiero, la raíz del problema se encuentra en la capacidad de"&amp;" la organización para adaptar sus procesos y responder a los cambios en la normatividad o como se plantea en este caso la aplicación de cambios en los instrumentos de reporte o retrasos en la adecuaciòn del sistema de información. El riesgo de gestión se "&amp;"refiere a la posibilidad de que la empresa no pueda cumplir con sus objetivos estratégicos debido a fallas en sus procesos, sistemas o personal. En este caso, la inexactitud en los informes podría deberse a una debilidad en el diseño de los controles inte"&amp;"rnos que garanticen la integridad de la información, fallas en las actividades de revisión y verificación que permitan detectar errores en la información o errores humanos por falta de conocimiento o capacitación.
El riesgo financiero, por otra parte, se "&amp;"refiere a la posibilidad de pérdidas económicas. Si bien la emisión de informes con información inexacta puede tener consecuencias financieras (multas, reclamaciones, entre otras.), la causa fundamental del riesgo reside en la gestión de los procesos inte"&amp;"rnos.
")</f>
        <v>Recomendaciones:
*Reevaluar la tipología del riesgo, considerando que, por la naturaleza de la actividad se constituye principalmente en un riesgo de gestión. Si bien podría tener un impacto financiero, la raíz del problema se encuentra en la capacidad de la organización para adaptar sus procesos y responder a los cambios en la normatividad o como se plantea en este caso la aplicación de cambios en los instrumentos de reporte o retrasos en la adecuaciòn del sistema de información. El riesgo de gestión se refiere a la posibilidad de que la empresa no pueda cumplir con sus objetivos estratégicos debido a fallas en sus procesos, sistemas o personal. En este caso, la inexactitud en los informes podría deberse a una debilidad en el diseño de los controles internos que garanticen la integridad de la información, fallas en las actividades de revisión y verificación que permitan detectar errores en la información o errores humanos por falta de conocimiento o capacitación.
El riesgo financiero, por otra parte, se refiere a la posibilidad de pérdidas económicas. Si bien la emisión de informes con información inexacta puede tener consecuencias financieras (multas, reclamaciones, entre otras.), la causa fundamental del riesgo reside en la gestión de los procesos internos.
</v>
      </c>
      <c r="AT86" s="139"/>
    </row>
    <row r="87">
      <c r="A87" s="86"/>
      <c r="B87" s="73"/>
      <c r="C87" s="73"/>
      <c r="D87" s="156"/>
      <c r="E87" s="156"/>
      <c r="F87" s="156"/>
      <c r="G87" s="156"/>
      <c r="H87" s="156"/>
      <c r="I87" s="156"/>
      <c r="J87" s="156"/>
      <c r="K87" s="156"/>
      <c r="L87" s="156"/>
      <c r="M87" s="156"/>
      <c r="N87" s="156"/>
      <c r="O87" s="156"/>
      <c r="P87" s="156"/>
      <c r="Q87" s="157"/>
      <c r="R87" s="158" t="str">
        <f>IFERROR(__xludf.DUMMYFUNCTION("""COMPUTED_VALUE"""),"")</f>
        <v/>
      </c>
      <c r="S87" s="159" t="str">
        <f>IFERROR(__xludf.DUMMYFUNCTION("""COMPUTED_VALUE"""),"")</f>
        <v/>
      </c>
      <c r="T87" s="170"/>
      <c r="U87" s="170"/>
      <c r="V87" s="94"/>
      <c r="W87" s="94"/>
      <c r="X87" s="94"/>
      <c r="Y87" s="94"/>
      <c r="Z87" s="150" t="str">
        <f>IFERROR(__xludf.DUMMYFUNCTION("""COMPUTED_VALUE"""),"30 de agosto")</f>
        <v>30 de agosto</v>
      </c>
      <c r="AA87" s="32" t="str">
        <f>IFERROR(__xludf.DUMMYFUNCTION("""COMPUTED_VALUE"""),"Agosto")</f>
        <v>Agosto</v>
      </c>
      <c r="AB87" s="150" t="str">
        <f>IFERROR(__xludf.DUMMYFUNCTION("""COMPUTED_VALUE"""),"Durante este monitoreo si hubo acciones de tratamiento a los riesgos que se pueden presentar, así: Se evidencia  error de digitación en el centro de costo en la creación de CDP Y RP del avance y, se solicitan los respectivos ajustes a la Oficina de Contab"&amp;"ilidad, también se reflejan por el cambio en la estructura de centros de costo.")</f>
        <v>Durante este monitoreo si hubo acciones de tratamiento a los riesgos que se pueden presentar, así: Se evidencia  error de digitación en el centro de costo en la creación de CDP Y RP del avance y, se solicitan los respectivos ajustes a la Oficina de Contabilidad, también se reflejan por el cambio en la estructura de centros de costo.</v>
      </c>
      <c r="AC87" s="152" t="str">
        <f>IFERROR(__xludf.DUMMYFUNCTION("""COMPUTED_VALUE"""),"Jefe Direccion Financiera")</f>
        <v>Jefe Direccion Financiera</v>
      </c>
      <c r="AD87" s="153" t="str">
        <f>IFERROR(__xludf.DUMMYFUNCTION("""COMPUTED_VALUE"""),"Evidencia")</f>
        <v>Evidencia</v>
      </c>
      <c r="AE87" s="150" t="str">
        <f>IFERROR(__xludf.DUMMYFUNCTION("""COMPUTED_VALUE"""),"Si")</f>
        <v>Si</v>
      </c>
      <c r="AF87" s="152" t="str">
        <f>IFERROR(__xludf.DUMMYFUNCTION("""COMPUTED_VALUE"""),"En proceso")</f>
        <v>En proceso</v>
      </c>
      <c r="AG87" s="32" t="str">
        <f>IFERROR(__xludf.DUMMYFUNCTION("""COMPUTED_VALUE"""),"Durante este monitoreo no se materializó el riesgo, sin embargo, se evidenció un error de digitación en el centro de costo en la creación de CDP y RP del avance, para lo cual se solicitaron los respectivos ajustes a la Oficina de Contabilidad. Asimismo, s"&amp;"e presentaron cambios en la estructura de centros de costo que fueron atendidos oportunamente.
Controles:
C1: El profesional de la oficina de presupuesto verifica la información reportada por las unidades académico-administrativas, con el fin de evitar "&amp;"errores al momento de reportar información.
C2: El jefe de la oficina de Presupuesto solicita capacitación a los entes de control, con el fin de promover las buenas prácticas en la dependencia.
Acciones de tratamiento: Dado que el riesgo fue aceptado, n"&amp;"o se determinaron acciones de tratamiento; no obstante, se mantiene el monitoreo de la aplicación de los controles.")</f>
        <v>Durante este monitoreo no se materializó el riesgo, sin embargo, se evidenció un error de digitación en el centro de costo en la creación de CDP y RP del avance, para lo cual se solicitaron los respectivos ajustes a la Oficina de Contabilidad. Asimismo, se presentaron cambios en la estructura de centros de costo que fueron atendidos oportunamente.
Controles:
C1: El profesional de la oficina de presupuesto verifica la información reportada por las unidades académico-administrativas, con el fin de evitar errores al momento de reportar información.
C2: El jefe de la oficina de Presupuesto solicita capacitación a los entes de control, con el fin de promover las buenas prácticas en la dependencia.
Acciones de tratamiento: Dado que el riesgo fue aceptado, no se determinaron acciones de tratamiento; no obstante, se mantiene el monitoreo de la aplicación de los controles.</v>
      </c>
      <c r="AH87" s="150" t="str">
        <f>IFERROR(__xludf.DUMMYFUNCTION("""COMPUTED_VALUE"""),"31 de agosto")</f>
        <v>31 de agosto</v>
      </c>
      <c r="AI87" s="32" t="str">
        <f>IFERROR(__xludf.DUMMYFUNCTION("""COMPUTED_VALUE"""),"No")</f>
        <v>No</v>
      </c>
      <c r="AJ87" s="32" t="str">
        <f>IFERROR(__xludf.DUMMYFUNCTION("""COMPUTED_VALUE"""),"Si")</f>
        <v>Si</v>
      </c>
      <c r="AK87" s="32" t="str">
        <f>IFERROR(__xludf.DUMMYFUNCTION("""COMPUTED_VALUE"""),"Si")</f>
        <v>Si</v>
      </c>
      <c r="AL87" s="32" t="str">
        <f>IFERROR(__xludf.DUMMYFUNCTION("""COMPUTED_VALUE"""),"Si")</f>
        <v>Si</v>
      </c>
      <c r="AM87" s="32" t="str">
        <f>IFERROR(__xludf.DUMMYFUNCTION("""COMPUTED_VALUE"""),"Si")</f>
        <v>Si</v>
      </c>
      <c r="AN87" s="32" t="str">
        <f>IFERROR(__xludf.DUMMYFUNCTION("""COMPUTED_VALUE"""),"No")</f>
        <v>No</v>
      </c>
      <c r="AO87" s="32" t="str">
        <f>IFERROR(__xludf.DUMMYFUNCTION("""COMPUTED_VALUE"""),"No aplica")</f>
        <v>No aplica</v>
      </c>
      <c r="AP87" s="32" t="str">
        <f>IFERROR(__xludf.DUMMYFUNCTION("""COMPUTED_VALUE"""),"No aplica")</f>
        <v>No aplica</v>
      </c>
      <c r="AQ87" s="32" t="str">
        <f>IFERROR(__xludf.DUMMYFUNCTION("""COMPUTED_VALUE"""),"No aplica")</f>
        <v>No aplica</v>
      </c>
      <c r="AR87" s="32" t="str">
        <f>IFERROR(__xludf.DUMMYFUNCTION("""COMPUTED_VALUE"""),"No aplica")</f>
        <v>No aplica</v>
      </c>
      <c r="AS87" s="150" t="str">
        <f>IFERROR(__xludf.DUMMYFUNCTION("""COMPUTED_VALUE"""),"Hallazgos: 
*El reporte del monitoreo realizado por la primera línea de defensa no registra el resultado de la aplicación de los controles, así mismo, indica si se materializó o no el riesgo.
*El monitoreo realizado por la segunda línea de defensa no reg"&amp;"istra si el riesgo está identificado adecuadamente conforme la metodología aplicada, si los controles están diseñados adecuadamente y enfocados hacia las causas, y si la ejecución de los controles están siendo efectivos en la mitigación del riesgo.""     "&amp;"           
Se reiteran las recomendaciones generadas en la evaluación del primer cuatrimestre:
*Reevaluar la tipología del riesgo, considerando que, por la naturaleza de la actividad se constituye principalmente en un r"&amp;"iesgo de gestión. Si bien podría tener un impacto financiero, la raíz del problema se encuentra en la capacidad de la organización para adaptar sus procesos y responder a los cambios en la normatividad o como se plantea en este caso la aplicación de cambi"&amp;"os en los instrumentos de reporte o retrasos en la adecuaciòn del sistema de información. El riesgo de gestión se refiere a la posibilidad de que la empresa no pueda cumplir con sus objetivos estratégicos debido a fallas en sus procesos, sistemas o person"&amp;"al. En este caso, la inexactitud en los informes podría deberse a una debilidad en el diseño de los controles internos que garanticen la integridad de la información, fallas en las actividades de revisión y verificación que permitan detectar errores en la"&amp;" información o errores humanos por falta de conocimiento o capacitación.
El riesgo financiero, por otra parte, se refiere a la posibilidad de pérdidas económicas. Si bien la emisión de informes con información inexacta puede tener consecuencias financiera"&amp;"s (multas, reclamaciones, entre otras.), la causa fundamental del riesgo reside en la gestión de los procesos internos.
")</f>
        <v>Hallazgos: 
*El reporte del monitoreo realizado por la primera línea de defensa no registra el resultado de la aplicación de los controles, así mismo, indica si se materializó o no el riesgo.
*El monitoreo realizado por la segunda línea de defensa no registra si el riesgo está identificado adecuadamente conforme la metodología aplicada, si los controles están diseñados adecuadamente y enfocados hacia las causas, y si la ejecución de los controles están siendo efectivos en la mitigación del riesgo."                
Se reiteran las recomendaciones generadas en la evaluación del primer cuatrimestre:
*Reevaluar la tipología del riesgo, considerando que, por la naturaleza de la actividad se constituye principalmente en un riesgo de gestión. Si bien podría tener un impacto financiero, la raíz del problema se encuentra en la capacidad de la organización para adaptar sus procesos y responder a los cambios en la normatividad o como se plantea en este caso la aplicación de cambios en los instrumentos de reporte o retrasos en la adecuaciòn del sistema de información. El riesgo de gestión se refiere a la posibilidad de que la empresa no pueda cumplir con sus objetivos estratégicos debido a fallas en sus procesos, sistemas o personal. En este caso, la inexactitud en los informes podría deberse a una debilidad en el diseño de los controles internos que garanticen la integridad de la información, fallas en las actividades de revisión y verificación que permitan detectar errores en la información o errores humanos por falta de conocimiento o capacitación.
El riesgo financiero, por otra parte, se refiere a la posibilidad de pérdidas económicas. Si bien la emisión de informes con información inexacta puede tener consecuencias financieras (multas, reclamaciones, entre otras.), la causa fundamental del riesgo reside en la gestión de los procesos internos.
</v>
      </c>
      <c r="AT87" s="139"/>
    </row>
    <row r="88">
      <c r="A88" s="86"/>
      <c r="B88" s="38"/>
      <c r="C88" s="38"/>
      <c r="D88" s="119"/>
      <c r="E88" s="119"/>
      <c r="F88" s="119"/>
      <c r="G88" s="119"/>
      <c r="H88" s="119"/>
      <c r="I88" s="119"/>
      <c r="J88" s="119"/>
      <c r="K88" s="119"/>
      <c r="L88" s="119"/>
      <c r="M88" s="119"/>
      <c r="N88" s="119"/>
      <c r="O88" s="119"/>
      <c r="P88" s="119"/>
      <c r="Q88" s="162"/>
      <c r="R88" s="163" t="str">
        <f>IFERROR(__xludf.DUMMYFUNCTION("""COMPUTED_VALUE"""),"")</f>
        <v/>
      </c>
      <c r="S88" s="164" t="str">
        <f>IFERROR(__xludf.DUMMYFUNCTION("""COMPUTED_VALUE"""),"")</f>
        <v/>
      </c>
      <c r="T88" s="176"/>
      <c r="U88" s="176"/>
      <c r="V88" s="98"/>
      <c r="W88" s="98"/>
      <c r="X88" s="98"/>
      <c r="Y88" s="98"/>
      <c r="Z88" s="150" t="str">
        <f>IFERROR(__xludf.DUMMYFUNCTION("""COMPUTED_VALUE"""),"30 de diciembre")</f>
        <v>30 de diciembre</v>
      </c>
      <c r="AA88" s="32" t="str">
        <f>IFERROR(__xludf.DUMMYFUNCTION("""COMPUTED_VALUE"""),"A Diciembre")</f>
        <v>A Diciembre</v>
      </c>
      <c r="AB88" s="150" t="str">
        <f>IFERROR(__xludf.DUMMYFUNCTION("""COMPUTED_VALUE"""),"Durante este monitoreo hubo acciones de tratamiento a los riesgos que se presentaron, así: 
*Se evidencia  error de la fecha de expedicion conforme a la fecha de aprobación del CDP N. 2980, por lo tanto mediante ticket a LAPOINT se solicita cambio de fe"&amp;"cha en la expedición del CDP con fecha del 24 de noviembre de 2025. 
* Se evidencia error de consecutivos en la ERP SICOF PARA CDP y REGISTROS, para el reporte en el mes de septiembre del informe de APPUI por lo tanto por medio del Ticket N. 47296 con LAP"&amp;"OINT se le da trámite al mismo.
*Por error en digitación en el módulo de presupuesto se solicita ajustes en contabilidad para modificarse el centro de costos del CDP N. 1508.
* Se evidencia que el tercero Érica Yulieth Parra Hernández con CC 1006952798 pr"&amp;"esenta error en la facturación del CI en el centro de costos, pues el correcto es 33060208 Diplomado en auditoría en salud y sistemas de información para la calidad, por lo tanto se colicita a ocontabilidad respectiva modificación. 
")</f>
        <v>Durante este monitoreo hubo acciones de tratamiento a los riesgos que se presentaron, así: 
*Se evidencia  error de la fecha de expedicion conforme a la fecha de aprobación del CDP N. 2980, por lo tanto mediante ticket a LAPOINT se solicita cambio de fecha en la expedición del CDP con fecha del 24 de noviembre de 2025. 
* Se evidencia error de consecutivos en la ERP SICOF PARA CDP y REGISTROS, para el reporte en el mes de septiembre del informe de APPUI por lo tanto por medio del Ticket N. 47296 con LAPOINT se le da trámite al mismo.
*Por error en digitación en el módulo de presupuesto se solicita ajustes en contabilidad para modificarse el centro de costos del CDP N. 1508.
* Se evidencia que el tercero Érica Yulieth Parra Hernández con CC 1006952798 presenta error en la facturación del CI en el centro de costos, pues el correcto es 33060208 Diplomado en auditoría en salud y sistemas de información para la calidad, por lo tanto se colicita a ocontabilidad respectiva modificación. 
</v>
      </c>
      <c r="AC88" s="152" t="str">
        <f>IFERROR(__xludf.DUMMYFUNCTION("""COMPUTED_VALUE"""),"Jefe Direccion Financiera")</f>
        <v>Jefe Direccion Financiera</v>
      </c>
      <c r="AD88" s="153" t="str">
        <f>IFERROR(__xludf.DUMMYFUNCTION("""COMPUTED_VALUE"""),"Evidencia")</f>
        <v>Evidencia</v>
      </c>
      <c r="AE88" s="150" t="str">
        <f>IFERROR(__xludf.DUMMYFUNCTION("""COMPUTED_VALUE"""),"Si")</f>
        <v>Si</v>
      </c>
      <c r="AF88" s="152" t="str">
        <f>IFERROR(__xludf.DUMMYFUNCTION("""COMPUTED_VALUE"""),"Ejecutada")</f>
        <v>Ejecutada</v>
      </c>
      <c r="AG88" s="32" t="str">
        <f>IFERROR(__xludf.DUMMYFUNCTION("""COMPUTED_VALUE"""),"-Durante este monitoreo se realizaron acciones de tratamiento orientadas a corregir inconsistencias identificadas, así:
-Ajuste de la fecha de expedición del CDP N. 2980, gestionado mediante ticket con LAPOINT.
-Corrección de consecutivos en la ERP SICO"&amp;"F para CDP y Registros, reportado mediante Ticket N. 47296.
-Modificación del centro de costos del CDP N. 1508 por error de digitación, solicitada a Contabilidad.
-Ajuste del centro de costos en la facturación del tercero Érica Yulieth Parra Hernández, "&amp;"gestionado ante Contabilidad.                                                                                                                      -Se sugiere continuar registrando de manera oportuna los ajustes gestionados ante LAPOINT y Contabilidad, ma"&amp;"nteniendo el soporte correspondiente en cada caso. Esto contribuye a fortalecer la trazabilidad y facilita el seguimiento en futuros monitoreos.")</f>
        <v>-Durante este monitoreo se realizaron acciones de tratamiento orientadas a corregir inconsistencias identificadas, así:
-Ajuste de la fecha de expedición del CDP N. 2980, gestionado mediante ticket con LAPOINT.
-Corrección de consecutivos en la ERP SICOF para CDP y Registros, reportado mediante Ticket N. 47296.
-Modificación del centro de costos del CDP N. 1508 por error de digitación, solicitada a Contabilidad.
-Ajuste del centro de costos en la facturación del tercero Érica Yulieth Parra Hernández, gestionado ante Contabilidad.                                                                                                                      -Se sugiere continuar registrando de manera oportuna los ajustes gestionados ante LAPOINT y Contabilidad, manteniendo el soporte correspondiente en cada caso. Esto contribuye a fortalecer la trazabilidad y facilita el seguimiento en futuros monitoreos.</v>
      </c>
      <c r="AH88" s="150" t="str">
        <f>IFERROR(__xludf.DUMMYFUNCTION("""COMPUTED_VALUE"""),"31 de diciembre")</f>
        <v>31 de diciembre</v>
      </c>
      <c r="AI88" s="32" t="str">
        <f>IFERROR(__xludf.DUMMYFUNCTION("""COMPUTED_VALUE"""),"No")</f>
        <v>No</v>
      </c>
      <c r="AJ88" s="32" t="str">
        <f>IFERROR(__xludf.DUMMYFUNCTION("""COMPUTED_VALUE"""),"Si")</f>
        <v>Si</v>
      </c>
      <c r="AK88" s="32" t="str">
        <f>IFERROR(__xludf.DUMMYFUNCTION("""COMPUTED_VALUE"""),"Si")</f>
        <v>Si</v>
      </c>
      <c r="AL88" s="32" t="str">
        <f>IFERROR(__xludf.DUMMYFUNCTION("""COMPUTED_VALUE"""),"Si")</f>
        <v>Si</v>
      </c>
      <c r="AM88" s="32" t="str">
        <f>IFERROR(__xludf.DUMMYFUNCTION("""COMPUTED_VALUE"""),"Si")</f>
        <v>Si</v>
      </c>
      <c r="AN88" s="32" t="str">
        <f>IFERROR(__xludf.DUMMYFUNCTION("""COMPUTED_VALUE"""),"No")</f>
        <v>No</v>
      </c>
      <c r="AO88" s="32" t="str">
        <f>IFERROR(__xludf.DUMMYFUNCTION("""COMPUTED_VALUE"""),"No aplica")</f>
        <v>No aplica</v>
      </c>
      <c r="AP88" s="32" t="str">
        <f>IFERROR(__xludf.DUMMYFUNCTION("""COMPUTED_VALUE"""),"No aplica")</f>
        <v>No aplica</v>
      </c>
      <c r="AQ88" s="32" t="str">
        <f>IFERROR(__xludf.DUMMYFUNCTION("""COMPUTED_VALUE"""),"No aplica")</f>
        <v>No aplica</v>
      </c>
      <c r="AR88" s="32" t="str">
        <f>IFERROR(__xludf.DUMMYFUNCTION("""COMPUTED_VALUE"""),"No aplica")</f>
        <v>No aplica</v>
      </c>
      <c r="AS88" s="150" t="str">
        <f>IFERROR(__xludf.DUMMYFUNCTION("""COMPUTED_VALUE"""),"Se reitera el siguiente hallazgo: 
*El monitoreo realizado por la segunda línea de defensa no registra si el riesgo está identificado adecuadamente conforme la metodología aplicada, si los controles están diseñados adecuadamente y enfocados hacia las caus"&amp;"as, y si la ejecución de los controles están siendo efectivos en la mitigación del riesgo.""                
Se reiteran las recomendaciones generadas en la evaluación del primer y segundo cuatrimestre:
*Reevaluar la tipolo"&amp;"gía del riesgo, considerando que, por la naturaleza de la actividad se constituye principalmente en un riesgo de gestión. Si bien podría tener un impacto financiero, la raíz del problema se encuentra en la capacidad de la organización para adaptar sus pro"&amp;"cesos y responder a los cambios en la normatividad o como se plantea en este caso la aplicación de cambios en los instrumentos de reporte o retrasos en la adecuaciòn del sistema de información. El riesgo de gestión se refiere a la posibilidad de que la em"&amp;"presa no pueda cumplir con sus objetivos estratégicos debido a fallas en sus procesos, sistemas o personal. En este caso, la inexactitud en los informes podría deberse a una debilidad en el diseño de los controles internos que garanticen la integridad de "&amp;"la información, fallas en las actividades de revisión y verificación que permitan detectar errores en la información o errores humanos por falta de conocimiento o capacitación.
El riesgo financiero, por otra parte, se refiere a la posibilidad de pérdidas "&amp;"económicas. Si bien la emisión de informes con información inexacta puede tener consecuencias financieras (multas, reclamaciones, entre otras.), la causa fundamental del riesgo reside en la gestión de los procesos internos.
")</f>
        <v>Se reitera el siguiente hallazgo: 
*El monitoreo realizado por la segunda línea de defensa no registra si el riesgo está identificado adecuadamente conforme la metodología aplicada, si los controles están diseñados adecuadamente y enfocados hacia las causas, y si la ejecución de los controles están siendo efectivos en la mitigación del riesgo."                
Se reiteran las recomendaciones generadas en la evaluación del primer y segundo cuatrimestre:
*Reevaluar la tipología del riesgo, considerando que, por la naturaleza de la actividad se constituye principalmente en un riesgo de gestión. Si bien podría tener un impacto financiero, la raíz del problema se encuentra en la capacidad de la organización para adaptar sus procesos y responder a los cambios en la normatividad o como se plantea en este caso la aplicación de cambios en los instrumentos de reporte o retrasos en la adecuaciòn del sistema de información. El riesgo de gestión se refiere a la posibilidad de que la empresa no pueda cumplir con sus objetivos estratégicos debido a fallas en sus procesos, sistemas o personal. En este caso, la inexactitud en los informes podría deberse a una debilidad en el diseño de los controles internos que garanticen la integridad de la información, fallas en las actividades de revisión y verificación que permitan detectar errores en la información o errores humanos por falta de conocimiento o capacitación.
El riesgo financiero, por otra parte, se refiere a la posibilidad de pérdidas económicas. Si bien la emisión de informes con información inexacta puede tener consecuencias financieras (multas, reclamaciones, entre otras.), la causa fundamental del riesgo reside en la gestión de los procesos internos.
</v>
      </c>
      <c r="AT88" s="139"/>
    </row>
    <row r="89">
      <c r="A89" s="86"/>
      <c r="B89" s="140" t="s">
        <v>227</v>
      </c>
      <c r="C89" s="141" t="str">
        <f>IFERROR(__xludf.DUMMYFUNCTION("IMPORTRANGE(""https://docs.google.com/spreadsheets/d/1D5_u-3n4GfhHb36kTT-gp8Fgb-HFlYDYXWSY0jMlie4/edit?gid=264285660#gid=264285660"",""Matriz_riesgos!C11:AS22"")"),"Administrar de forma eficaz y eficiente los recursos de la Universidad para realizar el ejercicio de los procesos. ")</f>
        <v>Administrar de forma eficaz y eficiente los recursos de la Universidad para realizar el ejercicio de los procesos. </v>
      </c>
      <c r="D89" s="144" t="str">
        <f>IFERROR(__xludf.DUMMYFUNCTION("""COMPUTED_VALUE"""),"Afectación económica y reputaciónal por celebración indebida de contratos por falta de cumplimiento en requisitos técnicos, jurídicos y financieros. ")</f>
        <v>Afectación económica y reputaciónal por celebración indebida de contratos por falta de cumplimiento en requisitos técnicos, jurídicos y financieros. </v>
      </c>
      <c r="E89" s="144" t="str">
        <f>IFERROR(__xludf.DUMMYFUNCTION("""COMPUTED_VALUE"""),"Vicerrectoría de Recursos Universitarios")</f>
        <v>Vicerrectoría de Recursos Universitarios</v>
      </c>
      <c r="F89" s="144" t="str">
        <f>IFERROR(__xludf.DUMMYFUNCTION("""COMPUTED_VALUE"""),"Corrupción")</f>
        <v>Corrupción</v>
      </c>
      <c r="G89" s="144" t="str">
        <f>IFERROR(__xludf.DUMMYFUNCTION("""COMPUTED_VALUE"""),"- Deficiencia en la etapa de planeación de los procesos
- Deficiencia en la verificación de los requsitos técnicos y jurídicos")</f>
        <v>- Deficiencia en la etapa de planeación de los procesos
- Deficiencia en la verificación de los requsitos técnicos y jurídicos</v>
      </c>
      <c r="H89" s="144" t="str">
        <f>IFERROR(__xludf.DUMMYFUNCTION("""COMPUTED_VALUE"""),"- Detrimento patrimonial
- Afectación de la imagen institucional
- Sanciones penales, disciplinarias y fiscales.
- Incoherencia en la entrega de bienes y/o servicios.
- Generación de reprocesos.")</f>
        <v>- Detrimento patrimonial
- Afectación de la imagen institucional
- Sanciones penales, disciplinarias y fiscales.
- Incoherencia en la entrega de bienes y/o servicios.
- Generación de reprocesos.</v>
      </c>
      <c r="I89" s="145" t="str">
        <f>IFERROR(__xludf.DUMMYFUNCTION("""COMPUTED_VALUE"""),"GBS_01")</f>
        <v>GBS_01</v>
      </c>
      <c r="J89" s="145" t="str">
        <f>IFERROR(__xludf.DUMMYFUNCTION("""COMPUTED_VALUE"""),"Muy alta")</f>
        <v>Muy alta</v>
      </c>
      <c r="K89" s="145" t="str">
        <f>IFERROR(__xludf.DUMMYFUNCTION("""COMPUTED_VALUE"""),"Mayor")</f>
        <v>Mayor</v>
      </c>
      <c r="L89" s="145" t="str">
        <f>IFERROR(__xludf.DUMMYFUNCTION("""COMPUTED_VALUE"""),"Extrema")</f>
        <v>Extrema</v>
      </c>
      <c r="M89" s="144" t="str">
        <f>IFERROR(__xludf.DUMMYFUNCTION("""COMPUTED_VALUE"""),"- Aplicación del manual de contratación y procedimientos del sistema de gestión de calidad
- Seguimiento interno a las etapas de contratación
- Capacitación de actualización en la normatividad vigente 
- Publicación de contratación en el portal de SECOP 
"&amp;"- Solicitud de polizas a los contratos que los requieran")</f>
        <v>- Aplicación del manual de contratación y procedimientos del sistema de gestión de calidad
- Seguimiento interno a las etapas de contratación
- Capacitación de actualización en la normatividad vigente 
- Publicación de contratación en el portal de SECOP 
- Solicitud de polizas a los contratos que los requieran</v>
      </c>
      <c r="N89" s="145" t="str">
        <f>IFERROR(__xludf.DUMMYFUNCTION("""COMPUTED_VALUE"""),"Muy baja")</f>
        <v>Muy baja</v>
      </c>
      <c r="O89" s="145" t="str">
        <f>IFERROR(__xludf.DUMMYFUNCTION("""COMPUTED_VALUE"""),"Mayor")</f>
        <v>Mayor</v>
      </c>
      <c r="P89" s="145" t="str">
        <f>IFERROR(__xludf.DUMMYFUNCTION("""COMPUTED_VALUE"""),"Alta")</f>
        <v>Alta</v>
      </c>
      <c r="Q89" s="178" t="str">
        <f>IFERROR(__xludf.DUMMYFUNCTION("""COMPUTED_VALUE"""),"Reducir")</f>
        <v>Reducir</v>
      </c>
      <c r="R89" s="158" t="str">
        <f>IFERROR(__xludf.DUMMYFUNCTION("""COMPUTED_VALUE"""),"Sensibilización al equipo de contratación de la Vicerrectoria de Recursos Universitarios para la correcta revisión de documentos del proceso contractual")</f>
        <v>Sensibilización al equipo de contratación de la Vicerrectoria de Recursos Universitarios para la correcta revisión de documentos del proceso contractual</v>
      </c>
      <c r="S89" s="159" t="str">
        <f>IFERROR(__xludf.DUMMYFUNCTION("""COMPUTED_VALUE"""),"Semestralmente")</f>
        <v>Semestralmente</v>
      </c>
      <c r="T89" s="159" t="str">
        <f>IFERROR(__xludf.DUMMYFUNCTION("""COMPUTED_VALUE"""),"Vicerrectoria de Recursos Universitarios")</f>
        <v>Vicerrectoria de Recursos Universitarios</v>
      </c>
      <c r="U89" s="159" t="str">
        <f>IFERROR(__xludf.DUMMYFUNCTION("""COMPUTED_VALUE"""),"acta de reunión")</f>
        <v>acta de reunión</v>
      </c>
      <c r="V89" s="167" t="str">
        <f>IFERROR(__xludf.DUMMYFUNCTION("""COMPUTED_VALUE"""),"Realizar reporte ante los organismos de control internos")</f>
        <v>Realizar reporte ante los organismos de control internos</v>
      </c>
      <c r="W89" s="167" t="str">
        <f>IFERROR(__xludf.DUMMYFUNCTION("""COMPUTED_VALUE"""),"Documentos y/o correos ")</f>
        <v>Documentos y/o correos </v>
      </c>
      <c r="X89" s="169" t="str">
        <f>IFERROR(__xludf.DUMMYFUNCTION("""COMPUTED_VALUE"""),"vicerrector de recursos")</f>
        <v>vicerrector de recursos</v>
      </c>
      <c r="Y89" s="169" t="str">
        <f>IFERROR(__xludf.DUMMYFUNCTION("""COMPUTED_VALUE"""),"72 horas")</f>
        <v>72 horas</v>
      </c>
      <c r="Z89" s="150" t="str">
        <f>IFERROR(__xludf.DUMMYFUNCTION("""COMPUTED_VALUE"""),"30 de abril")</f>
        <v>30 de abril</v>
      </c>
      <c r="AA89" s="151">
        <f>IFERROR(__xludf.DUMMYFUNCTION("""COMPUTED_VALUE"""),45713.0)</f>
        <v>45713</v>
      </c>
      <c r="AB89" s="150" t="str">
        <f>IFERROR(__xludf.DUMMYFUNCTION("""COMPUTED_VALUE"""),"Durante este primer monitoreo NO se materializó el riesgo. 
Acciones de tratamiento del riesgo:
Como parte de la accion de mejora propuesta, se llevó a cabo una capacitación dirigida a todos los profesionales de apoyo de la Vicerrectoría de Recursos, enf"&amp;"ocada en el procedimiento de contratación. Durante la jornada, se abordaron temas como el correcto diligenciamiento de formatos, las revisiones documentales necesarias y la actualización de la normatividad vigente, con el objetivo de fortalecer las compet"&amp;"encias del equipo y asegurar el cumplimiento de los requisitos establecidos en los procesos contractuales.
Avance sobre los controles:
1. Se ha continuado con la implementación del manual de contratación conforme a los lineamientos establecidos en el Sis"&amp;"tema de Gestión de Calidad. Durante este periodo, se ha reforzado su aplicación en todas las etapas del proceso contractual, asegurando que los procedimientos se desarrollen conforme a los estándares establecidos por la Universidad.  Asi mismo, se realiza"&amp;" verificacion de requisitos financieros, técnicos y jurídicos por medio de un oficio, donde se detalla cada uno de los items de la propuesta recibida del proveedor. Dicha confirmación es obligatoria para todos los contratos con excepcion de la contratacio"&amp;"n directa, a la cual se verifica solo requisitos tecnicos y juridicos por ser montos menores.
Lo anterior, es para el cumplimiento de la Resolución Rectoral No. 0685 de 2021 “Por medio de la cual se adopta el Manual de Contratación de la Universidad de lo"&amp;"s Llanos, y se derogan las Resoluciones 2661 de 2011, 2079 de 2014 y 2588 de 2015”, en el CAPÍTULO IV. DISPOSICIONES COMUNES A TENER EN CUENTA EN LOS PROCESOS DE SELECCIÓN DE CONVOCATORIA PRIVADA Y PÚBLICA, en el articulo 38 item 8 ""La propuesta debe con"&amp;"tener la información y documentos necesarios que acrediten su capacidad técnica, jurídica y financiera, así como aquellos con los que pretende obtener puntuación""
2. Se ha intensificado el monitoreo interno de las distintas etapas del proceso de contrat"&amp;"ación, desde la planeación hasta la ejecución. Para ello, se ha implementado las revisiones periódicas por parte de un segundo abogado para cada uno de los procesos contractuales, con el fin de dar cumplimiento a los requisitos establecidos. Este seguimie"&amp;"nto ha permitido detectar acciones de mejora que se han corregido en su momento.
3. Se ha venido realizando la verificación y solicitud oportuna de las pólizas exigidas contractualmente, especialmente en aquellos procesos que por su naturaleza requieren g"&amp;"arantías conforme a lo establecido en la Resolución Rectoral No. 0685 de 2021, articulo 51 GARANTIAS. 
4. Durante el periodo evaluado, se ha mantenido la publicación de los procesos contractuales de la universidad en el portal SECOP II.")</f>
        <v>Durante este primer monitoreo NO se materializó el riesgo. 
Acciones de tratamiento del riesgo:
Como parte de la accion de mejora propuesta, se llevó a cabo una capacitación dirigida a todos los profesionales de apoyo de la Vicerrectoría de Recursos, enfocada en el procedimiento de contratación. Durante la jornada, se abordaron temas como el correcto diligenciamiento de formatos, las revisiones documentales necesarias y la actualización de la normatividad vigente, con el objetivo de fortalecer las competencias del equipo y asegurar el cumplimiento de los requisitos establecidos en los procesos contractuales.
Avance sobre los controles:
1. Se ha continuado con la implementación del manual de contratación conforme a los lineamientos establecidos en el Sistema de Gestión de Calidad. Durante este periodo, se ha reforzado su aplicación en todas las etapas del proceso contractual, asegurando que los procedimientos se desarrollen conforme a los estándares establecidos por la Universidad.  Asi mismo, se realiza verificacion de requisitos financieros, técnicos y jurídicos por medio de un oficio, donde se detalla cada uno de los items de la propuesta recibida del proveedor. Dicha confirmación es obligatoria para todos los contratos con excepcion de la contratacion directa, a la cual se verifica solo requisitos tecnicos y juridicos por ser montos menores.
Lo anterior, es para el cumplimiento de la Resolución Rectoral No. 0685 de 2021 “Por medio de la cual se adopta el Manual de Contratación de la Universidad de los Llanos, y se derogan las Resoluciones 2661 de 2011, 2079 de 2014 y 2588 de 2015”, en el CAPÍTULO IV. DISPOSICIONES COMUNES A TENER EN CUENTA EN LOS PROCESOS DE SELECCIÓN DE CONVOCATORIA PRIVADA Y PÚBLICA, en el articulo 38 item 8 "La propuesta debe contener la información y documentos necesarios que acrediten su capacidad técnica, jurídica y financiera, así como aquellos con los que pretende obtener puntuación"
2. Se ha intensificado el monitoreo interno de las distintas etapas del proceso de contratación, desde la planeación hasta la ejecución. Para ello, se ha implementado las revisiones periódicas por parte de un segundo abogado para cada uno de los procesos contractuales, con el fin de dar cumplimiento a los requisitos establecidos. Este seguimiento ha permitido detectar acciones de mejora que se han corregido en su momento.
3. Se ha venido realizando la verificación y solicitud oportuna de las pólizas exigidas contractualmente, especialmente en aquellos procesos que por su naturaleza requieren garantías conforme a lo establecido en la Resolución Rectoral No. 0685 de 2021, articulo 51 GARANTIAS. 
4. Durante el periodo evaluado, se ha mantenido la publicación de los procesos contractuales de la universidad en el portal SECOP II.</v>
      </c>
      <c r="AC89" s="152" t="str">
        <f>IFERROR(__xludf.DUMMYFUNCTION("""COMPUTED_VALUE"""),"Wilson Fernando Salgado Cifuentes ")</f>
        <v>Wilson Fernando Salgado Cifuentes </v>
      </c>
      <c r="AD89" s="153" t="str">
        <f>IFERROR(__xludf.DUMMYFUNCTION("""COMPUTED_VALUE"""),"Evidencia")</f>
        <v>Evidencia</v>
      </c>
      <c r="AE89" s="150" t="str">
        <f>IFERROR(__xludf.DUMMYFUNCTION("""COMPUTED_VALUE"""),"Si")</f>
        <v>Si</v>
      </c>
      <c r="AF89" s="150" t="str">
        <f>IFERROR(__xludf.DUMMYFUNCTION("""COMPUTED_VALUE"""),"En proceso")</f>
        <v>En proceso</v>
      </c>
      <c r="AG89" s="32" t="str">
        <f>IFERROR(__xludf.DUMMYFUNCTION("""COMPUTED_VALUE"""),"Durante el periodo evaluado, se confirma que el riesgo no se materializó, lo cual refleja una implementación efectiva del tratamiento propuesto. Se evidenció la ejecución de la acción de sensibilización al equipo de contratación de la Vicerrectoría de Rec"&amp;"ursos Universitarios, respaldada por el acta de reunión correspondiente. Esta acción está alineada con los controles establecidos, tales como la aplicación del manual de contratación, el seguimiento a las etapas del proceso contractual y la actualización "&amp;"normativa. Se considera que los controles han sido implementados adecuadamente y están contribuyendo a mitigar el riesgo. Se recomienda mantener la periodicidad de las acciones y fortalecer el monitoreo continuo para asegurar la sostenibilidad de los resu"&amp;"ltados.")</f>
        <v>Durante el periodo evaluado, se confirma que el riesgo no se materializó, lo cual refleja una implementación efectiva del tratamiento propuesto. Se evidenció la ejecución de la acción de sensibilización al equipo de contratación de la Vicerrectoría de Recursos Universitarios, respaldada por el acta de reunión correspondiente. Esta acción está alineada con los controles establecidos, tales como la aplicación del manual de contratación, el seguimiento a las etapas del proceso contractual y la actualización normativa. Se considera que los controles han sido implementados adecuadamente y están contribuyendo a mitigar el riesgo. Se recomienda mantener la periodicidad de las acciones y fortalecer el monitoreo continuo para asegurar la sostenibilidad de los resultados.</v>
      </c>
      <c r="AH89" s="150" t="str">
        <f>IFERROR(__xludf.DUMMYFUNCTION("""COMPUTED_VALUE"""),"30 de abril")</f>
        <v>30 de abril</v>
      </c>
      <c r="AI89" s="32" t="str">
        <f>IFERROR(__xludf.DUMMYFUNCTION("""COMPUTED_VALUE"""),"Si")</f>
        <v>Si</v>
      </c>
      <c r="AJ89" s="32" t="str">
        <f>IFERROR(__xludf.DUMMYFUNCTION("""COMPUTED_VALUE"""),"Si")</f>
        <v>Si</v>
      </c>
      <c r="AK89" s="32" t="str">
        <f>IFERROR(__xludf.DUMMYFUNCTION("""COMPUTED_VALUE"""),"Si")</f>
        <v>Si</v>
      </c>
      <c r="AL89" s="32" t="str">
        <f>IFERROR(__xludf.DUMMYFUNCTION("""COMPUTED_VALUE"""),"Si")</f>
        <v>Si</v>
      </c>
      <c r="AM89" s="32" t="str">
        <f>IFERROR(__xludf.DUMMYFUNCTION("""COMPUTED_VALUE"""),"Si")</f>
        <v>Si</v>
      </c>
      <c r="AN89" s="32" t="str">
        <f>IFERROR(__xludf.DUMMYFUNCTION("""COMPUTED_VALUE"""),"Si")</f>
        <v>Si</v>
      </c>
      <c r="AO89" s="32" t="str">
        <f>IFERROR(__xludf.DUMMYFUNCTION("""COMPUTED_VALUE"""),"Si")</f>
        <v>Si</v>
      </c>
      <c r="AP89" s="32" t="str">
        <f>IFERROR(__xludf.DUMMYFUNCTION("""COMPUTED_VALUE"""),"No aplica")</f>
        <v>No aplica</v>
      </c>
      <c r="AQ89" s="32" t="str">
        <f>IFERROR(__xludf.DUMMYFUNCTION("""COMPUTED_VALUE"""),"No aplica")</f>
        <v>No aplica</v>
      </c>
      <c r="AR89" s="32" t="str">
        <f>IFERROR(__xludf.DUMMYFUNCTION("""COMPUTED_VALUE"""),"No aplica")</f>
        <v>No aplica</v>
      </c>
      <c r="AS89" s="150" t="str">
        <f>IFERROR(__xludf.DUMMYFUNCTION("""COMPUTED_VALUE"""),"Recomendaciones:
*Mejorar la calidad de la evidencia relacionada con el cotrol No. 2 Seguimiento a las etapas de contratación, toda vez que los soportes suministrados corresponden sólo a la etapa contractual. Se requiere que la evidencia sea competente, e"&amp;"s decir con calidad en relación a su relevancia y confiabilidad y suficiente en términos de cantidad y completitud, que permita demostrar de manera íntegra el hecho.
")</f>
        <v>Recomendaciones:
*Mejorar la calidad de la evidencia relacionada con el cotrol No. 2 Seguimiento a las etapas de contratación, toda vez que los soportes suministrados corresponden sólo a la etapa contractual. Se requiere que la evidencia sea competente, es decir con calidad en relación a su relevancia y confiabilidad y suficiente en términos de cantidad y completitud, que permita demostrar de manera íntegra el hecho.
</v>
      </c>
      <c r="AT89" s="139"/>
    </row>
    <row r="90">
      <c r="A90" s="86"/>
      <c r="B90" s="73"/>
      <c r="C90" s="73"/>
      <c r="D90" s="156"/>
      <c r="E90" s="156"/>
      <c r="F90" s="156"/>
      <c r="G90" s="156"/>
      <c r="H90" s="156"/>
      <c r="I90" s="156"/>
      <c r="J90" s="156"/>
      <c r="K90" s="156"/>
      <c r="L90" s="156"/>
      <c r="M90" s="156"/>
      <c r="N90" s="156"/>
      <c r="O90" s="156"/>
      <c r="P90" s="156"/>
      <c r="Q90" s="157"/>
      <c r="R90" s="158" t="str">
        <f>IFERROR(__xludf.DUMMYFUNCTION("""COMPUTED_VALUE"""),"")</f>
        <v/>
      </c>
      <c r="S90" s="159" t="str">
        <f>IFERROR(__xludf.DUMMYFUNCTION("""COMPUTED_VALUE"""),"")</f>
        <v/>
      </c>
      <c r="T90" s="170"/>
      <c r="U90" s="170"/>
      <c r="V90" s="94"/>
      <c r="W90" s="94"/>
      <c r="X90" s="94"/>
      <c r="Y90" s="94"/>
      <c r="Z90" s="150" t="str">
        <f>IFERROR(__xludf.DUMMYFUNCTION("""COMPUTED_VALUE"""),"30 de agosto")</f>
        <v>30 de agosto</v>
      </c>
      <c r="AA90" s="151">
        <f>IFERROR(__xludf.DUMMYFUNCTION("""COMPUTED_VALUE"""),45805.0)</f>
        <v>45805</v>
      </c>
      <c r="AB90" s="150" t="str">
        <f>IFERROR(__xludf.DUMMYFUNCTION("""COMPUTED_VALUE"""),"Durante este segundo monitoreo NO se materializó el riesgo.
Acciones de tratamiento del riesgo:
Para el cumplimiento de la acción del tratamiento del riesgo, se asigna al profesional de apoyo jurídico Julián Darse Vázquez Gutiérrez de la Vicerrectoría de"&amp;" Recursos para la realización de la segunda capacitación sobre: procedimientos de contratación, formatos, manual de contratación y normatividad vigente, dirigido a los profesionales de apoyo que gestionan la contratación directa, privada y pública. Dicha "&amp;"capacitación se realizó el 28/05/2025.
Avance sobre los controles:
1- Aplicación del Manual de Contratación y procedimientos del Sistema de Gestión de Calidad: Se realiza un trabajo en equipo liderado por el Vicerrector de Recursos, con el apoyo de profe"&amp;"sionales que gestionan los procesos contractuales.
*Se efectúan capacitaciones constantes al personal de la Vicerrectoría y a los supervisores de los contratos, generalmente de forma trimestral o cuando se requiera.
*Se implementó el doble revisado docume"&amp;"ntal, lo cual implica que antes de la firma del contrato por parte del proveedor, un abogado diferente al que proyectó la minuta efectúe la revisión correspondiente.
*Se realiza la verificación de requisitos financieros, técnicos y jurídicos mediante un o"&amp;"ficio en el cual se detalla el cumplimiento de cada ítem de la propuesta presentada por el proveedor. Esta confirmación es obligatoria en todos los contratos, con excepción de la contratación directa, en la cual se verifican los requisitos técnicos y jurí"&amp;"dicos. Estas acciones aseguran el cumplimiento de lo señalado en el Capítulo IV del Manual de Contratación, artículo 38, ítem 8, que exige que la propuesta contenga la información y documentos que acrediten capacidad técnica, jurídica y financiera.
2- Se"&amp;"guimiento interno a las etapas de contratación
La Vicerrectoría de Recursos tiene implementada una matriz de seguimiento al Plan Anual de Adquisiciones, en la cual se lleva control de todos los formatos relacionados con los procedimientos de contratación "&amp;"directa, privada y pública.
Adicionalmente, se mide el indicador de porcentaje de ejecución de cada proceso proyectado por las diferentes dependencias. Este seguimiento es realizado diariamente por los profesionales de apoyo de la contratación.
3- Capaci"&amp;"tación de actualización en normatividad vigente
Con el fin de fortalecer el conocimiento del equipo de trabajo, se desarrollan capacitaciones periódicas en normatividad, procedimientos y formatos de contratación.
Como evidencia, el día 28 de mayo de 2025 "&amp;"se realizó una capacitación liderada por el profesional de apoyo jurídico Julián Darse Vázquez Gutiérrez, dirigida al personal de la Vicerrectoría de Recursos, en concordancia con la acción de tratamiento de riesgo definida previamente.
4- Publicación de"&amp;" contratación en el portal SECOP II
En cumplimiento de lo dispuesto en el Título I, artículo 6 del Manual de Contratación, todos los contratos son publicados en SECOP II, asegurando la publicidad y transparencia de las etapas de los procesos de selección."&amp;"
De esta manera, se cumple con la obligación de divulgar la contratación a través de la página web institucional y del SECOP, como lo ordena el marco normativo vigente.
5- Solicitud de pólizas a los contratos que lo requieran
En los contratos que lo exig"&amp;"en, se solicita la constitución de pólizas y garantías en cumplimiento de lo dispuesto en el Título VI, Capítulo I, artículo 51 del Manual de Contratación, lo que permite proteger los intereses de la Universidad frente a riesgos contractuales, financieros"&amp;" y legales.")</f>
        <v>Durante este segundo monitoreo NO se materializó el riesgo.
Acciones de tratamiento del riesgo:
Para el cumplimiento de la acción del tratamiento del riesgo, se asigna al profesional de apoyo jurídico Julián Darse Vázquez Gutiérrez de la Vicerrectoría de Recursos para la realización de la segunda capacitación sobre: procedimientos de contratación, formatos, manual de contratación y normatividad vigente, dirigido a los profesionales de apoyo que gestionan la contratación directa, privada y pública. Dicha capacitación se realizó el 28/05/2025.
Avance sobre los controles:
1- Aplicación del Manual de Contratación y procedimientos del Sistema de Gestión de Calidad: Se realiza un trabajo en equipo liderado por el Vicerrector de Recursos, con el apoyo de profesionales que gestionan los procesos contractuales.
*Se efectúan capacitaciones constantes al personal de la Vicerrectoría y a los supervisores de los contratos, generalmente de forma trimestral o cuando se requiera.
*Se implementó el doble revisado documental, lo cual implica que antes de la firma del contrato por parte del proveedor, un abogado diferente al que proyectó la minuta efectúe la revisión correspondiente.
*Se realiza la verificación de requisitos financieros, técnicos y jurídicos mediante un oficio en el cual se detalla el cumplimiento de cada ítem de la propuesta presentada por el proveedor. Esta confirmación es obligatoria en todos los contratos, con excepción de la contratación directa, en la cual se verifican los requisitos técnicos y jurídicos. Estas acciones aseguran el cumplimiento de lo señalado en el Capítulo IV del Manual de Contratación, artículo 38, ítem 8, que exige que la propuesta contenga la información y documentos que acrediten capacidad técnica, jurídica y financiera.
2- Seguimiento interno a las etapas de contratación
La Vicerrectoría de Recursos tiene implementada una matriz de seguimiento al Plan Anual de Adquisiciones, en la cual se lleva control de todos los formatos relacionados con los procedimientos de contratación directa, privada y pública.
Adicionalmente, se mide el indicador de porcentaje de ejecución de cada proceso proyectado por las diferentes dependencias. Este seguimiento es realizado diariamente por los profesionales de apoyo de la contratación.
3- Capacitación de actualización en normatividad vigente
Con el fin de fortalecer el conocimiento del equipo de trabajo, se desarrollan capacitaciones periódicas en normatividad, procedimientos y formatos de contratación.
Como evidencia, el día 28 de mayo de 2025 se realizó una capacitación liderada por el profesional de apoyo jurídico Julián Darse Vázquez Gutiérrez, dirigida al personal de la Vicerrectoría de Recursos, en concordancia con la acción de tratamiento de riesgo definida previamente.
4- Publicación de contratación en el portal SECOP II
En cumplimiento de lo dispuesto en el Título I, artículo 6 del Manual de Contratación, todos los contratos son publicados en SECOP II, asegurando la publicidad y transparencia de las etapas de los procesos de selección.
De esta manera, se cumple con la obligación de divulgar la contratación a través de la página web institucional y del SECOP, como lo ordena el marco normativo vigente.
5- Solicitud de pólizas a los contratos que lo requieran
En los contratos que lo exigen, se solicita la constitución de pólizas y garantías en cumplimiento de lo dispuesto en el Título VI, Capítulo I, artículo 51 del Manual de Contratación, lo que permite proteger los intereses de la Universidad frente a riesgos contractuales, financieros y legales.</v>
      </c>
      <c r="AC90" s="152" t="str">
        <f>IFERROR(__xludf.DUMMYFUNCTION("""COMPUTED_VALUE"""),"Wilson Fernando Salgado Cifuentes ")</f>
        <v>Wilson Fernando Salgado Cifuentes </v>
      </c>
      <c r="AD90" s="153" t="str">
        <f>IFERROR(__xludf.DUMMYFUNCTION("""COMPUTED_VALUE"""),"Evidencia")</f>
        <v>Evidencia</v>
      </c>
      <c r="AE90" s="150" t="str">
        <f>IFERROR(__xludf.DUMMYFUNCTION("""COMPUTED_VALUE"""),"Si")</f>
        <v>Si</v>
      </c>
      <c r="AF90" s="152" t="str">
        <f>IFERROR(__xludf.DUMMYFUNCTION("""COMPUTED_VALUE"""),"En proceso")</f>
        <v>En proceso</v>
      </c>
      <c r="AG90" s="32" t="str">
        <f>IFERROR(__xludf.DUMMYFUNCTION("""COMPUTED_VALUE"""),"Durante este monitoreo se reporta que no se materializó el riesgo.
Sobre los controles:
c1 Aplicación del Manual de Contratación y procedimientos del Sistema de Gestión de Calidad:
Avance: Se verificó que la Vicerrectoría de Recursos mantuvo la aplicaci"&amp;"ón del Manual de Contratación con liderazgo del Vicerrector y apoyo del equipo contractual. Se realizaron capacitaciones periódicas, se implementó el doble revisado documental y se efectuó la verificación de requisitos técnicos, jurídicos y financieros en"&amp;" las propuestas, en concordancia con lo señalado en el artículo 38 del Manual de Contratación.
c2 Seguimiento interno a las etapas de contratación:
Avance: La Vicerrectoría de Recursos mantuvo actualizada la matriz de seguimiento al Plan Anual de Adquisi"&amp;"ciones, efectuando control sobre los formatos relacionados con contratación directa, privada y pública. Asimismo, se comprobó que el indicador de ejecución de procesos fue medido diariamente por los profesionales de apoyo.
c3 Capacitación de actualizació"&amp;"n en normatividad vigente:
Avance: Se constató que el 28 de mayo de 2025 se realizó la capacitación en normatividad, procedimientos y formatos de contratación, dirigida al personal de la Vicerrectoría de Recursos y liderada por el profesional de apoyo jur"&amp;"ídico.
c4 Publicación de contratación en el portal SECOP II:
Avance: Se evidenció que todos los contratos fueron publicados en SECOP II, cumpliendo lo dispuesto en el Título I, artículo 6 del Manual de Contratación, garantizando la transparencia y public"&amp;"idad de los procesos.
c5 Solicitud de pólizas a los contratos que lo requirieron:
Avance: Se verificó la constitución de pólizas y garantías en los contratos que lo exigieron, conforme al Título VI, Capítulo I, artículo 51 del Manual de Contratación, lo "&amp;"que permitió proteger los intereses de la Universidad.
Sobre las acciones de tratamiento:
Se confirmó el cumplimiento de la acción definida, al desarrollarse la segunda capacitación programada, dirigida al equipo de apoyo de la Vicerrectoría de Recursos "&amp;"sobre procedimientos de contratación, formatos, manual de contratación y normatividad vigente. Esta capacitación se llevó a cabo el 28 de mayo de 2025 y quedó soportada en acta de reunión, cumpliendo con la sensibilización semestral establecida.")</f>
        <v>Durante este monitoreo se reporta que no se materializó el riesgo.
Sobre los controles:
c1 Aplicación del Manual de Contratación y procedimientos del Sistema de Gestión de Calidad:
Avance: Se verificó que la Vicerrectoría de Recursos mantuvo la aplicación del Manual de Contratación con liderazgo del Vicerrector y apoyo del equipo contractual. Se realizaron capacitaciones periódicas, se implementó el doble revisado documental y se efectuó la verificación de requisitos técnicos, jurídicos y financieros en las propuestas, en concordancia con lo señalado en el artículo 38 del Manual de Contratación.
c2 Seguimiento interno a las etapas de contratación:
Avance: La Vicerrectoría de Recursos mantuvo actualizada la matriz de seguimiento al Plan Anual de Adquisiciones, efectuando control sobre los formatos relacionados con contratación directa, privada y pública. Asimismo, se comprobó que el indicador de ejecución de procesos fue medido diariamente por los profesionales de apoyo.
c3 Capacitación de actualización en normatividad vigente:
Avance: Se constató que el 28 de mayo de 2025 se realizó la capacitación en normatividad, procedimientos y formatos de contratación, dirigida al personal de la Vicerrectoría de Recursos y liderada por el profesional de apoyo jurídico.
c4 Publicación de contratación en el portal SECOP II:
Avance: Se evidenció que todos los contratos fueron publicados en SECOP II, cumpliendo lo dispuesto en el Título I, artículo 6 del Manual de Contratación, garantizando la transparencia y publicidad de los procesos.
c5 Solicitud de pólizas a los contratos que lo requirieron:
Avance: Se verificó la constitución de pólizas y garantías en los contratos que lo exigieron, conforme al Título VI, Capítulo I, artículo 51 del Manual de Contratación, lo que permitió proteger los intereses de la Universidad.
Sobre las acciones de tratamiento:
Se confirmó el cumplimiento de la acción definida, al desarrollarse la segunda capacitación programada, dirigida al equipo de apoyo de la Vicerrectoría de Recursos sobre procedimientos de contratación, formatos, manual de contratación y normatividad vigente. Esta capacitación se llevó a cabo el 28 de mayo de 2025 y quedó soportada en acta de reunión, cumpliendo con la sensibilización semestral establecida.</v>
      </c>
      <c r="AH90" s="150" t="str">
        <f>IFERROR(__xludf.DUMMYFUNCTION("""COMPUTED_VALUE"""),"31 de agosto")</f>
        <v>31 de agosto</v>
      </c>
      <c r="AI90" s="32" t="str">
        <f>IFERROR(__xludf.DUMMYFUNCTION("""COMPUTED_VALUE"""),"Si")</f>
        <v>Si</v>
      </c>
      <c r="AJ90" s="32" t="str">
        <f>IFERROR(__xludf.DUMMYFUNCTION("""COMPUTED_VALUE"""),"Si")</f>
        <v>Si</v>
      </c>
      <c r="AK90" s="32" t="str">
        <f>IFERROR(__xludf.DUMMYFUNCTION("""COMPUTED_VALUE"""),"Si")</f>
        <v>Si</v>
      </c>
      <c r="AL90" s="32" t="str">
        <f>IFERROR(__xludf.DUMMYFUNCTION("""COMPUTED_VALUE"""),"Si")</f>
        <v>Si</v>
      </c>
      <c r="AM90" s="32" t="str">
        <f>IFERROR(__xludf.DUMMYFUNCTION("""COMPUTED_VALUE"""),"Si")</f>
        <v>Si</v>
      </c>
      <c r="AN90" s="32" t="str">
        <f>IFERROR(__xludf.DUMMYFUNCTION("""COMPUTED_VALUE"""),"Si")</f>
        <v>Si</v>
      </c>
      <c r="AO90" s="32" t="str">
        <f>IFERROR(__xludf.DUMMYFUNCTION("""COMPUTED_VALUE"""),"Si")</f>
        <v>Si</v>
      </c>
      <c r="AP90" s="32" t="str">
        <f>IFERROR(__xludf.DUMMYFUNCTION("""COMPUTED_VALUE"""),"No aplica")</f>
        <v>No aplica</v>
      </c>
      <c r="AQ90" s="32" t="str">
        <f>IFERROR(__xludf.DUMMYFUNCTION("""COMPUTED_VALUE"""),"No aplica")</f>
        <v>No aplica</v>
      </c>
      <c r="AR90" s="32" t="str">
        <f>IFERROR(__xludf.DUMMYFUNCTION("""COMPUTED_VALUE"""),"No aplica")</f>
        <v>No aplica</v>
      </c>
      <c r="AS90" s="150" t="str">
        <f>IFERROR(__xludf.DUMMYFUNCTION("""COMPUTED_VALUE"""),"Recomendaciones:
*Revisar y ajustar la descripción del riesgo toda vez que la casua identificada como ""Causa raiz"", con mayor puntaje (5) fue: ""- Deficiencia en la etapa de planeación de los procesos"" .
*Fortalecer la descripción del riesgo y la descr"&amp;"ipción de los controles, considerando la metodología de la Guía para la Administración del Riesgo y el diseño de controles en entidades públicas Versión 6, que propone los elementos para la descripción del riesgo.              
                           "&amp;"             
                                        ")</f>
        <v>Recomendaciones:
*Revisar y ajustar la descripción del riesgo toda vez que la casua identificada como "Causa raiz", con mayor puntaje (5) fue: "- Deficiencia en la etapa de planeación de los procesos" .
*Fortalecer la descripción del riesgo y la descripción de los controles, considerando la metodología de la Guía para la Administración del Riesgo y el diseño de controles en entidades públicas Versión 6, que propone los elementos para la descripción del riesgo.              
                                        </v>
      </c>
      <c r="AT90" s="139"/>
    </row>
    <row r="91">
      <c r="A91" s="86"/>
      <c r="B91" s="73"/>
      <c r="C91" s="73"/>
      <c r="D91" s="119"/>
      <c r="E91" s="119"/>
      <c r="F91" s="119"/>
      <c r="G91" s="119"/>
      <c r="H91" s="119"/>
      <c r="I91" s="119"/>
      <c r="J91" s="119"/>
      <c r="K91" s="119"/>
      <c r="L91" s="119"/>
      <c r="M91" s="119"/>
      <c r="N91" s="119"/>
      <c r="O91" s="119"/>
      <c r="P91" s="119"/>
      <c r="Q91" s="162"/>
      <c r="R91" s="163" t="str">
        <f>IFERROR(__xludf.DUMMYFUNCTION("""COMPUTED_VALUE"""),"")</f>
        <v/>
      </c>
      <c r="S91" s="164" t="str">
        <f>IFERROR(__xludf.DUMMYFUNCTION("""COMPUTED_VALUE"""),"")</f>
        <v/>
      </c>
      <c r="T91" s="176"/>
      <c r="U91" s="176"/>
      <c r="V91" s="98"/>
      <c r="W91" s="98"/>
      <c r="X91" s="98"/>
      <c r="Y91" s="98"/>
      <c r="Z91" s="150" t="str">
        <f>IFERROR(__xludf.DUMMYFUNCTION("""COMPUTED_VALUE"""),"30 de diciembre")</f>
        <v>30 de diciembre</v>
      </c>
      <c r="AA91" s="151">
        <f>IFERROR(__xludf.DUMMYFUNCTION("""COMPUTED_VALUE"""),45993.0)</f>
        <v>45993</v>
      </c>
      <c r="AB91" s="150" t="str">
        <f>IFERROR(__xludf.DUMMYFUNCTION("""COMPUTED_VALUE"""),"Durante este tercer monitoreo NO se materializó el riesgo
Las acciones de mejora realizadas fueron las siguientes:
C1. Aplicación del Manual de Contratación y procedimientos del Sistema de Gestión de Calidad
Se realizó capacitación el 2 de diciembre de "&amp;"2025 al personal de la Vicerrectoría de Recursos Universitarios sobre la Resolución Rectoral 0685 de 2021 – Manual de Contratación, el procedimiento PD-GBS-02 Contratación Directa y las actualizaciones normativas vigentes. Dicha capacitacion  La capacitac"&amp;"ión permite fortalecer la etapa de planeación porque garantiza que el personal involucrado en la contratación conozca y aplique adecuadamente el Manual de Contratación, el procedimiento PD-GBS-02 y la normatividad vigente, lo cual asegura una correcta est"&amp;"ructuración de los procesos antes de iniciar cualquier trámite contractual.
Se implementó el doble revisado documental, garantizando que un abogado distinto al que realizo el proceso de contratacion, revise antes de firmar el contrato. Se evidencia esta "&amp;"acción en el contrato 0966 de 2025. Dicha revision evita errores de planeación en la elaboración de minutas y requisitos.
Se verificaron los requisitos financieros, técnicos y jurídicos del contrato 0966 de 2025, cumpliendo lo establecido en el Capítulo "&amp;"IV, artículo 38, ítem 8 del Manual de Contratación. Esta validación se aplica en todos los contratos, excepto en la contratación directa, en la cual se revisan los requisitos técnicos y jurídicos. Ademas, la correcta verificacion fortalece una planeación "&amp;"más completa y ajustada a la normatividad.
C2. Seguimiento interno a las etapas de contratación
La Vicerrectoría continúa implementando la matriz de seguimiento al Plan Anual de Adquisiciones, donde se controla el uso de los formatos requeridos en los pr"&amp;"ocesos de contratación desde la etapa de planeacion, contratacion y liquidacion para la contratacion directa, privada y pública. Asimismo, se mide el indicador de porcentaje de ejecución de cada proceso, con seguimiento diario por parte de los profesional"&amp;"es de apoyo. El seguimiento interno ayuda a mejorar la planeación al permitir identificar retrasos, inconsistencias o fallas en la programación del PAA, lo que retroalimenta la planeación futura.
C3. Capacitación en normatividad vigente
El 2 de diciembre"&amp;" de 2025 se desarrolló capacitación sobre normatividad vigente, manual de contratación y procedimientos, liderada por el profesional de apoyo jurídico Julián Darse Vázquez Gutiérrez, dirigida al personal de la Vicerrectoría de Recursos, fortaleciendo las "&amp;"competencias del equipo y cumpliendo con la acción de tratamiento del riesgo.
C4. Publicación de la contratación en SECOP II
Se publica la totalidad de los contratos en SECOP II, en cumplimiento del Título I, artículo 6 del Manual de Contratación, garant"&amp;"izando transparencia y publicidad en todas las etapas de los procesos contractuales, conforme al marco normativo vigente.
C5. Solicitud de pólizas cuando aplica
En los contratos que lo requieren, se solicita la constitución de pólizas y garantías, en cum"&amp;"plimiento del Título VI, Capítulo I, artículo 51 del Manual de Contratación, protegiendo los intereses institucionales frente a riesgos contractuales, financieros y legales.")</f>
        <v>Durante este tercer monitoreo NO se materializó el riesgo
Las acciones de mejora realizadas fueron las siguientes:
C1. Aplicación del Manual de Contratación y procedimientos del Sistema de Gestión de Calidad
Se realizó capacitación el 2 de diciembre de 2025 al personal de la Vicerrectoría de Recursos Universitarios sobre la Resolución Rectoral 0685 de 2021 – Manual de Contratación, el procedimiento PD-GBS-02 Contratación Directa y las actualizaciones normativas vigentes. Dicha capacitacion  La capacitación permite fortalecer la etapa de planeación porque garantiza que el personal involucrado en la contratación conozca y aplique adecuadamente el Manual de Contratación, el procedimiento PD-GBS-02 y la normatividad vigente, lo cual asegura una correcta estructuración de los procesos antes de iniciar cualquier trámite contractual.
Se implementó el doble revisado documental, garantizando que un abogado distinto al que realizo el proceso de contratacion, revise antes de firmar el contrato. Se evidencia esta acción en el contrato 0966 de 2025. Dicha revision evita errores de planeación en la elaboración de minutas y requisitos.
Se verificaron los requisitos financieros, técnicos y jurídicos del contrato 0966 de 2025, cumpliendo lo establecido en el Capítulo IV, artículo 38, ítem 8 del Manual de Contratación. Esta validación se aplica en todos los contratos, excepto en la contratación directa, en la cual se revisan los requisitos técnicos y jurídicos. Ademas, la correcta verificacion fortalece una planeación más completa y ajustada a la normatividad.
C2. Seguimiento interno a las etapas de contratación
La Vicerrectoría continúa implementando la matriz de seguimiento al Plan Anual de Adquisiciones, donde se controla el uso de los formatos requeridos en los procesos de contratación desde la etapa de planeacion, contratacion y liquidacion para la contratacion directa, privada y pública. Asimismo, se mide el indicador de porcentaje de ejecución de cada proceso, con seguimiento diario por parte de los profesionales de apoyo. El seguimiento interno ayuda a mejorar la planeación al permitir identificar retrasos, inconsistencias o fallas en la programación del PAA, lo que retroalimenta la planeación futura.
C3. Capacitación en normatividad vigente
El 2 de diciembre de 2025 se desarrolló capacitación sobre normatividad vigente, manual de contratación y procedimientos, liderada por el profesional de apoyo jurídico Julián Darse Vázquez Gutiérrez, dirigida al personal de la Vicerrectoría de Recursos, fortaleciendo las competencias del equipo y cumpliendo con la acción de tratamiento del riesgo.
C4. Publicación de la contratación en SECOP II
Se publica la totalidad de los contratos en SECOP II, en cumplimiento del Título I, artículo 6 del Manual de Contratación, garantizando transparencia y publicidad en todas las etapas de los procesos contractuales, conforme al marco normativo vigente.
C5. Solicitud de pólizas cuando aplica
En los contratos que lo requieren, se solicita la constitución de pólizas y garantías, en cumplimiento del Título VI, Capítulo I, artículo 51 del Manual de Contratación, protegiendo los intereses institucionales frente a riesgos contractuales, financieros y legales.</v>
      </c>
      <c r="AC91" s="152" t="str">
        <f>IFERROR(__xludf.DUMMYFUNCTION("""COMPUTED_VALUE"""),"Wilson Fernando Salgado Cifuentes ")</f>
        <v>Wilson Fernando Salgado Cifuentes </v>
      </c>
      <c r="AD91" s="153" t="str">
        <f>IFERROR(__xludf.DUMMYFUNCTION("""COMPUTED_VALUE"""),"Evidencia")</f>
        <v>Evidencia</v>
      </c>
      <c r="AE91" s="150" t="str">
        <f>IFERROR(__xludf.DUMMYFUNCTION("""COMPUTED_VALUE"""),"Si")</f>
        <v>Si</v>
      </c>
      <c r="AF91" s="152" t="str">
        <f>IFERROR(__xludf.DUMMYFUNCTION("""COMPUTED_VALUE"""),"Ejecutada")</f>
        <v>Ejecutada</v>
      </c>
      <c r="AG91" s="32" t="str">
        <f>IFERROR(__xludf.DUMMYFUNCTION("""COMPUTED_VALUE"""),"-Durante el presente monitoreo no se materializó el riesgo. Se confirma que todos los controles definidos fueron aplicados y cuentan con evidencia verificable:
C1. Manual de Contratación: Se valida la aplicación del procedimiento y el doble revisado docu"&amp;"mental. Evidencia: registros de revisión y capacitación interna.
C2. Seguimiento al PAA: Se confirma actualización y control permanente del PAA mediante matriz de seguimiento.
C3. Capacitación normativa: Se verifica capacitación reciente al equipo respo"&amp;"nsable.
C4. Publicación en SECOP II: Se constata la publicación oportuna de los contratos.
C5. Pólizas y garantías: Se evidencia su solicitud y revisión en los procesos que aplican.                                                                        "&amp;"                                        -Se resalta el adecuado cumplimiento y soporte de los controles aplicados, así como la organización de la evidencia remitida. Se recomienda continuar fortaleciendo esta buena práctica, manteniendo la trazabilidad y "&amp;"la calidad del registro documental observada en este monitoreo.")</f>
        <v>-Durante el presente monitoreo no se materializó el riesgo. Se confirma que todos los controles definidos fueron aplicados y cuentan con evidencia verificable:
C1. Manual de Contratación: Se valida la aplicación del procedimiento y el doble revisado documental. Evidencia: registros de revisión y capacitación interna.
C2. Seguimiento al PAA: Se confirma actualización y control permanente del PAA mediante matriz de seguimiento.
C3. Capacitación normativa: Se verifica capacitación reciente al equipo responsable.
C4. Publicación en SECOP II: Se constata la publicación oportuna de los contratos.
C5. Pólizas y garantías: Se evidencia su solicitud y revisión en los procesos que aplican.                                                                                                                -Se resalta el adecuado cumplimiento y soporte de los controles aplicados, así como la organización de la evidencia remitida. Se recomienda continuar fortaleciendo esta buena práctica, manteniendo la trazabilidad y la calidad del registro documental observada en este monitoreo.</v>
      </c>
      <c r="AH91" s="150" t="str">
        <f>IFERROR(__xludf.DUMMYFUNCTION("""COMPUTED_VALUE"""),"31 de diciembre")</f>
        <v>31 de diciembre</v>
      </c>
      <c r="AI91" s="32" t="str">
        <f>IFERROR(__xludf.DUMMYFUNCTION("""COMPUTED_VALUE"""),"Si")</f>
        <v>Si</v>
      </c>
      <c r="AJ91" s="32" t="str">
        <f>IFERROR(__xludf.DUMMYFUNCTION("""COMPUTED_VALUE"""),"Si")</f>
        <v>Si</v>
      </c>
      <c r="AK91" s="32" t="str">
        <f>IFERROR(__xludf.DUMMYFUNCTION("""COMPUTED_VALUE"""),"Si")</f>
        <v>Si</v>
      </c>
      <c r="AL91" s="32" t="str">
        <f>IFERROR(__xludf.DUMMYFUNCTION("""COMPUTED_VALUE"""),"Si")</f>
        <v>Si</v>
      </c>
      <c r="AM91" s="32" t="str">
        <f>IFERROR(__xludf.DUMMYFUNCTION("""COMPUTED_VALUE"""),"Si")</f>
        <v>Si</v>
      </c>
      <c r="AN91" s="32" t="str">
        <f>IFERROR(__xludf.DUMMYFUNCTION("""COMPUTED_VALUE"""),"Si")</f>
        <v>Si</v>
      </c>
      <c r="AO91" s="32" t="str">
        <f>IFERROR(__xludf.DUMMYFUNCTION("""COMPUTED_VALUE"""),"Si")</f>
        <v>Si</v>
      </c>
      <c r="AP91" s="32" t="str">
        <f>IFERROR(__xludf.DUMMYFUNCTION("""COMPUTED_VALUE"""),"No aplica")</f>
        <v>No aplica</v>
      </c>
      <c r="AQ91" s="32" t="str">
        <f>IFERROR(__xludf.DUMMYFUNCTION("""COMPUTED_VALUE"""),"No aplica")</f>
        <v>No aplica</v>
      </c>
      <c r="AR91" s="32" t="str">
        <f>IFERROR(__xludf.DUMMYFUNCTION("""COMPUTED_VALUE"""),"No aplica")</f>
        <v>No aplica</v>
      </c>
      <c r="AS91" s="150" t="str">
        <f>IFERROR(__xludf.DUMMYFUNCTION("""COMPUTED_VALUE"""),"Recomendaciones:
*Revisar y ajustar la descripción del riesgo toda vez que la casua identificada como ""Causa raiz"", con mayor puntaje (5) fue: ""- Deficiencia en la etapa de planeación de los procesos"" .
*Fortalecer la descripción del riesgo y la descr"&amp;"ipción de los controles, considerando la metodología de la Guía para la Administración del Riesgo y el diseño de controles en entidades públicas Versión 6, que propone los elementos para la descripción del riesgo.              
                           "&amp;"             
                                        ")</f>
        <v>Recomendaciones:
*Revisar y ajustar la descripción del riesgo toda vez que la casua identificada como "Causa raiz", con mayor puntaje (5) fue: "- Deficiencia en la etapa de planeación de los procesos" .
*Fortalecer la descripción del riesgo y la descripción de los controles, considerando la metodología de la Guía para la Administración del Riesgo y el diseño de controles en entidades públicas Versión 6, que propone los elementos para la descripción del riesgo.              
                                        </v>
      </c>
      <c r="AT91" s="139"/>
    </row>
    <row r="92">
      <c r="A92" s="86"/>
      <c r="B92" s="73"/>
      <c r="C92" s="73"/>
      <c r="D92" s="144" t="str">
        <f>IFERROR(__xludf.DUMMYFUNCTION("""COMPUTED_VALUE"""),"Afectación reputacional y económica por vulneración al régimen de inhabilidades, incompatibilidades y conflicto de intereses dentro del proceso de contratación de la Universidad de los Llanos. ")</f>
        <v>Afectación reputacional y económica por vulneración al régimen de inhabilidades, incompatibilidades y conflicto de intereses dentro del proceso de contratación de la Universidad de los Llanos. </v>
      </c>
      <c r="E92" s="144" t="str">
        <f>IFERROR(__xludf.DUMMYFUNCTION("""COMPUTED_VALUE"""),"Vicerrectoría de Recursos Universitarios")</f>
        <v>Vicerrectoría de Recursos Universitarios</v>
      </c>
      <c r="F92" s="144" t="str">
        <f>IFERROR(__xludf.DUMMYFUNCTION("""COMPUTED_VALUE"""),"Conflicto de interés")</f>
        <v>Conflicto de interés</v>
      </c>
      <c r="G92" s="144" t="str">
        <f>IFERROR(__xludf.DUMMYFUNCTION("""COMPUTED_VALUE"""),"- Omisión al régimen de inhabilidades e incompatibilidades, conflicto de interes e impedimentos de los actores inmersos en el proceso de contratación.
- Tomar y omitir decisiones a favor de un interes particular
- Direccionar el proceso de contratación pa"&amp;"ra favorecer a una persona en particular")</f>
        <v>- Omisión al régimen de inhabilidades e incompatibilidades, conflicto de interes e impedimentos de los actores inmersos en el proceso de contratación.
- Tomar y omitir decisiones a favor de un interes particular
- Direccionar el proceso de contratación para favorecer a una persona en particular</v>
      </c>
      <c r="H92" s="144" t="str">
        <f>IFERROR(__xludf.DUMMYFUNCTION("""COMPUTED_VALUE"""),"- Detrimento de la imagen y pérdida de credibilidad.
- Sanciones penales, disciplinarias y fiscales.")</f>
        <v>- Detrimento de la imagen y pérdida de credibilidad.
- Sanciones penales, disciplinarias y fiscales.</v>
      </c>
      <c r="I92" s="145" t="str">
        <f>IFERROR(__xludf.DUMMYFUNCTION("""COMPUTED_VALUE"""),"GBS_02")</f>
        <v>GBS_02</v>
      </c>
      <c r="J92" s="145" t="str">
        <f>IFERROR(__xludf.DUMMYFUNCTION("""COMPUTED_VALUE"""),"Alta")</f>
        <v>Alta</v>
      </c>
      <c r="K92" s="145" t="str">
        <f>IFERROR(__xludf.DUMMYFUNCTION("""COMPUTED_VALUE"""),"Mayor")</f>
        <v>Mayor</v>
      </c>
      <c r="L92" s="145" t="str">
        <f>IFERROR(__xludf.DUMMYFUNCTION("""COMPUTED_VALUE"""),"Extrema")</f>
        <v>Extrema</v>
      </c>
      <c r="M92" s="144" t="str">
        <f>IFERROR(__xludf.DUMMYFUNCTION("""COMPUTED_VALUE"""),"Aplicación del artículo 8 del Acuerdo Superior 027 de 2020 y artículo 4 de la Resolución  Rectoral N.0685 de 2021, que hacen referencia al estatuto general de contratación, y el manual de contración respectivamente
Verificación del formato de inhabilidade"&amp;"s e incompatibilidades.
Solicitud de polizas a los contratos que los requieran
Participación de asesores externos legales en etapas críticas en el proceso de contratación Actualización de Pólizas de Manejo Oficial")</f>
        <v>Aplicación del artículo 8 del Acuerdo Superior 027 de 2020 y artículo 4 de la Resolución  Rectoral N.0685 de 2021, que hacen referencia al estatuto general de contratación, y el manual de contración respectivamente
Verificación del formato de inhabilidades e incompatibilidades.
Solicitud de polizas a los contratos que los requieran
Participación de asesores externos legales en etapas críticas en el proceso de contratación Actualización de Pólizas de Manejo Oficial</v>
      </c>
      <c r="N92" s="145" t="str">
        <f>IFERROR(__xludf.DUMMYFUNCTION("""COMPUTED_VALUE"""),"Muy baja")</f>
        <v>Muy baja</v>
      </c>
      <c r="O92" s="145" t="str">
        <f>IFERROR(__xludf.DUMMYFUNCTION("""COMPUTED_VALUE"""),"Mayor")</f>
        <v>Mayor</v>
      </c>
      <c r="P92" s="145" t="str">
        <f>IFERROR(__xludf.DUMMYFUNCTION("""COMPUTED_VALUE"""),"Alta")</f>
        <v>Alta</v>
      </c>
      <c r="Q92" s="178" t="str">
        <f>IFERROR(__xludf.DUMMYFUNCTION("""COMPUTED_VALUE"""),"Reducir")</f>
        <v>Reducir</v>
      </c>
      <c r="R92" s="158" t="str">
        <f>IFERROR(__xludf.DUMMYFUNCTION("""COMPUTED_VALUE"""),"Sensibilización al equipo de contratación de la Vicerrectoria de Recursos Universitarios sobre temas de inhabilidades, incompatibilidades y conflicto de interéses dentro del proceso de contratación de la Universidad de los Llanos. ")</f>
        <v>Sensibilización al equipo de contratación de la Vicerrectoria de Recursos Universitarios sobre temas de inhabilidades, incompatibilidades y conflicto de interéses dentro del proceso de contratación de la Universidad de los Llanos. </v>
      </c>
      <c r="S92" s="159" t="str">
        <f>IFERROR(__xludf.DUMMYFUNCTION("""COMPUTED_VALUE"""),"Semestralmente")</f>
        <v>Semestralmente</v>
      </c>
      <c r="T92" s="170" t="str">
        <f>IFERROR(__xludf.DUMMYFUNCTION("""COMPUTED_VALUE"""),"Vicerrectoria de Recursos Universitarios")</f>
        <v>Vicerrectoria de Recursos Universitarios</v>
      </c>
      <c r="U92" s="170" t="str">
        <f>IFERROR(__xludf.DUMMYFUNCTION("""COMPUTED_VALUE"""),"Acta de reunión")</f>
        <v>Acta de reunión</v>
      </c>
      <c r="V92" s="167" t="str">
        <f>IFERROR(__xludf.DUMMYFUNCTION("""COMPUTED_VALUE"""),"Realizar reporte ante los organismos de control internos")</f>
        <v>Realizar reporte ante los organismos de control internos</v>
      </c>
      <c r="W92" s="167" t="str">
        <f>IFERROR(__xludf.DUMMYFUNCTION("""COMPUTED_VALUE"""),"Documentos y/o correos")</f>
        <v>Documentos y/o correos</v>
      </c>
      <c r="X92" s="169" t="str">
        <f>IFERROR(__xludf.DUMMYFUNCTION("""COMPUTED_VALUE"""),"vicerrector de recursos")</f>
        <v>vicerrector de recursos</v>
      </c>
      <c r="Y92" s="169" t="str">
        <f>IFERROR(__xludf.DUMMYFUNCTION("""COMPUTED_VALUE"""),"72 horas")</f>
        <v>72 horas</v>
      </c>
      <c r="Z92" s="150" t="str">
        <f>IFERROR(__xludf.DUMMYFUNCTION("""COMPUTED_VALUE"""),"30 de abril")</f>
        <v>30 de abril</v>
      </c>
      <c r="AA92" s="151">
        <f>IFERROR(__xludf.DUMMYFUNCTION("""COMPUTED_VALUE"""),45776.0)</f>
        <v>45776</v>
      </c>
      <c r="AB92" s="150" t="str">
        <f>IFERROR(__xludf.DUMMYFUNCTION("""COMPUTED_VALUE"""),"Durante este primer monitoreo NO se materializó el riesgo. 
Acciones de tratamiento del riesgo:
Como parte de la accion de mejora propuesta, se llevó a cabo una capacitación dirigida a todos los profesionales de apoyo de la Vicerrectoría de Recursos, enf"&amp;"ocada en el tema de inhabilidades, incompatibilidades y conflicto de interéses dentro del proceso de contratación de la Universidad de los Llanos, con el objetivo de fortalecer las competencias del equipo y asegurar el cumplimiento de los requisitos estab"&amp;"lecidos en los procesos contractuales.
Avance sobre los controles:
1. Se solicita en todos los procesos contractuales el diligenciamiento del ANEXO 3 Certificación de no estar incurso en causales de conflicto de intereses, Inhabilidad e Incompatibilidad,"&amp;" del formato FO-GBS-26 LISTA DE CHEQUEO DIRECTA PERSONA NATURAL O JURIDICA, la cual contiene todos los requisitos que debe cumplir el proveedor para ser contratado y son necesarios para iniciar la etapa contractual.
2. Se ha venido realizando la verificac"&amp;"ión y solicitud oportuna de las pólizas exigidas contractualmente, especialmente en aquellos procesos que por su naturaleza requieren garantías conforme a lo establecido en la Resolución Rectoral No. 0685 de 2021, articulo 51 GARANTIAS. 
3. Se realiza la "&amp;"contratación de dos asesores externos legales para el apoyo en etapas criticas de los procesos contractuales.
4. Se adquiere poliza de manejo Oficial N°3000833 emitida por la Aseguradora PREVISORA SEGUROS, cuenta con una vigencia de 365 dias desde su fech"&amp;"a de emisión que inició el 27/05/2024 y finaliza el 27/05/2025, por lo tanto, para el mes de mayo inicia el tramite contractual para la renovación.")</f>
        <v>Durante este primer monitoreo NO se materializó el riesgo. 
Acciones de tratamiento del riesgo:
Como parte de la accion de mejora propuesta, se llevó a cabo una capacitación dirigida a todos los profesionales de apoyo de la Vicerrectoría de Recursos, enfocada en el tema de inhabilidades, incompatibilidades y conflicto de interéses dentro del proceso de contratación de la Universidad de los Llanos, con el objetivo de fortalecer las competencias del equipo y asegurar el cumplimiento de los requisitos establecidos en los procesos contractuales.
Avance sobre los controles:
1. Se solicita en todos los procesos contractuales el diligenciamiento del ANEXO 3 Certificación de no estar incurso en causales de conflicto de intereses, Inhabilidad e Incompatibilidad, del formato FO-GBS-26 LISTA DE CHEQUEO DIRECTA PERSONA NATURAL O JURIDICA, la cual contiene todos los requisitos que debe cumplir el proveedor para ser contratado y son necesarios para iniciar la etapa contractual.
2. Se ha venido realizando la verificación y solicitud oportuna de las pólizas exigidas contractualmente, especialmente en aquellos procesos que por su naturaleza requieren garantías conforme a lo establecido en la Resolución Rectoral No. 0685 de 2021, articulo 51 GARANTIAS. 
3. Se realiza la contratación de dos asesores externos legales para el apoyo en etapas criticas de los procesos contractuales.
4. Se adquiere poliza de manejo Oficial N°3000833 emitida por la Aseguradora PREVISORA SEGUROS, cuenta con una vigencia de 365 dias desde su fecha de emisión que inició el 27/05/2024 y finaliza el 27/05/2025, por lo tanto, para el mes de mayo inicia el tramite contractual para la renovación.</v>
      </c>
      <c r="AC92" s="152" t="str">
        <f>IFERROR(__xludf.DUMMYFUNCTION("""COMPUTED_VALUE"""),"Wilson Fernando Salgado Cifuentes ")</f>
        <v>Wilson Fernando Salgado Cifuentes </v>
      </c>
      <c r="AD92" s="153" t="str">
        <f>IFERROR(__xludf.DUMMYFUNCTION("""COMPUTED_VALUE"""),"Evidencia")</f>
        <v>Evidencia</v>
      </c>
      <c r="AE92" s="150" t="str">
        <f>IFERROR(__xludf.DUMMYFUNCTION("""COMPUTED_VALUE"""),"Si")</f>
        <v>Si</v>
      </c>
      <c r="AF92" s="150" t="str">
        <f>IFERROR(__xludf.DUMMYFUNCTION("""COMPUTED_VALUE"""),"En proceso")</f>
        <v>En proceso</v>
      </c>
      <c r="AG92" s="32" t="str">
        <f>IFERROR(__xludf.DUMMYFUNCTION("""COMPUTED_VALUE"""),"Durante este primer monitoreo NO se materializó el segundo riesgo, y se reporta una acción de tratamiento preventiva orientada a la sensibilización del equipo de contratación de la Vicerrectoría de Recursos Universitarios sobre inhabilidades, incompatibil"&amp;"idades y conflicto de intereses. Esta actividad se evidenció mediante acta de reunión, y corresponde a una acción programada con periodicidad semestral, lo cual permite establecer seguimiento continuo.
Los controles reportados incluyen medidas normativas"&amp;" y operativas que fortalecen la gestión del riesgo, como:
Aplicación de disposiciones y requisitos para ser proveedor. 
Verificación de formatos de inhabilidades e incompatibilidades.
Solicitud y actualización de pólizas.
Intervención de asesores exte"&amp;"rnos en etapas críticas del proceso contractual.
Estos controles son pertinentes y coherentes con la naturaleza del riesgo, y refuerzan el cumplimiento de requisitos legales y procedimentales en los procesos de contratación.")</f>
        <v>Durante este primer monitoreo NO se materializó el segundo riesgo, y se reporta una acción de tratamiento preventiva orientada a la sensibilización del equipo de contratación de la Vicerrectoría de Recursos Universitarios sobre inhabilidades, incompatibilidades y conflicto de intereses. Esta actividad se evidenció mediante acta de reunión, y corresponde a una acción programada con periodicidad semestral, lo cual permite establecer seguimiento continuo.
Los controles reportados incluyen medidas normativas y operativas que fortalecen la gestión del riesgo, como:
Aplicación de disposiciones y requisitos para ser proveedor. 
Verificación de formatos de inhabilidades e incompatibilidades.
Solicitud y actualización de pólizas.
Intervención de asesores externos en etapas críticas del proceso contractual.
Estos controles son pertinentes y coherentes con la naturaleza del riesgo, y refuerzan el cumplimiento de requisitos legales y procedimentales en los procesos de contratación.</v>
      </c>
      <c r="AH92" s="150" t="str">
        <f>IFERROR(__xludf.DUMMYFUNCTION("""COMPUTED_VALUE"""),"30 de abril")</f>
        <v>30 de abril</v>
      </c>
      <c r="AI92" s="32" t="str">
        <f>IFERROR(__xludf.DUMMYFUNCTION("""COMPUTED_VALUE"""),"Si")</f>
        <v>Si</v>
      </c>
      <c r="AJ92" s="32" t="str">
        <f>IFERROR(__xludf.DUMMYFUNCTION("""COMPUTED_VALUE"""),"Si")</f>
        <v>Si</v>
      </c>
      <c r="AK92" s="32" t="str">
        <f>IFERROR(__xludf.DUMMYFUNCTION("""COMPUTED_VALUE"""),"Si")</f>
        <v>Si</v>
      </c>
      <c r="AL92" s="32" t="str">
        <f>IFERROR(__xludf.DUMMYFUNCTION("""COMPUTED_VALUE"""),"Si")</f>
        <v>Si</v>
      </c>
      <c r="AM92" s="32" t="str">
        <f>IFERROR(__xludf.DUMMYFUNCTION("""COMPUTED_VALUE"""),"Si")</f>
        <v>Si</v>
      </c>
      <c r="AN92" s="32" t="str">
        <f>IFERROR(__xludf.DUMMYFUNCTION("""COMPUTED_VALUE"""),"Si")</f>
        <v>Si</v>
      </c>
      <c r="AO92" s="32" t="str">
        <f>IFERROR(__xludf.DUMMYFUNCTION("""COMPUTED_VALUE"""),"Si")</f>
        <v>Si</v>
      </c>
      <c r="AP92" s="32" t="str">
        <f>IFERROR(__xludf.DUMMYFUNCTION("""COMPUTED_VALUE"""),"No aplica")</f>
        <v>No aplica</v>
      </c>
      <c r="AQ92" s="32" t="str">
        <f>IFERROR(__xludf.DUMMYFUNCTION("""COMPUTED_VALUE"""),"No aplica")</f>
        <v>No aplica</v>
      </c>
      <c r="AR92" s="32" t="str">
        <f>IFERROR(__xludf.DUMMYFUNCTION("""COMPUTED_VALUE"""),"No aplica")</f>
        <v>No aplica</v>
      </c>
      <c r="AS92" s="150" t="str">
        <f>IFERROR(__xludf.DUMMYFUNCTION("""COMPUTED_VALUE"""),"Recomendaciones:
*Fortalecer la descripción del riesgo, considerando la metodología de la Guía para la Administración del Riesgo y el diseño de controles en entidades públicas Versión 6, que propone los elementos para la descripción del riesgo, como son: "&amp;"
Impacto: las consecuencias que puede ocasionar a la organización la materialización del riesgo.
Causa inmediata: circunstancias o situaciones más evidentes sobre las cuales se presenta el riesgo, las mismas no constituyen la causa principal o base para q"&amp;"ue se presente el riesgo.
Causa raíz: es la causa principal o básica, corresponden a las razones por la cuales se puede presentar el riesgo, son la base para la definición de controles en la etapa de valoración del riesgo. Se debe tener en cuenta que para"&amp;" un mismo riesgo pueden existir más de una causa o subcausas que pueden ser analizadas.
*Fortalecer la descripción de los controles conforme a la metodología propuesta en la Guía para la Administración del Riesgo y el diseño de controles en entidades púb"&amp;"licas Versión 6, que propone los elementos que debe contemplar el diseño del control, como son: 
Responsable de ejecutar el control: identifica el cargo del servidor que ejecuta el control, en caso de que sean controles automáticos se identificará el sist"&amp;"ema que realiza la actividad. 
Acción: se determina mediante verbos que indican la acción que deben realizar como parte del control. 
Complemento: corresponde a los detalles que permiten identificar claramente el objeto del control.
")</f>
        <v>Recomendaciones:
*Fortalecer la descripción del riesgo, considerando la metodología de la Guía para la Administración del Riesgo y el diseño de controles en entidades públicas Versión 6, que propone los elementos para la descripción del riesgo, como son: 
Impacto: las consecuencias que puede ocasionar a la organización la materialización del riesgo.
Causa inmediata: circunstancias o situaciones más evidentes sobre las cuales se presenta el riesgo, las mismas no constituyen la causa principal o base para que se presente el riesgo.
Causa raíz: es la causa principal o básica, corresponden a las razones por la cuales se puede presentar el riesgo, son la base para la definición de controles en la etapa de valoración del riesgo. Se debe tener en cuenta que para un mismo riesgo pueden existir más de una causa o subcausas que pueden ser analizadas.
*Fortalecer la descripción de los controles conforme a la metodología propuesta en la Guía para la Administración del Riesgo y el diseño de controles en entidades públicas Versión 6, que propone los elementos que debe contemplar el diseño del control, como son: 
Responsable de ejecutar el control: identifica el cargo del servidor que ejecuta el control, en caso de que sean controles automáticos se identificará el sistema que realiza la actividad. 
Acción: se determina mediante verbos que indican la acción que deben realizar como parte del control. 
Complemento: corresponde a los detalles que permiten identificar claramente el objeto del control.
</v>
      </c>
      <c r="AT92" s="139"/>
    </row>
    <row r="93">
      <c r="A93" s="86"/>
      <c r="B93" s="73"/>
      <c r="C93" s="73"/>
      <c r="D93" s="156"/>
      <c r="E93" s="156"/>
      <c r="F93" s="156"/>
      <c r="G93" s="156"/>
      <c r="H93" s="156"/>
      <c r="I93" s="156"/>
      <c r="J93" s="156"/>
      <c r="K93" s="156"/>
      <c r="L93" s="156"/>
      <c r="M93" s="156"/>
      <c r="N93" s="156"/>
      <c r="O93" s="156"/>
      <c r="P93" s="156"/>
      <c r="Q93" s="157"/>
      <c r="R93" s="158" t="str">
        <f>IFERROR(__xludf.DUMMYFUNCTION("""COMPUTED_VALUE"""),"")</f>
        <v/>
      </c>
      <c r="S93" s="159" t="str">
        <f>IFERROR(__xludf.DUMMYFUNCTION("""COMPUTED_VALUE"""),"")</f>
        <v/>
      </c>
      <c r="T93" s="170"/>
      <c r="U93" s="170"/>
      <c r="V93" s="94"/>
      <c r="W93" s="94"/>
      <c r="X93" s="94"/>
      <c r="Y93" s="94"/>
      <c r="Z93" s="150" t="str">
        <f>IFERROR(__xludf.DUMMYFUNCTION("""COMPUTED_VALUE"""),"30 de agosto")</f>
        <v>30 de agosto</v>
      </c>
      <c r="AA93" s="172">
        <f>IFERROR(__xludf.DUMMYFUNCTION("""COMPUTED_VALUE"""),45828.0)</f>
        <v>45828</v>
      </c>
      <c r="AB93" s="150" t="str">
        <f>IFERROR(__xludf.DUMMYFUNCTION("""COMPUTED_VALUE"""),"Durante este segundo monitoreo NO se materializó el riesgo. 
Acciones de tratamiento del riesgo:
Para el cumplimiento de la acción del tratamiento del riesgo, se asigna al profesional de apoyo jurídico Julián Darse Vázquez Gutiérrez de la Vicerrectoría d"&amp;"e Recursos para la realización de la segunda capacitación sobre:  Inhabilidades, incompatibilidadesy conflicto de intereses. Dicha capacitación se realizó el 09/07/2025, la cual fue dirigida a todos los profesionales de apoyo de la Vicerrectoria de Recurs"&amp;"os.
Avance sobre los controles:
1- Aplicación del artículo 8 del Acuerdo Superior 027 de 2020 y artículo 4 de la Resolución Rectoral N.° 0685 de 2021
*Se aplica lo dispuesto en las normas citadas mediante la utilización del formato FO-GBS-26 Lista de Che"&amp;"queo para la Contratación Directa, dentro del cual se solicita, entre otros documentos: El certificado vigente de la Procuraduría, que permite verificar antecedentes disciplinarios, penales, fiscales, contractuales y de pérdida de investidura, tanto para "&amp;"personas naturales como jurídicas.
*El Anexo N.° 3 – Declaración Juramentada de No Inhabilidades e Incompatibilidades, debidamente firmado por el proponente.
*Para las convocatorias privadas y públicas, en el Pliego de Condiciones, ítem 14.1 Documentos Ju"&amp;"rídicos, numeral J, se exige un oficio firmado bajo gravedad de juramento, donde el proponente manifieste no encontrarse incurso en causales de inhabilidad o incompatibilidad previstas legalmente.
Dichos documentos se revisan y validan antes de la aceptac"&amp;"ión de la propuesta y de la firma del contrato, garantizando la transparencia y legalidad del proceso.
2- Verificación del formato de inhabilidades e incompatibilidades
Todo proveedor debe anexar, previo a la firma de contrato, un oficio en el que declar"&amp;"a bajo juramento no estar incurso en inhabilidades e incompatibilidades. Este requisito constituye evidencia documental del cumplimiento normativo y se conserva en cada expediente contractual.
3- Solicitud de pólizas a los contratos que lo requieran
Conf"&amp;"orme al artículo 51 del Manual de Contratación (Resolución Rectoral 0685 de 2021, Título VI, Capítulo I), se solicita a los contratistas la constitución de las garantías exigidas en los contratos que así lo requieran. Estas pólizas permiten respaldar el c"&amp;"umplimiento contractual, mitigar riesgos económicos y proteger los intereses de la Universidad.
4- Participación de asesores externos legales en etapas críticas del proceso de contratación
Para la vigencia 2025, la Vicerrectoría de Recursos cuenta con do"&amp;"s asesores externos contratados cuya función es brindar acompañamiento especializado en materia jurídica y administrativa. Dichos asesores intervienen en las etapas críticas de los procesos de contratación, con el fin de orientar, asistir y salvaguardar l"&amp;"os intereses institucionales, tanto en el ámbito interno como externo. Se anexan los respectivos soportes contractuales.
5- Actualización de pólizas de manejo oficial
En fecha 26 de mayo de 2025, mediante el Contrato N.° 0615 de 2025, se contrataron las "&amp;"pólizas de seguros requeridas por la Universidad de los Llanos para proteger bienes muebles e inmuebles, personas, intereses patrimoniales, y demás riesgos legales o contractuales. Dentro de estas se encuentran las pólizas de manejo oficial, con vigencia "&amp;"hasta el 31 de diciembre de 2025, lo que garantiza la cobertura y protección institucional frente a eventuales contingencias.
")</f>
        <v>Durante este segundo monitoreo NO se materializó el riesgo. 
Acciones de tratamiento del riesgo:
Para el cumplimiento de la acción del tratamiento del riesgo, se asigna al profesional de apoyo jurídico Julián Darse Vázquez Gutiérrez de la Vicerrectoría de Recursos para la realización de la segunda capacitación sobre:  Inhabilidades, incompatibilidadesy conflicto de intereses. Dicha capacitación se realizó el 09/07/2025, la cual fue dirigida a todos los profesionales de apoyo de la Vicerrectoria de Recursos.
Avance sobre los controles:
1- Aplicación del artículo 8 del Acuerdo Superior 027 de 2020 y artículo 4 de la Resolución Rectoral N.° 0685 de 2021
*Se aplica lo dispuesto en las normas citadas mediante la utilización del formato FO-GBS-26 Lista de Chequeo para la Contratación Directa, dentro del cual se solicita, entre otros documentos: El certificado vigente de la Procuraduría, que permite verificar antecedentes disciplinarios, penales, fiscales, contractuales y de pérdida de investidura, tanto para personas naturales como jurídicas.
*El Anexo N.° 3 – Declaración Juramentada de No Inhabilidades e Incompatibilidades, debidamente firmado por el proponente.
*Para las convocatorias privadas y públicas, en el Pliego de Condiciones, ítem 14.1 Documentos Jurídicos, numeral J, se exige un oficio firmado bajo gravedad de juramento, donde el proponente manifieste no encontrarse incurso en causales de inhabilidad o incompatibilidad previstas legalmente.
Dichos documentos se revisan y validan antes de la aceptación de la propuesta y de la firma del contrato, garantizando la transparencia y legalidad del proceso.
2- Verificación del formato de inhabilidades e incompatibilidades
Todo proveedor debe anexar, previo a la firma de contrato, un oficio en el que declara bajo juramento no estar incurso en inhabilidades e incompatibilidades. Este requisito constituye evidencia documental del cumplimiento normativo y se conserva en cada expediente contractual.
3- Solicitud de pólizas a los contratos que lo requieran
Conforme al artículo 51 del Manual de Contratación (Resolución Rectoral 0685 de 2021, Título VI, Capítulo I), se solicita a los contratistas la constitución de las garantías exigidas en los contratos que así lo requieran. Estas pólizas permiten respaldar el cumplimiento contractual, mitigar riesgos económicos y proteger los intereses de la Universidad.
4- Participación de asesores externos legales en etapas críticas del proceso de contratación
Para la vigencia 2025, la Vicerrectoría de Recursos cuenta con dos asesores externos contratados cuya función es brindar acompañamiento especializado en materia jurídica y administrativa. Dichos asesores intervienen en las etapas críticas de los procesos de contratación, con el fin de orientar, asistir y salvaguardar los intereses institucionales, tanto en el ámbito interno como externo. Se anexan los respectivos soportes contractuales.
5- Actualización de pólizas de manejo oficial
En fecha 26 de mayo de 2025, mediante el Contrato N.° 0615 de 2025, se contrataron las pólizas de seguros requeridas por la Universidad de los Llanos para proteger bienes muebles e inmuebles, personas, intereses patrimoniales, y demás riesgos legales o contractuales. Dentro de estas se encuentran las pólizas de manejo oficial, con vigencia hasta el 31 de diciembre de 2025, lo que garantiza la cobertura y protección institucional frente a eventuales contingencias.
</v>
      </c>
      <c r="AC93" s="152" t="str">
        <f>IFERROR(__xludf.DUMMYFUNCTION("""COMPUTED_VALUE"""),"Wilson Fernando Salgado Cifuentes ")</f>
        <v>Wilson Fernando Salgado Cifuentes </v>
      </c>
      <c r="AD93" s="153" t="str">
        <f>IFERROR(__xludf.DUMMYFUNCTION("""COMPUTED_VALUE"""),"Evidencia")</f>
        <v>Evidencia</v>
      </c>
      <c r="AE93" s="150" t="str">
        <f>IFERROR(__xludf.DUMMYFUNCTION("""COMPUTED_VALUE"""),"Si")</f>
        <v>Si</v>
      </c>
      <c r="AF93" s="152" t="str">
        <f>IFERROR(__xludf.DUMMYFUNCTION("""COMPUTED_VALUE"""),"En proceso")</f>
        <v>En proceso</v>
      </c>
      <c r="AG93" s="32" t="str">
        <f>IFERROR(__xludf.DUMMYFUNCTION("""COMPUTED_VALUE"""),"Durante este monitoreo se reporta que no se materializó el riesgo.
Sobre los controles:
c1. Aplicación del artículo 8 del Acuerdo Superior 027 de 2020 y artículo 4 de la Resolución Rectoral N.° 0685 de 2021
Avance: Se verificó que la Vicerrectoría de Re"&amp;"cursos aplicó lo dispuesto en las normas citadas mediante el uso del formato FO-GBS-26 Lista de Chequeo para la Contratación Directa, en el cual se solicitó la documentación correspondiente (certificado de Procuraduría, declaración juramentada de no inhab"&amp;"ilidades e incompatibilidades y oficio bajo gravedad de juramento para convocatorias privadas y públicas). Dichos documentos fueron revisados y validados antes de la aceptación de las propuestas y la firma de contratos, garantizando legalidad y transparen"&amp;"cia en los procesos.
c2. Verificación del formato de inhabilidades e incompatibilidades
Avance: Se comprobó que todos los proveedores anexaron, previo a la firma de contrato, el oficio de declaración bajo juramento de no estar incursos en inhabilidades e"&amp;" incompatibilidades. Esta verificación se mantuvo como evidencia documental en cada expediente contractual.
c3. Solicitud de pólizas a los contratos que lo requirieron
Avance: Se verificó que, en los contratos que lo exigieron, se solicitó la constitució"&amp;"n de pólizas y garantías conforme al artículo 51 del Manual de Contratación. Estas medidas respaldaron el cumplimiento contractual y protegieron los intereses de la Universidad frente a posibles riesgos económicos y legales.
c4. Participación de asesores"&amp;" externos legales en etapas críticas del proceso de contratación
Avance: Se constató que la Vicerrectoría de Recursos contó en 2025 con dos asesores externos, quienes brindaron acompañamiento jurídico y administrativo en etapas críticas de los procesos de"&amp;" contratación. Su participación permitió reforzar la orientación y salvaguardar los intereses institucionales.
c5. Actualización de pólizas de manejo oficial
Avance: Se confirmó que mediante el Contrato N.° 0615 de 2025, celebrado el 26 de mayo, la Unive"&amp;"rsidad actualizó las pólizas de seguros, incluidas las de manejo oficial, con vigencia hasta el 31 de diciembre de 2025. Esto garantizó cobertura y protección institucional ante contingencias.
Sobre las acciones de tratamiento:
Se confirmó el cumplimient"&amp;"o de la acción de tratamiento definida, con la realización de la segunda capacitación dirigida al equipo de apoyo de la Vicerrectoría de Recursos sobre inhabilidades, incompatibilidades y conflicto de intereses. La jornada fue liderada por el profesional "&amp;"de apoyo jurídico el 9 de julio de 2025 y quedó soportada en acta de reunión, dando cumplimiento a la sensibilización semestral establecida.")</f>
        <v>Durante este monitoreo se reporta que no se materializó el riesgo.
Sobre los controles:
c1. Aplicación del artículo 8 del Acuerdo Superior 027 de 2020 y artículo 4 de la Resolución Rectoral N.° 0685 de 2021
Avance: Se verificó que la Vicerrectoría de Recursos aplicó lo dispuesto en las normas citadas mediante el uso del formato FO-GBS-26 Lista de Chequeo para la Contratación Directa, en el cual se solicitó la documentación correspondiente (certificado de Procuraduría, declaración juramentada de no inhabilidades e incompatibilidades y oficio bajo gravedad de juramento para convocatorias privadas y públicas). Dichos documentos fueron revisados y validados antes de la aceptación de las propuestas y la firma de contratos, garantizando legalidad y transparencia en los procesos.
c2. Verificación del formato de inhabilidades e incompatibilidades
Avance: Se comprobó que todos los proveedores anexaron, previo a la firma de contrato, el oficio de declaración bajo juramento de no estar incursos en inhabilidades e incompatibilidades. Esta verificación se mantuvo como evidencia documental en cada expediente contractual.
c3. Solicitud de pólizas a los contratos que lo requirieron
Avance: Se verificó que, en los contratos que lo exigieron, se solicitó la constitución de pólizas y garantías conforme al artículo 51 del Manual de Contratación. Estas medidas respaldaron el cumplimiento contractual y protegieron los intereses de la Universidad frente a posibles riesgos económicos y legales.
c4. Participación de asesores externos legales en etapas críticas del proceso de contratación
Avance: Se constató que la Vicerrectoría de Recursos contó en 2025 con dos asesores externos, quienes brindaron acompañamiento jurídico y administrativo en etapas críticas de los procesos de contratación. Su participación permitió reforzar la orientación y salvaguardar los intereses institucionales.
c5. Actualización de pólizas de manejo oficial
Avance: Se confirmó que mediante el Contrato N.° 0615 de 2025, celebrado el 26 de mayo, la Universidad actualizó las pólizas de seguros, incluidas las de manejo oficial, con vigencia hasta el 31 de diciembre de 2025. Esto garantizó cobertura y protección institucional ante contingencias.
Sobre las acciones de tratamiento:
Se confirmó el cumplimiento de la acción de tratamiento definida, con la realización de la segunda capacitación dirigida al equipo de apoyo de la Vicerrectoría de Recursos sobre inhabilidades, incompatibilidades y conflicto de intereses. La jornada fue liderada por el profesional de apoyo jurídico el 9 de julio de 2025 y quedó soportada en acta de reunión, dando cumplimiento a la sensibilización semestral establecida.</v>
      </c>
      <c r="AH93" s="150" t="str">
        <f>IFERROR(__xludf.DUMMYFUNCTION("""COMPUTED_VALUE"""),"31 de agosto")</f>
        <v>31 de agosto</v>
      </c>
      <c r="AI93" s="32" t="str">
        <f>IFERROR(__xludf.DUMMYFUNCTION("""COMPUTED_VALUE"""),"Si")</f>
        <v>Si</v>
      </c>
      <c r="AJ93" s="32" t="str">
        <f>IFERROR(__xludf.DUMMYFUNCTION("""COMPUTED_VALUE"""),"Si")</f>
        <v>Si</v>
      </c>
      <c r="AK93" s="32" t="str">
        <f>IFERROR(__xludf.DUMMYFUNCTION("""COMPUTED_VALUE"""),"Si")</f>
        <v>Si</v>
      </c>
      <c r="AL93" s="32" t="str">
        <f>IFERROR(__xludf.DUMMYFUNCTION("""COMPUTED_VALUE"""),"Si")</f>
        <v>Si</v>
      </c>
      <c r="AM93" s="32" t="str">
        <f>IFERROR(__xludf.DUMMYFUNCTION("""COMPUTED_VALUE"""),"Si")</f>
        <v>Si</v>
      </c>
      <c r="AN93" s="32" t="str">
        <f>IFERROR(__xludf.DUMMYFUNCTION("""COMPUTED_VALUE"""),"Si")</f>
        <v>Si</v>
      </c>
      <c r="AO93" s="32" t="str">
        <f>IFERROR(__xludf.DUMMYFUNCTION("""COMPUTED_VALUE"""),"Si")</f>
        <v>Si</v>
      </c>
      <c r="AP93" s="32" t="str">
        <f>IFERROR(__xludf.DUMMYFUNCTION("""COMPUTED_VALUE"""),"No aplica")</f>
        <v>No aplica</v>
      </c>
      <c r="AQ93" s="32" t="str">
        <f>IFERROR(__xludf.DUMMYFUNCTION("""COMPUTED_VALUE"""),"No aplica")</f>
        <v>No aplica</v>
      </c>
      <c r="AR93" s="32" t="str">
        <f>IFERROR(__xludf.DUMMYFUNCTION("""COMPUTED_VALUE"""),"No aplica")</f>
        <v>No aplica</v>
      </c>
      <c r="AS93" s="150" t="str">
        <f>IFERROR(__xludf.DUMMYFUNCTION("""COMPUTED_VALUE"""),"Se reiteran las recomendaciones generadas en la evaluación del primer cuatrimestre:
*Fortalecer la descripción del riesgo, considerando la metodología de la Guía para la Administración del Riesgo y el diseño de controles en entidades públicas Versión 6, q"&amp;"ue propone los elementos para la descripción del riesgo, como son: 
Impacto: las consecuencias que puede ocasionar a la organización la materialización del riesgo.
Causa inmediata: circunstancias o situaciones más evidentes sobre las cuales se presenta el"&amp;" riesgo, las mismas no constituyen la causa principal o base para que se presente el riesgo.
Causa raíz: es la causa principal o básica, corresponden a las razones por la cuales se puede presentar el riesgo, son la base para la definición de controles en "&amp;"la etapa de valoración del riesgo. Se debe tener en cuenta que para un mismo riesgo pueden existir más de una causa o subcausas que pueden ser analizadas.
*Fortalecer la descripción de los controles conforme a la metodología propuesta en la Guía para la "&amp;"Administración del Riesgo y el diseño de controles en entidades públicas Versión 6, que propone los elementos que debe contemplar el diseño del control, como son: 
Responsable de ejecutar el control: identifica el cargo del servidor que ejecuta el control"&amp;", en caso de que sean controles automáticos se identificará el sistema que realiza la actividad. 
Acción: se determina mediante verbos que indican la acción que deben realizar como parte del control. 
Complemento: corresponde a los detalles que permiten i"&amp;"dentificar claramente el objeto del control.
")</f>
        <v>Se reiteran las recomendaciones generadas en la evaluación del primer cuatrimestre:
*Fortalecer la descripción del riesgo, considerando la metodología de la Guía para la Administración del Riesgo y el diseño de controles en entidades públicas Versión 6, que propone los elementos para la descripción del riesgo, como son: 
Impacto: las consecuencias que puede ocasionar a la organización la materialización del riesgo.
Causa inmediata: circunstancias o situaciones más evidentes sobre las cuales se presenta el riesgo, las mismas no constituyen la causa principal o base para que se presente el riesgo.
Causa raíz: es la causa principal o básica, corresponden a las razones por la cuales se puede presentar el riesgo, son la base para la definición de controles en la etapa de valoración del riesgo. Se debe tener en cuenta que para un mismo riesgo pueden existir más de una causa o subcausas que pueden ser analizadas.
*Fortalecer la descripción de los controles conforme a la metodología propuesta en la Guía para la Administración del Riesgo y el diseño de controles en entidades públicas Versión 6, que propone los elementos que debe contemplar el diseño del control, como son: 
Responsable de ejecutar el control: identifica el cargo del servidor que ejecuta el control, en caso de que sean controles automáticos se identificará el sistema que realiza la actividad. 
Acción: se determina mediante verbos que indican la acción que deben realizar como parte del control. 
Complemento: corresponde a los detalles que permiten identificar claramente el objeto del control.
</v>
      </c>
      <c r="AT93" s="139"/>
    </row>
    <row r="94">
      <c r="A94" s="86"/>
      <c r="B94" s="73"/>
      <c r="C94" s="73"/>
      <c r="D94" s="119"/>
      <c r="E94" s="119"/>
      <c r="F94" s="119"/>
      <c r="G94" s="119"/>
      <c r="H94" s="119"/>
      <c r="I94" s="119"/>
      <c r="J94" s="119"/>
      <c r="K94" s="119"/>
      <c r="L94" s="119"/>
      <c r="M94" s="119"/>
      <c r="N94" s="119"/>
      <c r="O94" s="119"/>
      <c r="P94" s="119"/>
      <c r="Q94" s="162"/>
      <c r="R94" s="163" t="str">
        <f>IFERROR(__xludf.DUMMYFUNCTION("""COMPUTED_VALUE"""),"")</f>
        <v/>
      </c>
      <c r="S94" s="164" t="str">
        <f>IFERROR(__xludf.DUMMYFUNCTION("""COMPUTED_VALUE"""),"")</f>
        <v/>
      </c>
      <c r="T94" s="176"/>
      <c r="U94" s="176"/>
      <c r="V94" s="98"/>
      <c r="W94" s="98"/>
      <c r="X94" s="98"/>
      <c r="Y94" s="98"/>
      <c r="Z94" s="150" t="str">
        <f>IFERROR(__xludf.DUMMYFUNCTION("""COMPUTED_VALUE"""),"30 de diciembre")</f>
        <v>30 de diciembre</v>
      </c>
      <c r="AA94" s="179">
        <f>IFERROR(__xludf.DUMMYFUNCTION("""COMPUTED_VALUE"""),45993.0)</f>
        <v>45993</v>
      </c>
      <c r="AB94" s="150" t="str">
        <f>IFERROR(__xludf.DUMMYFUNCTION("""COMPUTED_VALUE"""),"Durante este tercer monitoreo NO se materializó el riesgo. 
Avance sobre los controles:
C1- Aplicación del artículo 8 del Acuerdo Superior 027 de 2020 y artículo 4 de la Resolución Rectoral N.° 0685 de 2021
* Se realiza capacitacion el dia 02 de diciemb"&amp;"re de 2025 al equipo de VRU sobre inhabilidades, incompatibilidades y conflicto de intereses, dando cumplimiento a la accion programada
*Se aplica lo dispuesto en las normas citadas mediante la utilización del formato FO-GBS-26 Lista de Chequeo para la Co"&amp;"ntratación Directa, dentro del cual se solicita, entre otros documentos: El certificado vigente de la Procuraduría, que permite verificar antecedentes disciplinarios, penales, fiscales, contractuales y de pérdida de investidura, tanto para personas natura"&amp;"les como jurídicas.
*El Anexo N.° 3 – Declaración Juramentada de No Inhabilidades e Incompatibilidades, debidamente firmado por el proponente.
*Para las convocatorias privadas y públicas, en el Pliego de Condiciones, ítem 14.1 Documentos Jurídicos, numera"&amp;"l J, se exige un oficio firmado bajo gravedad de juramento, donde el proponente manifieste no encontrarse incurso en causales de inhabilidad o incompatibilidad previstas legalmente.
Dichos documentos se revisan y validan antes de la aceptación de la propu"&amp;"esta y de la firma del contrato, garantizando la transparencia y legalidad del proceso.
C2- Verificación del formato de inhabilidades e incompatibilidades
Todo proveedor debe anexar, previo a la firma de contrato, un oficio en el que declara bajo juramen"&amp;"to no estar incurso en inhabilidades e incompatibilidades. Este requisito constituye evidencia documental del cumplimiento normativo y se conserva en cada expediente contractual. Por lo cual se verifica en cada proceso conforme a la modalidad de contratac"&amp;"ion,  la utilización del formato FO-GBS-26 Lista de Chequeo para la Contratación Directa, El Anexo N.° 3 – Declaración Juramentada de No Inhabilidades e Incompatibilidades, debidamente firmado por el proponente, y en caso q sea para las convocatorias priv"&amp;"adas y públicas, en el Pliego de Condiciones, ítem 14.1 Documentos Jurídicos, numeral J, se exige un oficio firmado bajo gravedad de juramento, donde el proponente manifieste no encontrarse incurso en causales de inhabilidad o incompatibilidad previstas l"&amp;"egalmente.
C3- Solicitud de pólizas a los contratos que lo requieran
Conforme al artículo 51 del Manual de Contratación (Resolución Rectoral 0685 de 2021, Título VI, Capítulo I), se solicita a los contratistas la constitución de las garantías exigidas en"&amp;" los contratos que así lo requieran. Estas pólizas permiten respaldar el cumplimiento contractual, mitigar riesgos económicos y proteger los intereses de la Universidad.
C4- Participación de asesores externos legales en etapas críticas del proceso de con"&amp;"tratación
Para la vigencia 2025, la Vicerrectoría de Recursos cuenta con dos asesores externos contratados cuya función es brindar acompañamiento especializado en materia jurídica y administrativa. Dichos asesores intervienen en las etapas críticas de los"&amp;" procesos de contratación, con el fin de orientar, asistir y salvaguardar los intereses institucionales, tanto en el ámbito interno como externo. Se anexan los respectivos soportes contractuales.
C5- Actualización de pólizas de manejo oficial
En fecha 26"&amp;" de mayo de 2025, mediante el Contrato N.° 0615 de 2025, se contrataron las pólizas de seguros requeridas por la Universidad de los Llanos para proteger bienes muebles e inmuebles, personas, intereses patrimoniales, y demás riesgos legales o contractuales"&amp;". Dentro de estas se encuentran las pólizas de manejo oficial, con vigencia hasta el 27 de mayo de 2026, lo que garantiza la cobertura y protección institucional frente a eventuales contingencias.")</f>
        <v>Durante este tercer monitoreo NO se materializó el riesgo. 
Avance sobre los controles:
C1- Aplicación del artículo 8 del Acuerdo Superior 027 de 2020 y artículo 4 de la Resolución Rectoral N.° 0685 de 2021
* Se realiza capacitacion el dia 02 de diciembre de 2025 al equipo de VRU sobre inhabilidades, incompatibilidades y conflicto de intereses, dando cumplimiento a la accion programada
*Se aplica lo dispuesto en las normas citadas mediante la utilización del formato FO-GBS-26 Lista de Chequeo para la Contratación Directa, dentro del cual se solicita, entre otros documentos: El certificado vigente de la Procuraduría, que permite verificar antecedentes disciplinarios, penales, fiscales, contractuales y de pérdida de investidura, tanto para personas naturales como jurídicas.
*El Anexo N.° 3 – Declaración Juramentada de No Inhabilidades e Incompatibilidades, debidamente firmado por el proponente.
*Para las convocatorias privadas y públicas, en el Pliego de Condiciones, ítem 14.1 Documentos Jurídicos, numeral J, se exige un oficio firmado bajo gravedad de juramento, donde el proponente manifieste no encontrarse incurso en causales de inhabilidad o incompatibilidad previstas legalmente.
Dichos documentos se revisan y validan antes de la aceptación de la propuesta y de la firma del contrato, garantizando la transparencia y legalidad del proceso.
C2- Verificación del formato de inhabilidades e incompatibilidades
Todo proveedor debe anexar, previo a la firma de contrato, un oficio en el que declara bajo juramento no estar incurso en inhabilidades e incompatibilidades. Este requisito constituye evidencia documental del cumplimiento normativo y se conserva en cada expediente contractual. Por lo cual se verifica en cada proceso conforme a la modalidad de contratacion,  la utilización del formato FO-GBS-26 Lista de Chequeo para la Contratación Directa, El Anexo N.° 3 – Declaración Juramentada de No Inhabilidades e Incompatibilidades, debidamente firmado por el proponente, y en caso q sea para las convocatorias privadas y públicas, en el Pliego de Condiciones, ítem 14.1 Documentos Jurídicos, numeral J, se exige un oficio firmado bajo gravedad de juramento, donde el proponente manifieste no encontrarse incurso en causales de inhabilidad o incompatibilidad previstas legalmente.
C3- Solicitud de pólizas a los contratos que lo requieran
Conforme al artículo 51 del Manual de Contratación (Resolución Rectoral 0685 de 2021, Título VI, Capítulo I), se solicita a los contratistas la constitución de las garantías exigidas en los contratos que así lo requieran. Estas pólizas permiten respaldar el cumplimiento contractual, mitigar riesgos económicos y proteger los intereses de la Universidad.
C4- Participación de asesores externos legales en etapas críticas del proceso de contratación
Para la vigencia 2025, la Vicerrectoría de Recursos cuenta con dos asesores externos contratados cuya función es brindar acompañamiento especializado en materia jurídica y administrativa. Dichos asesores intervienen en las etapas críticas de los procesos de contratación, con el fin de orientar, asistir y salvaguardar los intereses institucionales, tanto en el ámbito interno como externo. Se anexan los respectivos soportes contractuales.
C5- Actualización de pólizas de manejo oficial
En fecha 26 de mayo de 2025, mediante el Contrato N.° 0615 de 2025, se contrataron las pólizas de seguros requeridas por la Universidad de los Llanos para proteger bienes muebles e inmuebles, personas, intereses patrimoniales, y demás riesgos legales o contractuales. Dentro de estas se encuentran las pólizas de manejo oficial, con vigencia hasta el 27 de mayo de 2026, lo que garantiza la cobertura y protección institucional frente a eventuales contingencias.</v>
      </c>
      <c r="AC94" s="152" t="str">
        <f>IFERROR(__xludf.DUMMYFUNCTION("""COMPUTED_VALUE"""),"Wilson Fernando Salgado Cifuentes ")</f>
        <v>Wilson Fernando Salgado Cifuentes </v>
      </c>
      <c r="AD94" s="153" t="str">
        <f>IFERROR(__xludf.DUMMYFUNCTION("""COMPUTED_VALUE"""),"Evidencia")</f>
        <v>Evidencia</v>
      </c>
      <c r="AE94" s="150" t="str">
        <f>IFERROR(__xludf.DUMMYFUNCTION("""COMPUTED_VALUE"""),"Si")</f>
        <v>Si</v>
      </c>
      <c r="AF94" s="152" t="str">
        <f>IFERROR(__xludf.DUMMYFUNCTION("""COMPUTED_VALUE"""),"Ejecutada")</f>
        <v>Ejecutada</v>
      </c>
      <c r="AG94" s="32" t="str">
        <f>IFERROR(__xludf.DUMMYFUNCTION("""COMPUTED_VALUE"""),"-Durante el presente monitoreo NO se materializó el riesgo. Se confirma que todos los controles fueron ejecutados y que la evidencia correspondiente fue cargada de manera completa y válida:
C1. Aplicación normativa (Acuerdo 027 de 2020 y Resolución 0685 "&amp;"de 2021)
capacitación realizada, formato FO-GBS-26 diligenciado y declaraciones juramentadas revisadas.
C2. Verificación de inhabilidades e incompatibilidades
declaraciones bajo juramento y documentos jurídicos exigidos según modalidad de contratación.
"&amp;"C3. Solicitud de pólizas
pólizas constituidas y verificadas conforme al artículo 51 del Manual de Contratación.
C4. Acompañamiento de asesores externos
soportes contractuales de los asesores jurídicos que participan en las etapas críticas del proceso.
C"&amp;"5. Actualización de pólizas institucionales
pólizas del Contrato 0615 de 2025, vigentes hasta mayo de 2026.                                                                                                             -Se resalta el cumplimiento oportuno de"&amp;" todos los controles y la disponibilidad completa de la evidencia requerida. Se recomienda mantener esta organización documental y la actualización periódica de los soportes, dado que fortalece la transparencia y la gestión adecuada del riesgo")</f>
        <v>-Durante el presente monitoreo NO se materializó el riesgo. Se confirma que todos los controles fueron ejecutados y que la evidencia correspondiente fue cargada de manera completa y válida:
C1. Aplicación normativa (Acuerdo 027 de 2020 y Resolución 0685 de 2021)
capacitación realizada, formato FO-GBS-26 diligenciado y declaraciones juramentadas revisadas.
C2. Verificación de inhabilidades e incompatibilidades
declaraciones bajo juramento y documentos jurídicos exigidos según modalidad de contratación.
C3. Solicitud de pólizas
pólizas constituidas y verificadas conforme al artículo 51 del Manual de Contratación.
C4. Acompañamiento de asesores externos
soportes contractuales de los asesores jurídicos que participan en las etapas críticas del proceso.
C5. Actualización de pólizas institucionales
pólizas del Contrato 0615 de 2025, vigentes hasta mayo de 2026.                                                                                                             -Se resalta el cumplimiento oportuno de todos los controles y la disponibilidad completa de la evidencia requerida. Se recomienda mantener esta organización documental y la actualización periódica de los soportes, dado que fortalece la transparencia y la gestión adecuada del riesgo</v>
      </c>
      <c r="AH94" s="150" t="str">
        <f>IFERROR(__xludf.DUMMYFUNCTION("""COMPUTED_VALUE"""),"31 de diciembre")</f>
        <v>31 de diciembre</v>
      </c>
      <c r="AI94" s="32" t="str">
        <f>IFERROR(__xludf.DUMMYFUNCTION("""COMPUTED_VALUE"""),"Si")</f>
        <v>Si</v>
      </c>
      <c r="AJ94" s="32" t="str">
        <f>IFERROR(__xludf.DUMMYFUNCTION("""COMPUTED_VALUE"""),"Si")</f>
        <v>Si</v>
      </c>
      <c r="AK94" s="32" t="str">
        <f>IFERROR(__xludf.DUMMYFUNCTION("""COMPUTED_VALUE"""),"Si")</f>
        <v>Si</v>
      </c>
      <c r="AL94" s="32" t="str">
        <f>IFERROR(__xludf.DUMMYFUNCTION("""COMPUTED_VALUE"""),"Si")</f>
        <v>Si</v>
      </c>
      <c r="AM94" s="32" t="str">
        <f>IFERROR(__xludf.DUMMYFUNCTION("""COMPUTED_VALUE"""),"Si")</f>
        <v>Si</v>
      </c>
      <c r="AN94" s="32" t="str">
        <f>IFERROR(__xludf.DUMMYFUNCTION("""COMPUTED_VALUE"""),"Si")</f>
        <v>Si</v>
      </c>
      <c r="AO94" s="32" t="str">
        <f>IFERROR(__xludf.DUMMYFUNCTION("""COMPUTED_VALUE"""),"Si")</f>
        <v>Si</v>
      </c>
      <c r="AP94" s="32" t="str">
        <f>IFERROR(__xludf.DUMMYFUNCTION("""COMPUTED_VALUE"""),"No aplica")</f>
        <v>No aplica</v>
      </c>
      <c r="AQ94" s="32" t="str">
        <f>IFERROR(__xludf.DUMMYFUNCTION("""COMPUTED_VALUE"""),"No aplica")</f>
        <v>No aplica</v>
      </c>
      <c r="AR94" s="32" t="str">
        <f>IFERROR(__xludf.DUMMYFUNCTION("""COMPUTED_VALUE"""),"No aplica")</f>
        <v>No aplica</v>
      </c>
      <c r="AS94" s="150" t="str">
        <f>IFERROR(__xludf.DUMMYFUNCTION("""COMPUTED_VALUE"""),"Se reiteran las recomendaciones generadas en la evaluación del primer y segundo cuatrimestre:
*Fortalecer la descripción del riesgo, considerando la metodología de la Guía para la Administración del Riesgo y el diseño de controles en entidades públicas Ve"&amp;"rsión 6, que propone los elementos para la descripción del riesgo, como son: 
Impacto: las consecuencias que puede ocasionar a la organización la materialización del riesgo.
Causa inmediata: circunstancias o situaciones más evidentes sobre las cuales se p"&amp;"resenta el riesgo, las mismas no constituyen la causa principal o base para que se presente el riesgo.
Causa raíz: es la causa principal o básica, corresponden a las razones por la cuales se puede presentar el riesgo, son la base para la definición de con"&amp;"troles en la etapa de valoración del riesgo. Se debe tener en cuenta que para un mismo riesgo pueden existir más de una causa o subcausas que pueden ser analizadas.
*Fortalecer la descripción de los controles conforme a la metodología propuesta en la Guí"&amp;"a para la Administración del Riesgo y el diseño de controles en entidades públicas Versión 6, que propone los elementos que debe contemplar el diseño del control, como son: 
Responsable de ejecutar el control: identifica el cargo del servidor que ejecuta "&amp;"el control, en caso de que sean controles automáticos se identificará el sistema que realiza la actividad. 
Acción: se determina mediante verbos que indican la acción que deben realizar como parte del control. 
Complemento: corresponde a los detalles que "&amp;"permiten identificar claramente el objeto del control.
")</f>
        <v>Se reiteran las recomendaciones generadas en la evaluación del primer y segundo cuatrimestre:
*Fortalecer la descripción del riesgo, considerando la metodología de la Guía para la Administración del Riesgo y el diseño de controles en entidades públicas Versión 6, que propone los elementos para la descripción del riesgo, como son: 
Impacto: las consecuencias que puede ocasionar a la organización la materialización del riesgo.
Causa inmediata: circunstancias o situaciones más evidentes sobre las cuales se presenta el riesgo, las mismas no constituyen la causa principal o base para que se presente el riesgo.
Causa raíz: es la causa principal o básica, corresponden a las razones por la cuales se puede presentar el riesgo, son la base para la definición de controles en la etapa de valoración del riesgo. Se debe tener en cuenta que para un mismo riesgo pueden existir más de una causa o subcausas que pueden ser analizadas.
*Fortalecer la descripción de los controles conforme a la metodología propuesta en la Guía para la Administración del Riesgo y el diseño de controles en entidades públicas Versión 6, que propone los elementos que debe contemplar el diseño del control, como son: 
Responsable de ejecutar el control: identifica el cargo del servidor que ejecuta el control, en caso de que sean controles automáticos se identificará el sistema que realiza la actividad. 
Acción: se determina mediante verbos que indican la acción que deben realizar como parte del control. 
Complemento: corresponde a los detalles que permiten identificar claramente el objeto del control.
</v>
      </c>
      <c r="AT94" s="139"/>
    </row>
    <row r="95">
      <c r="A95" s="86"/>
      <c r="B95" s="73"/>
      <c r="C95" s="73"/>
      <c r="D95" s="144" t="str">
        <f>IFERROR(__xludf.DUMMYFUNCTION("""COMPUTED_VALUE"""),"Afectación económica por hurto de bienes o elementos de la comunidad Universitaria")</f>
        <v>Afectación económica por hurto de bienes o elementos de la comunidad Universitaria</v>
      </c>
      <c r="E95" s="144" t="str">
        <f>IFERROR(__xludf.DUMMYFUNCTION("""COMPUTED_VALUE"""),"Servicios generales")</f>
        <v>Servicios generales</v>
      </c>
      <c r="F95" s="144" t="str">
        <f>IFERROR(__xludf.DUMMYFUNCTION("""COMPUTED_VALUE"""),"Gestión")</f>
        <v>Gestión</v>
      </c>
      <c r="G95" s="144" t="str">
        <f>IFERROR(__xludf.DUMMYFUNCTION("""COMPUTED_VALUE"""),"- Falta de infraestructura que encirre los linderos de la Universidad
- Equipos modernos para el control del ingreso y salida por puertas en las sedes de Barcelona y Boquemonte")</f>
        <v>- Falta de infraestructura que encirre los linderos de la Universidad
- Equipos modernos para el control del ingreso y salida por puertas en las sedes de Barcelona y Boquemonte</v>
      </c>
      <c r="H95" s="144" t="str">
        <f>IFERROR(__xludf.DUMMYFUNCTION("""COMPUTED_VALUE"""),"- Afectación economica a la institución
- Sanciones disciplinarias
")</f>
        <v>- Afectación economica a la institución
- Sanciones disciplinarias
</v>
      </c>
      <c r="I95" s="145" t="str">
        <f>IFERROR(__xludf.DUMMYFUNCTION("""COMPUTED_VALUE"""),"GBS_03")</f>
        <v>GBS_03</v>
      </c>
      <c r="J95" s="145" t="str">
        <f>IFERROR(__xludf.DUMMYFUNCTION("""COMPUTED_VALUE"""),"Alta")</f>
        <v>Alta</v>
      </c>
      <c r="K95" s="145" t="str">
        <f>IFERROR(__xludf.DUMMYFUNCTION("""COMPUTED_VALUE"""),"Moderado")</f>
        <v>Moderado</v>
      </c>
      <c r="L95" s="145" t="str">
        <f>IFERROR(__xludf.DUMMYFUNCTION("""COMPUTED_VALUE"""),"Alta")</f>
        <v>Alta</v>
      </c>
      <c r="M95" s="144" t="str">
        <f>IFERROR(__xludf.DUMMYFUNCTION("""COMPUTED_VALUE"""),"Control del formato de salida de elementos
vigilancia externa de la Institución
Control mediante cámaras de seguridad
Reuniones trimestrales con la empresa de vigilancia para escuchar novedades que se puedan presentar en cuanto a las responsabilidades de "&amp;"los diferentes miembros de la institución
Grupos de WharsApp, en las puertas de acceso de la Universidad ")</f>
        <v>Control del formato de salida de elementos
vigilancia externa de la Institución
Control mediante cámaras de seguridad
Reuniones trimestrales con la empresa de vigilancia para escuchar novedades que se puedan presentar en cuanto a las responsabilidades de los diferentes miembros de la institución
Grupos de WharsApp, en las puertas de acceso de la Universidad </v>
      </c>
      <c r="N95" s="145" t="str">
        <f>IFERROR(__xludf.DUMMYFUNCTION("""COMPUTED_VALUE"""),"Muy baja")</f>
        <v>Muy baja</v>
      </c>
      <c r="O95" s="145" t="str">
        <f>IFERROR(__xludf.DUMMYFUNCTION("""COMPUTED_VALUE"""),"Moderado")</f>
        <v>Moderado</v>
      </c>
      <c r="P95" s="145" t="str">
        <f>IFERROR(__xludf.DUMMYFUNCTION("""COMPUTED_VALUE"""),"Media")</f>
        <v>Media</v>
      </c>
      <c r="Q95" s="178" t="str">
        <f>IFERROR(__xludf.DUMMYFUNCTION("""COMPUTED_VALUE"""),"Evitar")</f>
        <v>Evitar</v>
      </c>
      <c r="R95" s="158" t="str">
        <f>IFERROR(__xludf.DUMMYFUNCTION("""COMPUTED_VALUE"""),"Adquirir póliza todo riesgo daños materiales")</f>
        <v>Adquirir póliza todo riesgo daños materiales</v>
      </c>
      <c r="S95" s="159" t="str">
        <f>IFERROR(__xludf.DUMMYFUNCTION("""COMPUTED_VALUE"""),"Anualmente")</f>
        <v>Anualmente</v>
      </c>
      <c r="T95" s="170" t="str">
        <f>IFERROR(__xludf.DUMMYFUNCTION("""COMPUTED_VALUE"""),"Vicecerrectoria de Recursos Universitarios")</f>
        <v>Vicecerrectoria de Recursos Universitarios</v>
      </c>
      <c r="U95" s="170" t="str">
        <f>IFERROR(__xludf.DUMMYFUNCTION("""COMPUTED_VALUE"""),"Póliza")</f>
        <v>Póliza</v>
      </c>
      <c r="V95" s="167" t="str">
        <f>IFERROR(__xludf.DUMMYFUNCTION("""COMPUTED_VALUE"""),"-Inspección Física
-General informe inmediatamente siguiendo el protocolo que se encuentra establecido en el contrato con la empresa de vigilancia privada")</f>
        <v>-Inspección Física
-General informe inmediatamente siguiendo el protocolo que se encuentra establecido en el contrato con la empresa de vigilancia privada</v>
      </c>
      <c r="W95" s="167" t="str">
        <f>IFERROR(__xludf.DUMMYFUNCTION("""COMPUTED_VALUE"""),"- Fotos 
- Informe 
- Reporte ante las autoridades competentes")</f>
        <v>- Fotos 
- Informe 
- Reporte ante las autoridades competentes</v>
      </c>
      <c r="X95" s="169" t="str">
        <f>IFERROR(__xludf.DUMMYFUNCTION("""COMPUTED_VALUE"""),"Técnico Administrativo")</f>
        <v>Técnico Administrativo</v>
      </c>
      <c r="Y95" s="169" t="str">
        <f>IFERROR(__xludf.DUMMYFUNCTION("""COMPUTED_VALUE"""),"De forma inmediata y máximo 2 días dependiendo del hecho ocurrido")</f>
        <v>De forma inmediata y máximo 2 días dependiendo del hecho ocurrido</v>
      </c>
      <c r="Z95" s="150" t="str">
        <f>IFERROR(__xludf.DUMMYFUNCTION("""COMPUTED_VALUE"""),"30 de abril")</f>
        <v>30 de abril</v>
      </c>
      <c r="AA95" s="151">
        <f>IFERROR(__xludf.DUMMYFUNCTION("""COMPUTED_VALUE"""),45777.0)</f>
        <v>45777</v>
      </c>
      <c r="AB95" s="150" t="str">
        <f>IFERROR(__xludf.DUMMYFUNCTION("""COMPUTED_VALUE"""),"Durante este primer monitoreo NO se materializó el riesgo. 
Acciones de tratamiento del riesgo:
La Universidad de los Llanos realiza la compra de la póliza de daños materiales combinados con N°1001496 a la aseguradora LA PREVISORA S.A.COMPAÑIA DE SEGUROS"&amp;". Dicha póliza tiene una vigencia del 27/05/2024 hasta el 27/05/2025.
Avance sobre los controles:
1. Desde los puntos de control de vigilancia de la Universidad de los Llanos, se tiene implementado el formato FO-GBS-61 AUTORIZACION DE SALIDA DE ELEMENTOS"&amp;" O BIENES DE LA UNIVERSIDAD, con el fin de registrar la salida de elementos como equipos, computadores etc.
2. Para la vigencia 2025 la Universidad de los Llanos cuenta con el servicio de vigilancia externa, mediante el contrato N°0535 de 2025 suscrito el"&amp;" 01/04/2025 hasta el 30/11/2025
3. La Universidad de los Llanos compró en la vigencia 2022 camaras de vigilancia para fortalecer el control y seguridad de las diferentes sedes, con el contrato N° 0733 de 2022.
4. Se realiza reunion trimestral con la empre"&amp;"sa de vigilancia para escuchar novedades que se pueden presentar en cuanto a las responsabilidades de los diferentes miembros de la institución.
5. Desde la supervision del contrato de vigilancia, se ha establecido un grupo de WhatsApp que incluye al pers"&amp;"onal técnico-administrativo de Servicios Generales y la empresa de vigilancia, con el objetivo de mejorar la comunicación, coordinación, control y seguridad entre ambas partes.")</f>
        <v>Durante este primer monitoreo NO se materializó el riesgo. 
Acciones de tratamiento del riesgo:
La Universidad de los Llanos realiza la compra de la póliza de daños materiales combinados con N°1001496 a la aseguradora LA PREVISORA S.A.COMPAÑIA DE SEGUROS. Dicha póliza tiene una vigencia del 27/05/2024 hasta el 27/05/2025.
Avance sobre los controles:
1. Desde los puntos de control de vigilancia de la Universidad de los Llanos, se tiene implementado el formato FO-GBS-61 AUTORIZACION DE SALIDA DE ELEMENTOS O BIENES DE LA UNIVERSIDAD, con el fin de registrar la salida de elementos como equipos, computadores etc.
2. Para la vigencia 2025 la Universidad de los Llanos cuenta con el servicio de vigilancia externa, mediante el contrato N°0535 de 2025 suscrito el 01/04/2025 hasta el 30/11/2025
3. La Universidad de los Llanos compró en la vigencia 2022 camaras de vigilancia para fortalecer el control y seguridad de las diferentes sedes, con el contrato N° 0733 de 2022.
4. Se realiza reunion trimestral con la empresa de vigilancia para escuchar novedades que se pueden presentar en cuanto a las responsabilidades de los diferentes miembros de la institución.
5. Desde la supervision del contrato de vigilancia, se ha establecido un grupo de WhatsApp que incluye al personal técnico-administrativo de Servicios Generales y la empresa de vigilancia, con el objetivo de mejorar la comunicación, coordinación, control y seguridad entre ambas partes.</v>
      </c>
      <c r="AC95" s="152" t="str">
        <f>IFERROR(__xludf.DUMMYFUNCTION("""COMPUTED_VALUE"""),"Wilson Fernando Salgado Cifuentes ")</f>
        <v>Wilson Fernando Salgado Cifuentes </v>
      </c>
      <c r="AD95" s="153" t="str">
        <f>IFERROR(__xludf.DUMMYFUNCTION("""COMPUTED_VALUE"""),"Evidencia")</f>
        <v>Evidencia</v>
      </c>
      <c r="AE95" s="150" t="str">
        <f>IFERROR(__xludf.DUMMYFUNCTION("""COMPUTED_VALUE"""),"Si")</f>
        <v>Si</v>
      </c>
      <c r="AF95" s="150" t="str">
        <f>IFERROR(__xludf.DUMMYFUNCTION("""COMPUTED_VALUE"""),"En proceso")</f>
        <v>En proceso</v>
      </c>
      <c r="AG95" s="32" t="str">
        <f>IFERROR(__xludf.DUMMYFUNCTION("""COMPUTED_VALUE"""),"Durante el primer monitoreo no se materializó el riesgo.
Se evidencia el cumplimiento de la acción de tratamiento establecida, mediante la adquisición de la póliza de daños materiales combinados con vigencia entre el 27/05/2024 y el 27/05/2025, gestionada"&amp;" por la Vicerrectoría de Recursos Universitarios.
En cuanto a los controles, se reporta un avance significativo: implementación del formato de autorización de salida de bienes, contratación vigente del servicio de vigilancia externa, instalación de cámara"&amp;"s de seguridad en sedes universitarias, realización de reuniones trimestrales con la empresa de vigilancia y uso de grupos de comunicación en tiempo real (WhatsApp) para facilitar la coordinación y respuesta ante eventos.
Los controles coinciden con los d"&amp;"efinidos en el plan de tratamiento del riesgo, lo que permite concluir que la gestión está siendo adecuada en esta etapa.")</f>
        <v>Durante el primer monitoreo no se materializó el riesgo.
Se evidencia el cumplimiento de la acción de tratamiento establecida, mediante la adquisición de la póliza de daños materiales combinados con vigencia entre el 27/05/2024 y el 27/05/2025, gestionada por la Vicerrectoría de Recursos Universitarios.
En cuanto a los controles, se reporta un avance significativo: implementación del formato de autorización de salida de bienes, contratación vigente del servicio de vigilancia externa, instalación de cámaras de seguridad en sedes universitarias, realización de reuniones trimestrales con la empresa de vigilancia y uso de grupos de comunicación en tiempo real (WhatsApp) para facilitar la coordinación y respuesta ante eventos.
Los controles coinciden con los definidos en el plan de tratamiento del riesgo, lo que permite concluir que la gestión está siendo adecuada en esta etapa.</v>
      </c>
      <c r="AH95" s="150" t="str">
        <f>IFERROR(__xludf.DUMMYFUNCTION("""COMPUTED_VALUE"""),"30 de abril")</f>
        <v>30 de abril</v>
      </c>
      <c r="AI95" s="32" t="str">
        <f>IFERROR(__xludf.DUMMYFUNCTION("""COMPUTED_VALUE"""),"Si")</f>
        <v>Si</v>
      </c>
      <c r="AJ95" s="32" t="str">
        <f>IFERROR(__xludf.DUMMYFUNCTION("""COMPUTED_VALUE"""),"Si")</f>
        <v>Si</v>
      </c>
      <c r="AK95" s="32" t="str">
        <f>IFERROR(__xludf.DUMMYFUNCTION("""COMPUTED_VALUE"""),"Si")</f>
        <v>Si</v>
      </c>
      <c r="AL95" s="32" t="str">
        <f>IFERROR(__xludf.DUMMYFUNCTION("""COMPUTED_VALUE"""),"Si")</f>
        <v>Si</v>
      </c>
      <c r="AM95" s="32" t="str">
        <f>IFERROR(__xludf.DUMMYFUNCTION("""COMPUTED_VALUE"""),"Si")</f>
        <v>Si</v>
      </c>
      <c r="AN95" s="32" t="str">
        <f>IFERROR(__xludf.DUMMYFUNCTION("""COMPUTED_VALUE"""),"Si")</f>
        <v>Si</v>
      </c>
      <c r="AO95" s="32" t="str">
        <f>IFERROR(__xludf.DUMMYFUNCTION("""COMPUTED_VALUE"""),"Si")</f>
        <v>Si</v>
      </c>
      <c r="AP95" s="32" t="str">
        <f>IFERROR(__xludf.DUMMYFUNCTION("""COMPUTED_VALUE"""),"No aplica")</f>
        <v>No aplica</v>
      </c>
      <c r="AQ95" s="32" t="str">
        <f>IFERROR(__xludf.DUMMYFUNCTION("""COMPUTED_VALUE"""),"No aplica")</f>
        <v>No aplica</v>
      </c>
      <c r="AR95" s="32" t="str">
        <f>IFERROR(__xludf.DUMMYFUNCTION("""COMPUTED_VALUE"""),"No aplica")</f>
        <v>No aplica</v>
      </c>
      <c r="AS95" s="150" t="str">
        <f>IFERROR(__xludf.DUMMYFUNCTION("""COMPUTED_VALUE"""),"Recomendaciones:
*Fortalecer la descripción del riesgo, considerando la metodología de la Guía para la Administración del Riesgo y el diseño de controles en entidades públicas Versión 6, que propone los elementos para la descripción del riesgo, como son: "&amp;"
Impacto: las consecuencias que puede ocasionar a la organización la materialización del riesgo.
Causa inmediata: circunstancias o situaciones más evidentes sobre las cuales se presenta el riesgo, las mismas no constituyen la causa principal o base para q"&amp;"ue se presente el riesgo.
Causa raíz: es la causa principal o básica, corresponden a las razones por la cuales se puede presentar el riesgo, son la base para la definición de controles en la etapa de valoración del riesgo. Se debe tener en cuenta que para"&amp;" un mismo riesgo pueden existir más de una causa o subcausas que pueden ser analizadas.
*Fortalecer la descripción de los controles conforme a la metodología propuesta en la Guía para la Administración del Riesgo y el diseño de controles en entidades púb"&amp;"licas Versión 6, que propone los elementos que debe contemplar el diseño del control, como son: 
Responsable de ejecutar el control: identifica el cargo del servidor que ejecuta el control, en caso de que sean controles automáticos se identificará el sist"&amp;"ema que realiza la actividad. 
Acción: se determina mediante verbos que indican la acción que deben realizar como parte del control. 
Complemento: corresponde a los detalles que permiten identificar claramente el objeto del control.
*Reevaluar la opción "&amp;"de manejo del riesgo toda vez que la acción de Evitar se refiere según la metodología del DFP, a no asumir la actividad que genera el riesgo.")</f>
        <v>Recomendaciones:
*Fortalecer la descripción del riesgo, considerando la metodología de la Guía para la Administración del Riesgo y el diseño de controles en entidades públicas Versión 6, que propone los elementos para la descripción del riesgo, como son: 
Impacto: las consecuencias que puede ocasionar a la organización la materialización del riesgo.
Causa inmediata: circunstancias o situaciones más evidentes sobre las cuales se presenta el riesgo, las mismas no constituyen la causa principal o base para que se presente el riesgo.
Causa raíz: es la causa principal o básica, corresponden a las razones por la cuales se puede presentar el riesgo, son la base para la definición de controles en la etapa de valoración del riesgo. Se debe tener en cuenta que para un mismo riesgo pueden existir más de una causa o subcausas que pueden ser analizadas.
*Fortalecer la descripción de los controles conforme a la metodología propuesta en la Guía para la Administración del Riesgo y el diseño de controles en entidades públicas Versión 6, que propone los elementos que debe contemplar el diseño del control, como son: 
Responsable de ejecutar el control: identifica el cargo del servidor que ejecuta el control, en caso de que sean controles automáticos se identificará el sistema que realiza la actividad. 
Acción: se determina mediante verbos que indican la acción que deben realizar como parte del control. 
Complemento: corresponde a los detalles que permiten identificar claramente el objeto del control.
*Reevaluar la opción de manejo del riesgo toda vez que la acción de Evitar se refiere según la metodología del DFP, a no asumir la actividad que genera el riesgo.</v>
      </c>
      <c r="AT95" s="139"/>
    </row>
    <row r="96">
      <c r="A96" s="86"/>
      <c r="B96" s="73"/>
      <c r="C96" s="73"/>
      <c r="D96" s="156"/>
      <c r="E96" s="156"/>
      <c r="F96" s="156"/>
      <c r="G96" s="156"/>
      <c r="H96" s="156"/>
      <c r="I96" s="156"/>
      <c r="J96" s="156"/>
      <c r="K96" s="156"/>
      <c r="L96" s="156"/>
      <c r="M96" s="156"/>
      <c r="N96" s="156"/>
      <c r="O96" s="156"/>
      <c r="P96" s="156"/>
      <c r="Q96" s="157"/>
      <c r="R96" s="158" t="str">
        <f>IFERROR(__xludf.DUMMYFUNCTION("""COMPUTED_VALUE"""),"")</f>
        <v/>
      </c>
      <c r="S96" s="159" t="str">
        <f>IFERROR(__xludf.DUMMYFUNCTION("""COMPUTED_VALUE"""),"")</f>
        <v/>
      </c>
      <c r="T96" s="170"/>
      <c r="U96" s="170"/>
      <c r="V96" s="94"/>
      <c r="W96" s="94"/>
      <c r="X96" s="94"/>
      <c r="Y96" s="94"/>
      <c r="Z96" s="150" t="str">
        <f>IFERROR(__xludf.DUMMYFUNCTION("""COMPUTED_VALUE"""),"30 de agosto")</f>
        <v>30 de agosto</v>
      </c>
      <c r="AA96" s="151">
        <f>IFERROR(__xludf.DUMMYFUNCTION("""COMPUTED_VALUE"""),45804.0)</f>
        <v>45804</v>
      </c>
      <c r="AB96" s="150" t="str">
        <f>IFERROR(__xludf.DUMMYFUNCTION("""COMPUTED_VALUE"""),"Durante este segundo monitoreo NO se materializó el riesgo. 
Acciones de tratamiento del riesgo:
La Universidad de los Llanos realiza la compra de la póliza de daños materiales combinados con N°1001561 a la aseguradora LA PREVISORA S.A.COMPAÑIA DE SEGURO"&amp;"S. Dicha póliza tiene una vigencia del 27/05/2025 hasta el 27/05/2026.
Avance sobre los controles:
1. Desde los puntos de control de vigilancia de la Universidad de los Llanos, se tiene implementado el formato FO-GBS-61 AUTORIZACION DE SALIDA DE ELEMENTO"&amp;"S O BIENES DE LA UNIVERSIDAD, con el fin de registrar la salida de elementos como equipos, computadores etc. 
2. Para la vigencia 2025 la Universidad de los Llanos cuenta con el servicio de vigilancia externa, mediante el contrato N°0535 de 2025 suscrito "&amp;"el 01/04/2025 hasta el 30/11/2025
3. La Universidad de los Llanos compró en la vigencia 2022 camaras de vigilancia para fortalecer el control y seguridad de las diferentes sedes, con el contrato N° 0733 de 2022.
4. Se realiza reunion trimestral con la emp"&amp;"resa de vigilancia para escuchar novedades que se pueden presentar en cuanto a las responsabilidades de los diferentes miembros de la institución. 
5. Desde la supervision del contrato de vigilancia, se ha establecido un grupo de WhatsApp que incluye al p"&amp;"ersonal técnico-administrativo de Servicios Generales y la empresa de vigilancia, con el objetivo de mejorar la comunicación, coordinación, control y seguridad entre ambas partes. ")</f>
        <v>Durante este segundo monitoreo NO se materializó el riesgo. 
Acciones de tratamiento del riesgo:
La Universidad de los Llanos realiza la compra de la póliza de daños materiales combinados con N°1001561 a la aseguradora LA PREVISORA S.A.COMPAÑIA DE SEGUROS. Dicha póliza tiene una vigencia del 27/05/2025 hasta el 27/05/2026.
Avance sobre los controles:
1. Desde los puntos de control de vigilancia de la Universidad de los Llanos, se tiene implementado el formato FO-GBS-61 AUTORIZACION DE SALIDA DE ELEMENTOS O BIENES DE LA UNIVERSIDAD, con el fin de registrar la salida de elementos como equipos, computadores etc. 
2. Para la vigencia 2025 la Universidad de los Llanos cuenta con el servicio de vigilancia externa, mediante el contrato N°0535 de 2025 suscrito el 01/04/2025 hasta el 30/11/2025
3. La Universidad de los Llanos compró en la vigencia 2022 camaras de vigilancia para fortalecer el control y seguridad de las diferentes sedes, con el contrato N° 0733 de 2022.
4. Se realiza reunion trimestral con la empresa de vigilancia para escuchar novedades que se pueden presentar en cuanto a las responsabilidades de los diferentes miembros de la institución. 
5. Desde la supervision del contrato de vigilancia, se ha establecido un grupo de WhatsApp que incluye al personal técnico-administrativo de Servicios Generales y la empresa de vigilancia, con el objetivo de mejorar la comunicación, coordinación, control y seguridad entre ambas partes. </v>
      </c>
      <c r="AC96" s="152" t="str">
        <f>IFERROR(__xludf.DUMMYFUNCTION("""COMPUTED_VALUE"""),"Wilson Fernando Salgado Cifuentes ")</f>
        <v>Wilson Fernando Salgado Cifuentes </v>
      </c>
      <c r="AD96" s="153" t="str">
        <f>IFERROR(__xludf.DUMMYFUNCTION("""COMPUTED_VALUE"""),"Evidencia")</f>
        <v>Evidencia</v>
      </c>
      <c r="AE96" s="150" t="str">
        <f>IFERROR(__xludf.DUMMYFUNCTION("""COMPUTED_VALUE"""),"Si")</f>
        <v>Si</v>
      </c>
      <c r="AF96" s="152" t="str">
        <f>IFERROR(__xludf.DUMMYFUNCTION("""COMPUTED_VALUE"""),"En proceso")</f>
        <v>En proceso</v>
      </c>
      <c r="AG96" s="32" t="str">
        <f>IFERROR(__xludf.DUMMYFUNCTION("""COMPUTED_VALUE"""),"Durante este monitoreo se reporta que no se materializó el riesgo.
Sobre los controles:
c1. Control del formato de salida de elementos
Avance: Se verificó que la Universidad mantuvo implementado el formato FO-GBS-61 Autorización de salida de elementos o"&amp;" bienes, utilizado desde los puntos de control de vigilancia para registrar la salida de equipos, computadores y demás bienes institucionales, asegurando trazabilidad y autorización formal.
c2. Vigilancia externa de la Institución
Avance: Se constató que"&amp;" para la vigencia 2025 la Universidad mantuvo vigente el contrato de vigilancia externa N.° 0535 de 2025, suscrito el 01/04/2025 y con vigencia hasta el 30/11/2025, garantizando presencia y control en las diferentes sedes.
c3. Control mediante cámaras de"&amp;" seguridad
Avance: Se evidenció que la Universidad mantuvo operativo el sistema de cámaras de vigilancia adquirido mediante el contrato N.° 0733 de 2022, como mecanismo de control y monitoreo en las instalaciones.
c4. Reuniones trimestrales con la empres"&amp;"a de vigilancia
Avance: Se corroboró que la Institución realizó reuniones trimestrales con la empresa de vigilancia, en las cuales se revisaron novedades y responsabilidades de los diferentes miembros de la comunidad universitaria, fortaleciendo la gestió"&amp;"n preventiva de riesgos.
c5. Grupos de WhatsApp en las puertas de acceso de la Universidad
Avance: Se verificó la continuidad del grupo de WhatsApp gestionado desde la supervisión del contrato de vigilancia, integrado por personal técnico-administrativo "&amp;"de Servicios Generales y la empresa de vigilancia, lo cual fortaleció la comunicación, coordinación y control en temas de seguridad.
Sobre las acciones de tratamiento:
Se confirmó el cumplimiento de la acción de tratamiento definida, dado que la Universi"&amp;"dad adquirió la póliza de daños materiales combinados N.° 1001561 con la aseguradora La Previsora S.A. Compañía de Seguros, con vigencia del 27/05/2025 al 27/05/2026, asegurando respaldo económico frente a posibles pérdidas o daños ocasionados por hurto d"&amp;"e bienes o elementos de la comunidad universitaria.")</f>
        <v>Durante este monitoreo se reporta que no se materializó el riesgo.
Sobre los controles:
c1. Control del formato de salida de elementos
Avance: Se verificó que la Universidad mantuvo implementado el formato FO-GBS-61 Autorización de salida de elementos o bienes, utilizado desde los puntos de control de vigilancia para registrar la salida de equipos, computadores y demás bienes institucionales, asegurando trazabilidad y autorización formal.
c2. Vigilancia externa de la Institución
Avance: Se constató que para la vigencia 2025 la Universidad mantuvo vigente el contrato de vigilancia externa N.° 0535 de 2025, suscrito el 01/04/2025 y con vigencia hasta el 30/11/2025, garantizando presencia y control en las diferentes sedes.
c3. Control mediante cámaras de seguridad
Avance: Se evidenció que la Universidad mantuvo operativo el sistema de cámaras de vigilancia adquirido mediante el contrato N.° 0733 de 2022, como mecanismo de control y monitoreo en las instalaciones.
c4. Reuniones trimestrales con la empresa de vigilancia
Avance: Se corroboró que la Institución realizó reuniones trimestrales con la empresa de vigilancia, en las cuales se revisaron novedades y responsabilidades de los diferentes miembros de la comunidad universitaria, fortaleciendo la gestión preventiva de riesgos.
c5. Grupos de WhatsApp en las puertas de acceso de la Universidad
Avance: Se verificó la continuidad del grupo de WhatsApp gestionado desde la supervisión del contrato de vigilancia, integrado por personal técnico-administrativo de Servicios Generales y la empresa de vigilancia, lo cual fortaleció la comunicación, coordinación y control en temas de seguridad.
Sobre las acciones de tratamiento:
Se confirmó el cumplimiento de la acción de tratamiento definida, dado que la Universidad adquirió la póliza de daños materiales combinados N.° 1001561 con la aseguradora La Previsora S.A. Compañía de Seguros, con vigencia del 27/05/2025 al 27/05/2026, asegurando respaldo económico frente a posibles pérdidas o daños ocasionados por hurto de bienes o elementos de la comunidad universitaria.</v>
      </c>
      <c r="AH96" s="150" t="str">
        <f>IFERROR(__xludf.DUMMYFUNCTION("""COMPUTED_VALUE"""),"31 de agosto")</f>
        <v>31 de agosto</v>
      </c>
      <c r="AI96" s="32" t="str">
        <f>IFERROR(__xludf.DUMMYFUNCTION("""COMPUTED_VALUE"""),"Si")</f>
        <v>Si</v>
      </c>
      <c r="AJ96" s="32" t="str">
        <f>IFERROR(__xludf.DUMMYFUNCTION("""COMPUTED_VALUE"""),"Si")</f>
        <v>Si</v>
      </c>
      <c r="AK96" s="32" t="str">
        <f>IFERROR(__xludf.DUMMYFUNCTION("""COMPUTED_VALUE"""),"Si")</f>
        <v>Si</v>
      </c>
      <c r="AL96" s="32" t="str">
        <f>IFERROR(__xludf.DUMMYFUNCTION("""COMPUTED_VALUE"""),"Si")</f>
        <v>Si</v>
      </c>
      <c r="AM96" s="32" t="str">
        <f>IFERROR(__xludf.DUMMYFUNCTION("""COMPUTED_VALUE"""),"Si")</f>
        <v>Si</v>
      </c>
      <c r="AN96" s="32" t="str">
        <f>IFERROR(__xludf.DUMMYFUNCTION("""COMPUTED_VALUE"""),"Si")</f>
        <v>Si</v>
      </c>
      <c r="AO96" s="32" t="str">
        <f>IFERROR(__xludf.DUMMYFUNCTION("""COMPUTED_VALUE"""),"Si")</f>
        <v>Si</v>
      </c>
      <c r="AP96" s="32" t="str">
        <f>IFERROR(__xludf.DUMMYFUNCTION("""COMPUTED_VALUE"""),"No aplica")</f>
        <v>No aplica</v>
      </c>
      <c r="AQ96" s="32" t="str">
        <f>IFERROR(__xludf.DUMMYFUNCTION("""COMPUTED_VALUE"""),"No aplica")</f>
        <v>No aplica</v>
      </c>
      <c r="AR96" s="32" t="str">
        <f>IFERROR(__xludf.DUMMYFUNCTION("""COMPUTED_VALUE"""),"No aplica")</f>
        <v>No aplica</v>
      </c>
      <c r="AS96" s="150" t="str">
        <f>IFERROR(__xludf.DUMMYFUNCTION("""COMPUTED_VALUE"""),"Se reiteran las recomendaciones generadas en la evaluación del primer cuatrimestre:
*Fortalecer la descripción del riesgo, considerando la metodología de la Guía para la Administración del Riesgo y el diseño de controles en entidades públicas Versión 6, q"&amp;"ue propone los elementos para la descripción del riesgo, como son: 
Impacto: las consecuencias que puede ocasionar a la organización la materialización del riesgo.
Causa inmediata: circunstancias o situaciones más evidentes sobre las cuales se presenta el"&amp;" riesgo, las mismas no constituyen la causa principal o base para que se presente el riesgo.
Causa raíz: es la causa principal o básica, corresponden a las razones por la cuales se puede presentar el riesgo, son la base para la definición de controles en "&amp;"la etapa de valoración del riesgo. Se debe tener en cuenta que para un mismo riesgo pueden existir más de una causa o subcausas que pueden ser analizadas.
*Fortalecer la descripción de los controles conforme a la metodología propuesta en la Guía para la "&amp;"Administración del Riesgo y el diseño de controles en entidades públicas Versión 6, que propone los elementos que debe contemplar el diseño del control, como son: 
Responsable de ejecutar el control: identifica el cargo del servidor que ejecuta el control"&amp;", en caso de que sean controles automáticos se identificará el sistema que realiza la actividad. 
Acción: se determina mediante verbos que indican la acción que deben realizar como parte del control. 
Complemento: corresponde a los detalles que permiten i"&amp;"dentificar claramente el objeto del control.
*Reevaluar la opción de manejo del riesgo toda vez que la acción de Evitar se refiere según la metodología del DFP, a no asumir la actividad que genera el riesgo.")</f>
        <v>Se reiteran las recomendaciones generadas en la evaluación del primer cuatrimestre:
*Fortalecer la descripción del riesgo, considerando la metodología de la Guía para la Administración del Riesgo y el diseño de controles en entidades públicas Versión 6, que propone los elementos para la descripción del riesgo, como son: 
Impacto: las consecuencias que puede ocasionar a la organización la materialización del riesgo.
Causa inmediata: circunstancias o situaciones más evidentes sobre las cuales se presenta el riesgo, las mismas no constituyen la causa principal o base para que se presente el riesgo.
Causa raíz: es la causa principal o básica, corresponden a las razones por la cuales se puede presentar el riesgo, son la base para la definición de controles en la etapa de valoración del riesgo. Se debe tener en cuenta que para un mismo riesgo pueden existir más de una causa o subcausas que pueden ser analizadas.
*Fortalecer la descripción de los controles conforme a la metodología propuesta en la Guía para la Administración del Riesgo y el diseño de controles en entidades públicas Versión 6, que propone los elementos que debe contemplar el diseño del control, como son: 
Responsable de ejecutar el control: identifica el cargo del servidor que ejecuta el control, en caso de que sean controles automáticos se identificará el sistema que realiza la actividad. 
Acción: se determina mediante verbos que indican la acción que deben realizar como parte del control. 
Complemento: corresponde a los detalles que permiten identificar claramente el objeto del control.
*Reevaluar la opción de manejo del riesgo toda vez que la acción de Evitar se refiere según la metodología del DFP, a no asumir la actividad que genera el riesgo.</v>
      </c>
      <c r="AT96" s="139"/>
    </row>
    <row r="97">
      <c r="A97" s="86"/>
      <c r="B97" s="73"/>
      <c r="C97" s="73"/>
      <c r="D97" s="119"/>
      <c r="E97" s="119"/>
      <c r="F97" s="119"/>
      <c r="G97" s="119"/>
      <c r="H97" s="119"/>
      <c r="I97" s="119"/>
      <c r="J97" s="119"/>
      <c r="K97" s="119"/>
      <c r="L97" s="119"/>
      <c r="M97" s="119"/>
      <c r="N97" s="119"/>
      <c r="O97" s="119"/>
      <c r="P97" s="119"/>
      <c r="Q97" s="162"/>
      <c r="R97" s="163" t="str">
        <f>IFERROR(__xludf.DUMMYFUNCTION("""COMPUTED_VALUE"""),"")</f>
        <v/>
      </c>
      <c r="S97" s="164" t="str">
        <f>IFERROR(__xludf.DUMMYFUNCTION("""COMPUTED_VALUE"""),"")</f>
        <v/>
      </c>
      <c r="T97" s="176"/>
      <c r="U97" s="176"/>
      <c r="V97" s="98"/>
      <c r="W97" s="98"/>
      <c r="X97" s="98"/>
      <c r="Y97" s="98"/>
      <c r="Z97" s="150" t="str">
        <f>IFERROR(__xludf.DUMMYFUNCTION("""COMPUTED_VALUE"""),"30 de diciembre")</f>
        <v>30 de diciembre</v>
      </c>
      <c r="AA97" s="151">
        <f>IFERROR(__xludf.DUMMYFUNCTION("""COMPUTED_VALUE"""),45993.0)</f>
        <v>45993</v>
      </c>
      <c r="AB97" s="150" t="str">
        <f>IFERROR(__xludf.DUMMYFUNCTION("""COMPUTED_VALUE"""),"Durante este tercer monitoreo NO se materializó el riesgo. 
Acciones de tratamiento del riesgo:
La Universidad de los Llanos realiza la compra de la póliza de daños materiales combinados con N°1001561 a la aseguradora LA PREVISORA S.A.COMPAÑIA DE SEGUROS"&amp;". Dicha póliza tiene una vigencia del 27/05/2025 hasta el 27/05/2026.
Avance sobre los controles:
C1-Desde los puntos de control de vigilancia de la Universidad de los Llanos, se tiene implementado el formato FO-GBS-61 AUTORIZACION DE SALIDA DE ELEMENTOS"&amp;" O BIENES DE LA UNIVERSIDAD, con el fin de registrar la salida de elementos como equipos, computadores etc. Se carga evidencia del formato debidamente diligenciado
C2- Para la vigencia 2025 la Universidad de los Llanos cuenta con el servicio de vigilancia"&amp;" externa, mediante el contrato N°0535 de 2025 suscrito el 01/04/2025 hasta el 30/11/2025
C3- La Universidad de los Llanos compró en la vigencia 2022 camaras de vigilancia para fortalecer el control y seguridad de las diferentes sedes, con el contrato N° 0"&amp;"733 de 2022.
C4-Se realiza reunion trimestral con la empresa de vigilancia para escuchar novedades que se pueden presentar en cuanto a las responsabilidades de los diferentes miembros de la institución. Se adjunta evidencia del acta de reunion
C5- Desde l"&amp;"a supervision del contrato de vigilancia, se ha establecido un grupo de WhatsApp que incluye al personal técnico-administrativo de Servicios Generales y la empresa de vigilancia, con el objetivo de mejorar la comunicación, coordinación, control y segurida"&amp;"d entre ambas partes. Se adjunta pantallazo del grupo.")</f>
        <v>Durante este tercer monitoreo NO se materializó el riesgo. 
Acciones de tratamiento del riesgo:
La Universidad de los Llanos realiza la compra de la póliza de daños materiales combinados con N°1001561 a la aseguradora LA PREVISORA S.A.COMPAÑIA DE SEGUROS. Dicha póliza tiene una vigencia del 27/05/2025 hasta el 27/05/2026.
Avance sobre los controles:
C1-Desde los puntos de control de vigilancia de la Universidad de los Llanos, se tiene implementado el formato FO-GBS-61 AUTORIZACION DE SALIDA DE ELEMENTOS O BIENES DE LA UNIVERSIDAD, con el fin de registrar la salida de elementos como equipos, computadores etc. Se carga evidencia del formato debidamente diligenciado
C2- Para la vigencia 2025 la Universidad de los Llanos cuenta con el servicio de vigilancia externa, mediante el contrato N°0535 de 2025 suscrito el 01/04/2025 hasta el 30/11/2025
C3- La Universidad de los Llanos compró en la vigencia 2022 camaras de vigilancia para fortalecer el control y seguridad de las diferentes sedes, con el contrato N° 0733 de 2022.
C4-Se realiza reunion trimestral con la empresa de vigilancia para escuchar novedades que se pueden presentar en cuanto a las responsabilidades de los diferentes miembros de la institución. Se adjunta evidencia del acta de reunion
C5- Desde la supervision del contrato de vigilancia, se ha establecido un grupo de WhatsApp que incluye al personal técnico-administrativo de Servicios Generales y la empresa de vigilancia, con el objetivo de mejorar la comunicación, coordinación, control y seguridad entre ambas partes. Se adjunta pantallazo del grupo.</v>
      </c>
      <c r="AC97" s="152" t="str">
        <f>IFERROR(__xludf.DUMMYFUNCTION("""COMPUTED_VALUE"""),"Wilson Fernando Salgado Cifuentes ")</f>
        <v>Wilson Fernando Salgado Cifuentes </v>
      </c>
      <c r="AD97" s="153" t="str">
        <f>IFERROR(__xludf.DUMMYFUNCTION("""COMPUTED_VALUE"""),"Evidencia")</f>
        <v>Evidencia</v>
      </c>
      <c r="AE97" s="150" t="str">
        <f>IFERROR(__xludf.DUMMYFUNCTION("""COMPUTED_VALUE"""),"Si")</f>
        <v>Si</v>
      </c>
      <c r="AF97" s="152" t="str">
        <f>IFERROR(__xludf.DUMMYFUNCTION("""COMPUTED_VALUE"""),"Ejecutada")</f>
        <v>Ejecutada</v>
      </c>
      <c r="AG97" s="32" t="str">
        <f>IFERROR(__xludf.DUMMYFUNCTION("""COMPUTED_VALUE"""),"-Durante el presente monitoreo no se materializó el riesgo.
-Se confirma la vigencia de la póliza de daños materiales combinados N.° 1001561, contratada con La Previsora S.A., con cobertura del 27/05/2025 al 27/05/2026.
-Avance sobre los controles:
C1:"&amp;" Se verifica la aplicación del formato FO-GBS-61 para la autorización y control de salida de bienes institucionales.
C2: Se confirma la prestación del servicio de vigilancia externa durante la vigencia 2025.
C3: Se constata la existencia y operación del"&amp;" sistema de cámaras de vigilancia adquirido en vigencias anteriores.
C4: Se evidencian reuniones trimestrales con la empresa de vigilancia para seguimiento y control del servicio.
C5: Se valida el uso de canales de comunicación directa entre la supervis"&amp;"ión del contrato y la empresa de vigilancia para atención oportuna de novedades.                                                                                                        -Los controles definidos se encuentran implementados y cuentan con sopo"&amp;"rte verificable, lo que contribuye a mantener el riesgo en niveles controlados.     ")</f>
        <v>-Durante el presente monitoreo no se materializó el riesgo.
-Se confirma la vigencia de la póliza de daños materiales combinados N.° 1001561, contratada con La Previsora S.A., con cobertura del 27/05/2025 al 27/05/2026.
-Avance sobre los controles:
C1: Se verifica la aplicación del formato FO-GBS-61 para la autorización y control de salida de bienes institucionales.
C2: Se confirma la prestación del servicio de vigilancia externa durante la vigencia 2025.
C3: Se constata la existencia y operación del sistema de cámaras de vigilancia adquirido en vigencias anteriores.
C4: Se evidencian reuniones trimestrales con la empresa de vigilancia para seguimiento y control del servicio.
C5: Se valida el uso de canales de comunicación directa entre la supervisión del contrato y la empresa de vigilancia para atención oportuna de novedades.                                                                                                        -Los controles definidos se encuentran implementados y cuentan con soporte verificable, lo que contribuye a mantener el riesgo en niveles controlados.     </v>
      </c>
      <c r="AH97" s="150" t="str">
        <f>IFERROR(__xludf.DUMMYFUNCTION("""COMPUTED_VALUE"""),"31 de diciembre")</f>
        <v>31 de diciembre</v>
      </c>
      <c r="AI97" s="32" t="str">
        <f>IFERROR(__xludf.DUMMYFUNCTION("""COMPUTED_VALUE"""),"Si")</f>
        <v>Si</v>
      </c>
      <c r="AJ97" s="32" t="str">
        <f>IFERROR(__xludf.DUMMYFUNCTION("""COMPUTED_VALUE"""),"Si")</f>
        <v>Si</v>
      </c>
      <c r="AK97" s="32" t="str">
        <f>IFERROR(__xludf.DUMMYFUNCTION("""COMPUTED_VALUE"""),"Si")</f>
        <v>Si</v>
      </c>
      <c r="AL97" s="32" t="str">
        <f>IFERROR(__xludf.DUMMYFUNCTION("""COMPUTED_VALUE"""),"Si")</f>
        <v>Si</v>
      </c>
      <c r="AM97" s="32" t="str">
        <f>IFERROR(__xludf.DUMMYFUNCTION("""COMPUTED_VALUE"""),"Si")</f>
        <v>Si</v>
      </c>
      <c r="AN97" s="32" t="str">
        <f>IFERROR(__xludf.DUMMYFUNCTION("""COMPUTED_VALUE"""),"Si")</f>
        <v>Si</v>
      </c>
      <c r="AO97" s="32" t="str">
        <f>IFERROR(__xludf.DUMMYFUNCTION("""COMPUTED_VALUE"""),"Si")</f>
        <v>Si</v>
      </c>
      <c r="AP97" s="32" t="str">
        <f>IFERROR(__xludf.DUMMYFUNCTION("""COMPUTED_VALUE"""),"No aplica")</f>
        <v>No aplica</v>
      </c>
      <c r="AQ97" s="32" t="str">
        <f>IFERROR(__xludf.DUMMYFUNCTION("""COMPUTED_VALUE"""),"No aplica")</f>
        <v>No aplica</v>
      </c>
      <c r="AR97" s="32" t="str">
        <f>IFERROR(__xludf.DUMMYFUNCTION("""COMPUTED_VALUE"""),"No aplica")</f>
        <v>No aplica</v>
      </c>
      <c r="AS97" s="150" t="str">
        <f>IFERROR(__xludf.DUMMYFUNCTION("""COMPUTED_VALUE"""),"Se reiteran las recomendaciones generadas en la evaluación del primer y segundo cuatrimestre:
*Fortalecer la descripción del riesgo, considerando la metodología de la Guía para la Administración del Riesgo y el diseño de controles en entidades públicas Ve"&amp;"rsión 6, que propone los elementos para la descripción del riesgo, como son: 
Impacto: las consecuencias que puede ocasionar a la organización la materialización del riesgo.
Causa inmediata: circunstancias o situaciones más evidentes sobre las cuales se p"&amp;"resenta el riesgo, las mismas no constituyen la causa principal o base para que se presente el riesgo.
Causa raíz: es la causa principal o básica, corresponden a las razones por la cuales se puede presentar el riesgo, son la base para la definición de con"&amp;"troles en la etapa de valoración del riesgo. Se debe tener en cuenta que para un mismo riesgo pueden existir más de una causa o subcausas que pueden ser analizadas.
*Fortalecer la descripción de los controles conforme a la metodología propuesta en la Guí"&amp;"a para la Administración del Riesgo y el diseño de controles en entidades públicas Versión 6, que propone los elementos que debe contemplar el diseño del control, como son: 
Responsable de ejecutar el control: identifica el cargo del servidor que ejecuta "&amp;"el control, en caso de que sean controles automáticos se identificará el sistema que realiza la actividad. 
Acción: se determina mediante verbos que indican la acción que deben realizar como parte del control. 
Complemento: corresponde a los detalles que "&amp;"permiten identificar claramente el objeto del control.
*Reevaluar la opción de manejo del riesgo toda vez que la acción de Evitar se refiere según la metodología del DFP, a no asumir la actividad que genera el riesgo.")</f>
        <v>Se reiteran las recomendaciones generadas en la evaluación del primer y segundo cuatrimestre:
*Fortalecer la descripción del riesgo, considerando la metodología de la Guía para la Administración del Riesgo y el diseño de controles en entidades públicas Versión 6, que propone los elementos para la descripción del riesgo, como son: 
Impacto: las consecuencias que puede ocasionar a la organización la materialización del riesgo.
Causa inmediata: circunstancias o situaciones más evidentes sobre las cuales se presenta el riesgo, las mismas no constituyen la causa principal o base para que se presente el riesgo.
Causa raíz: es la causa principal o básica, corresponden a las razones por la cuales se puede presentar el riesgo, son la base para la definición de controles en la etapa de valoración del riesgo. Se debe tener en cuenta que para un mismo riesgo pueden existir más de una causa o subcausas que pueden ser analizadas.
*Fortalecer la descripción de los controles conforme a la metodología propuesta en la Guía para la Administración del Riesgo y el diseño de controles en entidades públicas Versión 6, que propone los elementos que debe contemplar el diseño del control, como son: 
Responsable de ejecutar el control: identifica el cargo del servidor que ejecuta el control, en caso de que sean controles automáticos se identificará el sistema que realiza la actividad. 
Acción: se determina mediante verbos que indican la acción que deben realizar como parte del control. 
Complemento: corresponde a los detalles que permiten identificar claramente el objeto del control.
*Reevaluar la opción de manejo del riesgo toda vez que la acción de Evitar se refiere según la metodología del DFP, a no asumir la actividad que genera el riesgo.</v>
      </c>
      <c r="AT97" s="139"/>
    </row>
    <row r="98">
      <c r="A98" s="86"/>
      <c r="B98" s="73"/>
      <c r="C98" s="73"/>
      <c r="D98" s="144" t="str">
        <f>IFERROR(__xludf.DUMMYFUNCTION("""COMPUTED_VALUE"""),"Afectación económica por apropiación o uso indebido de los bienes institucionales
")</f>
        <v>Afectación económica por apropiación o uso indebido de los bienes institucionales
</v>
      </c>
      <c r="E98" s="202" t="str">
        <f>IFERROR(__xludf.DUMMYFUNCTION("""COMPUTED_VALUE"""),"Almacén")</f>
        <v>Almacén</v>
      </c>
      <c r="F98" s="144" t="str">
        <f>IFERROR(__xludf.DUMMYFUNCTION("""COMPUTED_VALUE"""),"Corrupción")</f>
        <v>Corrupción</v>
      </c>
      <c r="G98" s="144" t="str">
        <f>IFERROR(__xludf.DUMMYFUNCTION("""COMPUTED_VALUE"""),"- Alto número de bienes institucionales en posesión de un mismo funcionario
- Falta de valores éticos en la comunidad Universitaria
- Alto número de bienes a verificar con escaso número de personal")</f>
        <v>- Alto número de bienes institucionales en posesión de un mismo funcionario
- Falta de valores éticos en la comunidad Universitaria
- Alto número de bienes a verificar con escaso número de personal</v>
      </c>
      <c r="H98" s="144" t="str">
        <f>IFERROR(__xludf.DUMMYFUNCTION("""COMPUTED_VALUE"""),"- Detrimento patrimonial 
- Investigaciones penales y disciplinarias
- Adquisición excesiva de bienes en la Institución""")</f>
        <v>- Detrimento patrimonial 
- Investigaciones penales y disciplinarias
- Adquisición excesiva de bienes en la Institución"</v>
      </c>
      <c r="I98" s="145" t="str">
        <f>IFERROR(__xludf.DUMMYFUNCTION("""COMPUTED_VALUE"""),"GBS_04")</f>
        <v>GBS_04</v>
      </c>
      <c r="J98" s="145" t="str">
        <f>IFERROR(__xludf.DUMMYFUNCTION("""COMPUTED_VALUE"""),"Muy baja")</f>
        <v>Muy baja</v>
      </c>
      <c r="K98" s="145" t="str">
        <f>IFERROR(__xludf.DUMMYFUNCTION("""COMPUTED_VALUE"""),"Mayor")</f>
        <v>Mayor</v>
      </c>
      <c r="L98" s="145" t="str">
        <f>IFERROR(__xludf.DUMMYFUNCTION("""COMPUTED_VALUE"""),"Alta")</f>
        <v>Alta</v>
      </c>
      <c r="M98" s="144" t="str">
        <f>IFERROR(__xludf.DUMMYFUNCTION("""COMPUTED_VALUE"""),"- El personal de almacén, realiza sensibilización a los servidores públicos, sobre el buen uso y custodia de los bienes públicos
- El personal de almacén, realiza la verificación de los inventarios, de acuerdo a los estuablecido en el procedimiento PD-GBS"&amp;"-10
- La Oficina de Almacén, elabora el cronograma anual de inventarios, en donde se incluye el 100% de los responsables de inventarios, con el fin de detectar posibles faltantes- El personal de la oficina de Almacén, realiza seguimiento a los compromisos"&amp;" derivados de la verificación de los inventarios - Los responsables de invetarios, cuenta con la posibilidad de realizar una reposición o compensación de los faltantes, dejando registro mediante acta")</f>
        <v>- El personal de almacén, realiza sensibilización a los servidores públicos, sobre el buen uso y custodia de los bienes públicos
- El personal de almacén, realiza la verificación de los inventarios, de acuerdo a los estuablecido en el procedimiento PD-GBS-10
- La Oficina de Almacén, elabora el cronograma anual de inventarios, en donde se incluye el 100% de los responsables de inventarios, con el fin de detectar posibles faltantes- El personal de la oficina de Almacén, realiza seguimiento a los compromisos derivados de la verificación de los inventarios - Los responsables de invetarios, cuenta con la posibilidad de realizar una reposición o compensación de los faltantes, dejando registro mediante acta</v>
      </c>
      <c r="N98" s="145" t="str">
        <f>IFERROR(__xludf.DUMMYFUNCTION("""COMPUTED_VALUE"""),"Muy baja")</f>
        <v>Muy baja</v>
      </c>
      <c r="O98" s="145" t="str">
        <f>IFERROR(__xludf.DUMMYFUNCTION("""COMPUTED_VALUE"""),"Mayor")</f>
        <v>Mayor</v>
      </c>
      <c r="P98" s="145" t="str">
        <f>IFERROR(__xludf.DUMMYFUNCTION("""COMPUTED_VALUE"""),"Alta")</f>
        <v>Alta</v>
      </c>
      <c r="Q98" s="178" t="str">
        <f>IFERROR(__xludf.DUMMYFUNCTION("""COMPUTED_VALUE"""),"Evitar")</f>
        <v>Evitar</v>
      </c>
      <c r="R98" s="158" t="str">
        <f>IFERROR(__xludf.DUMMYFUNCTION("""COMPUTED_VALUE"""),"Promover mediante boletines los valores éticos de los funcionarios de la Universidad")</f>
        <v>Promover mediante boletines los valores éticos de los funcionarios de la Universidad</v>
      </c>
      <c r="S98" s="159" t="str">
        <f>IFERROR(__xludf.DUMMYFUNCTION("""COMPUTED_VALUE"""),"cuatrimestral")</f>
        <v>cuatrimestral</v>
      </c>
      <c r="T98" s="170" t="str">
        <f>IFERROR(__xludf.DUMMYFUNCTION("""COMPUTED_VALUE"""),"Jefe de Almacén")</f>
        <v>Jefe de Almacén</v>
      </c>
      <c r="U98" s="170" t="str">
        <f>IFERROR(__xludf.DUMMYFUNCTION("""COMPUTED_VALUE"""),"Bolentines enviados")</f>
        <v>Bolentines enviados</v>
      </c>
      <c r="V98" s="167" t="str">
        <f>IFERROR(__xludf.DUMMYFUNCTION("""COMPUTED_VALUE"""),"-Notificar al responsable del elemento, las situaciones encontradas
- Reportar a control interno ")</f>
        <v>-Notificar al responsable del elemento, las situaciones encontradas
- Reportar a control interno </v>
      </c>
      <c r="W98" s="167" t="str">
        <f>IFERROR(__xludf.DUMMYFUNCTION("""COMPUTED_VALUE"""),"|")</f>
        <v>|</v>
      </c>
      <c r="X98" s="169" t="str">
        <f>IFERROR(__xludf.DUMMYFUNCTION("""COMPUTED_VALUE"""),"jefe de Almacén")</f>
        <v>jefe de Almacén</v>
      </c>
      <c r="Y98" s="169" t="str">
        <f>IFERROR(__xludf.DUMMYFUNCTION("""COMPUTED_VALUE"""),"máximo un semestre")</f>
        <v>máximo un semestre</v>
      </c>
      <c r="Z98" s="150" t="str">
        <f>IFERROR(__xludf.DUMMYFUNCTION("""COMPUTED_VALUE"""),"30 de abril")</f>
        <v>30 de abril</v>
      </c>
      <c r="AA98" s="151">
        <f>IFERROR(__xludf.DUMMYFUNCTION("""COMPUTED_VALUE"""),45777.0)</f>
        <v>45777</v>
      </c>
      <c r="AB98" s="150" t="str">
        <f>IFERROR(__xludf.DUMMYFUNCTION("""COMPUTED_VALUE"""),"
Durante el período de monitoreo NO se materializó el riesgo.
Acciones asociadas a la aplicación de controles del riesgos:
1. Mediante boletín interno del 30 de abril de 2025, se realizó sensibilización, se fortaleció la conciencia de servidores, contra"&amp;"tistas y colaboradores en el manejo responsable de recursos públicos y principios éticos, incluyendo la divulgación de los procedimientos de almacén y sus responsabilidades legales.
2. En aras de una gestión eficiente y transparente de los bienes públicos"&amp;", se realizó la actualización y optimización del Cronograma Anual de Inventarios. Esta herramienta consolidará la información pertinente y facilitará el seguimiento de inconsistencias a través de la integración de Actas y Memorandos de faltantes y sobrant"&amp;"es, como mejora y autocontrol se realiza un monitoreo semanal.
")</f>
        <v>
Durante el período de monitoreo NO se materializó el riesgo.
Acciones asociadas a la aplicación de controles del riesgos:
1. Mediante boletín interno del 30 de abril de 2025, se realizó sensibilización, se fortaleció la conciencia de servidores, contratistas y colaboradores en el manejo responsable de recursos públicos y principios éticos, incluyendo la divulgación de los procedimientos de almacén y sus responsabilidades legales.
2. En aras de una gestión eficiente y transparente de los bienes públicos, se realizó la actualización y optimización del Cronograma Anual de Inventarios. Esta herramienta consolidará la información pertinente y facilitará el seguimiento de inconsistencias a través de la integración de Actas y Memorandos de faltantes y sobrantes, como mejora y autocontrol se realiza un monitoreo semanal.
</v>
      </c>
      <c r="AC98" s="152" t="str">
        <f>IFERROR(__xludf.DUMMYFUNCTION("""COMPUTED_VALUE"""),"Jefe de Almacen ")</f>
        <v>Jefe de Almacen </v>
      </c>
      <c r="AD98" s="153" t="str">
        <f>IFERROR(__xludf.DUMMYFUNCTION("""COMPUTED_VALUE"""),"Evidencia")</f>
        <v>Evidencia</v>
      </c>
      <c r="AE98" s="150" t="str">
        <f>IFERROR(__xludf.DUMMYFUNCTION("""COMPUTED_VALUE"""),"Si")</f>
        <v>Si</v>
      </c>
      <c r="AF98" s="150" t="str">
        <f>IFERROR(__xludf.DUMMYFUNCTION("""COMPUTED_VALUE"""),"En proceso")</f>
        <v>En proceso</v>
      </c>
      <c r="AG98" s="32" t="str">
        <f>IFERROR(__xludf.DUMMYFUNCTION("""COMPUTED_VALUE"""),"Diramte este primer monitoreo no se materializó el riesgo. 
Se evidencia el cumplimiento de las acciones de control sobre la sensibilización y cronograma de inventario, al intentar revisar la evidencia de reporte de inventarios no se cuenta con acceso al"&amp;" correo de el sig, se recomienda habilitar los permisos para pdoer revisar el avance. 
Sobre las acciones de tratamiento: No se encuentra documentación al respecto. ")</f>
        <v>Diramte este primer monitoreo no se materializó el riesgo. 
Se evidencia el cumplimiento de las acciones de control sobre la sensibilización y cronograma de inventario, al intentar revisar la evidencia de reporte de inventarios no se cuenta con acceso al correo de el sig, se recomienda habilitar los permisos para pdoer revisar el avance. 
Sobre las acciones de tratamiento: No se encuentra documentación al respecto. </v>
      </c>
      <c r="AH98" s="150" t="str">
        <f>IFERROR(__xludf.DUMMYFUNCTION("""COMPUTED_VALUE"""),"30 de abril")</f>
        <v>30 de abril</v>
      </c>
      <c r="AI98" s="32" t="str">
        <f>IFERROR(__xludf.DUMMYFUNCTION("""COMPUTED_VALUE"""),"Si")</f>
        <v>Si</v>
      </c>
      <c r="AJ98" s="32" t="str">
        <f>IFERROR(__xludf.DUMMYFUNCTION("""COMPUTED_VALUE"""),"Si")</f>
        <v>Si</v>
      </c>
      <c r="AK98" s="32" t="str">
        <f>IFERROR(__xludf.DUMMYFUNCTION("""COMPUTED_VALUE"""),"Si")</f>
        <v>Si</v>
      </c>
      <c r="AL98" s="32" t="str">
        <f>IFERROR(__xludf.DUMMYFUNCTION("""COMPUTED_VALUE"""),"Si")</f>
        <v>Si</v>
      </c>
      <c r="AM98" s="32" t="str">
        <f>IFERROR(__xludf.DUMMYFUNCTION("""COMPUTED_VALUE"""),"Si")</f>
        <v>Si</v>
      </c>
      <c r="AN98" s="32" t="str">
        <f>IFERROR(__xludf.DUMMYFUNCTION("""COMPUTED_VALUE"""),"Si")</f>
        <v>Si</v>
      </c>
      <c r="AO98" s="32" t="str">
        <f>IFERROR(__xludf.DUMMYFUNCTION("""COMPUTED_VALUE"""),"No")</f>
        <v>No</v>
      </c>
      <c r="AP98" s="32" t="str">
        <f>IFERROR(__xludf.DUMMYFUNCTION("""COMPUTED_VALUE"""),"No aplica")</f>
        <v>No aplica</v>
      </c>
      <c r="AQ98" s="32" t="str">
        <f>IFERROR(__xludf.DUMMYFUNCTION("""COMPUTED_VALUE"""),"No aplica")</f>
        <v>No aplica</v>
      </c>
      <c r="AR98" s="32" t="str">
        <f>IFERROR(__xludf.DUMMYFUNCTION("""COMPUTED_VALUE"""),"No aplica")</f>
        <v>No aplica</v>
      </c>
      <c r="AS98" s="150" t="str">
        <f>IFERROR(__xludf.DUMMYFUNCTION("""COMPUTED_VALUE"""),"Recomendaciones:
*Fortalecer la descripción del riesgo conforme a la metodología propuesta en la Guía para la Administración del Riesgo y el diseño de controles en entidades públicas Versión 4 de 2018, que propone los elementos que debe contemplar el dise"&amp;"ño del control relacionados con los riesgos de corrupción:
ACCIÓN U OMISIÓN + USO DEL PODER + DESVIACIÓN DE LA GESTIÓN DE LO PÚBLICO + EL BENEFICIO PRIVADO.
*Fortalecer la descripción de los controles conforme a la metodología propuesta en la Guía para l"&amp;"a Administración del Riesgo y el diseño de controles en entidades públicas Versión 4 de 2018, que propone los elementos que debe contemplar el diseño del control relacionados con los riesgos de corrupción:
-Debe tener definido el responsable (cargo) de ll"&amp;"evar a cabo la actividad de control.
-Debe tener una periodicidad definida para su ejecución.
-Debe indicar cuál es el propósito del control.
-Debe establecer el cómo se realiza la actividad de control.
-Debe indicar qué pasa con las observaciones o desvi"&amp;"aciones resultantes de ejecutar el control
-Debe dejar evidencia de la ejecución del control.
*Garantizar el reporte de los soportes que evidencien las acciones asociadas al tratamiento.
")</f>
        <v>Recomendaciones:
*Fortalecer la descripción del riesgo conforme a la metodología propuesta en la Guía para la Administración del Riesgo y el diseño de controles en entidades públicas Versión 4 de 2018, que propone los elementos que debe contemplar el diseño del control relacionados con los riesgos de corrupción:
ACCIÓN U OMISIÓN + USO DEL PODER + DESVIACIÓN DE LA GESTIÓN DE LO PÚBLICO + EL BENEFICIO PRIVADO.
*Fortalecer la descripción de los controles conforme a la metodología propuesta en la Guía para la Administración del Riesgo y el diseño de controles en entidades públicas Versión 4 de 2018, que propone los elementos que debe contemplar el diseño del control relacionados con los riesgos de corrupción:
-Debe tener definido el responsable (cargo) de llevar a cabo la actividad de control.
-Debe tener una periodicidad definida para su ejecución.
-Debe indicar cuál es el propósito del control.
-Debe establecer el cómo se realiza la actividad de control.
-Debe indicar qué pasa con las observaciones o desviaciones resultantes de ejecutar el control
-Debe dejar evidencia de la ejecución del control.
*Garantizar el reporte de los soportes que evidencien las acciones asociadas al tratamiento.
</v>
      </c>
      <c r="AT98" s="139"/>
    </row>
    <row r="99">
      <c r="A99" s="86"/>
      <c r="B99" s="73"/>
      <c r="C99" s="73"/>
      <c r="D99" s="156"/>
      <c r="E99" s="156"/>
      <c r="F99" s="156"/>
      <c r="G99" s="156"/>
      <c r="H99" s="156"/>
      <c r="I99" s="156"/>
      <c r="J99" s="156"/>
      <c r="K99" s="156"/>
      <c r="L99" s="156"/>
      <c r="M99" s="156"/>
      <c r="N99" s="156"/>
      <c r="O99" s="156"/>
      <c r="P99" s="156"/>
      <c r="Q99" s="157"/>
      <c r="R99" s="158" t="str">
        <f>IFERROR(__xludf.DUMMYFUNCTION("""COMPUTED_VALUE"""),"Implementar matriz de seguimiento de faltantes y sobrantes")</f>
        <v>Implementar matriz de seguimiento de faltantes y sobrantes</v>
      </c>
      <c r="S99" s="159" t="str">
        <f>IFERROR(__xludf.DUMMYFUNCTION("""COMPUTED_VALUE"""),"continuo")</f>
        <v>continuo</v>
      </c>
      <c r="T99" s="170" t="str">
        <f>IFERROR(__xludf.DUMMYFUNCTION("""COMPUTED_VALUE"""),"Jefe de Almacén")</f>
        <v>Jefe de Almacén</v>
      </c>
      <c r="U99" s="170" t="str">
        <f>IFERROR(__xludf.DUMMYFUNCTION("""COMPUTED_VALUE"""),"Documento - Matriz ")</f>
        <v>Documento - Matriz </v>
      </c>
      <c r="V99" s="94"/>
      <c r="W99" s="94"/>
      <c r="X99" s="94"/>
      <c r="Y99" s="94"/>
      <c r="Z99" s="150" t="str">
        <f>IFERROR(__xludf.DUMMYFUNCTION("""COMPUTED_VALUE"""),"30 de agosto")</f>
        <v>30 de agosto</v>
      </c>
      <c r="AA99" s="151">
        <f>IFERROR(__xludf.DUMMYFUNCTION("""COMPUTED_VALUE"""),45898.0)</f>
        <v>45898</v>
      </c>
      <c r="AB99" s="150" t="str">
        <f>IFERROR(__xludf.DUMMYFUNCTION("""COMPUTED_VALUE"""),"
Durante el período de monitoreo NO se materializó el riesgo.
Acciones asociadas a la aplicación de controles del riesgos:
1. Mediante el boletín interno de fecha 24 de junio 2025 titulado “Bienes Públicos: Responsabilidad de Cada Uno”, la Universidad d"&amp;"e los Llanos recuerda a todos los servidores, contratistas y colaboradores el deber institucional y legal de administrar, proteger y salvaguardar los bienes de propiedad de la institución. Dichos elementos, asignados bajo custodia, constituyen recursos es"&amp;"enciales para el desarrollo eficiente y eficaz de las actividades misionales de la Universidad.
Responsabilidades de los Funcionarios
Cada responsable de inventario debe:
• Coordinar oportunamente la toma física de bienes, en cumplimiento del cronograma"&amp;" establecido.
• Facilitar el acceso a los activos asignados.
• Garantizar el uso adecuado de los elementos bajo su responsabilidad.
Consecuencias de la Inobservancia
Se advierte que la inobservancia o incumplimiento de este procedimiento podrá generar c"&amp;"onsecuencias de tipo disciplinario o fiscal, conforme a la normatividad vigente, toda vez que se trata de un deber legal enmarcado en el ejercicio de la función pública.
Este sustento busca sensibilizar a la comunidad universitaria, fortalecer la concienc"&amp;"ia sobre el manejo responsable de los recursos públicos y reforzar la observancia de los principios éticos que rigen la gestión administrativa.
Sustento Normativo y Procedimental
El boletín se encuentra sustentado en:
• El marco normativo vigente aplic"&amp;"able a la administración de bienes públicos.
• Los procedimientos internos de almacén, que definen las responsabilidades de custodia, control y registro de inventarios.
• Este sustento busca sensibilizar a la comunidad universitaria, fortalecer la concien"&amp;"cia sobre el manejo responsable de los recursos públicos y reforzar la observancia de los principios éticos que rigen la gestión administrativa.
2. Con el propósito de garantizar una gestión eficiente, transparente y responsable de los bienes públicos, l"&amp;"a Universidad de los Llanos avanza en la actualización y optimización permanente del Cronograma de Inventarios, concebido como una herramienta estratégica para la administración patrimonial. Este instrumento permite consolidar la información relevante de "&amp;"manera organizada, facilita el seguimiento detallado de las posibles inconsistencias y asegura la integración sistemática de las Actas y Memorandos relacionados con faltantes y sobrantes. Asimismo, como mecanismo de mejora continua y de autocontrol instit"&amp;"ucional, se implementa un monitoreo semanal, lo cual fortalece la trazabilidad de los procesos y contribuye a la toma de decisiones oportunas en materia de control y custodia de los activos. 
3. En articulación con el área de Comunicaciones, se ha divulg"&amp;"ado un video institucional de carácter informativo dirigido a todos los funcionarios, especialmente a aquellos que tienen bajo su responsabilidad bienes inventariados. El objetivo central de esta estrategia es promover el reintegro de elementos en desuso,"&amp;" inservibles u obsoletos antes del 31 de agosto de 2025, con el fin de liberar las áreas de trabajo de material no funcional y, en consecuencia, permitir la actualización y depuración de los inventarios institucionales. 
Es pertinente resaltar el comprom"&amp;"iso y la disposición manifestada por la comunidad universitaria en el cumplimiento de esta directriz, mediante la entrega formal de los elementos acompañados de sus respectivos memorandos y conceptos técnicos. Dichos documentos constituyen soporte indispe"&amp;"nsable para la presentación de los casos ante el Comité de Inventarios y Bajas, instancia que será la encargada de definir la disposición final de los bienes conforme a la normatividad vigente y a los principios de transparencia y responsabilidad en la ge"&amp;"stión del patrimonio público. 
                                                                                                                                                                                                                             Sus"&amp;"tento Normativo y Procedimental
El boletín se encuentra sustentado en:
•        El marco normativo vigente aplicable a la administración de bienes públicos.
•        Los procedimientos internos de almacén, que definen las responsabilidades de custodia, "&amp;"control y registro de inventarios.
•        Este sustento busca sensibilizar a la comunidad universitaria, fortalecer la conciencia sobre el manejo responsable de los recursos públicos y reforzar la observancia de los principios éticos que rigen la gestió"&amp;"n administrativa.
2. Con el prop"&amp;"ósito de garantizar una gestión eficiente, transparente y responsable de los bienes públicos, la Universidad de los Llanos avanza en la actualización y optimización permanente del Cronograma de Inventarios, concebido como una herramienta estratégica para "&amp;"la administración patrimonial. Este instrumento permite consolidar la información relevante de manera organizada, facilita el seguimiento detallado de las posibles inconsistencias y asegura la integración sistemática de las Actas y Memorandos relacionados"&amp;" con faltantes y sobrantes. Asimismo, como mecanismo de mejora continua y de autocontrol institucional, se implementa un monitoreo semanal, lo cual fortalece la trazabilidad de los procesos y contribuye a la toma de decisiones oportunas en materia de cont"&amp;"rol y custodia de los activos.
3. En articulación con el área de Comunicaciones, se ha divulgado un video institucional de carácter informativo dirigido a todos los funcionarios, especialmente a aquellos que tienen bajo su responsabilidad bienes inventar"&amp;"iados. El objetivo central de esta estrategia es promover el reintegro de elementos en desuso, inservibles u obsoletos antes del 31 de agosto de 2025, con el fin de liberar las áreas de trabajo de material no funcional y, en consecuencia, permitir la actu"&amp;"alización y depuración de los inventarios institucionales.
Es pertinente resaltar el compromiso y la disposición manifestada por la comunidad universitaria en el cumplimiento de esta directriz, mediante la entrega formal de los elementos acompañados de s"&amp;"us respectivos memorandos y conceptos técnicos. Dichos documentos constituyen soporte indispensable para la presentación de los casos ante el Comité de Inventarios y Bajas, instancia que será la encargada de definir la disposición final de los bienes conf"&amp;"orme a la normatividad vigente y a los principios de transparencia y responsabilidad en la gestión del patrimonio público.
                                                                                                                                    "&amp;"                                                                                                                                                                                                                                                               "&amp;"                                                                     ")</f>
        <v>
Durante el período de monitoreo NO se materializó el riesgo.
Acciones asociadas a la aplicación de controles del riesgos:
1. Mediante el boletín interno de fecha 24 de junio 2025 titulado “Bienes Públicos: Responsabilidad de Cada Uno”, la Universidad de los Llanos recuerda a todos los servidores, contratistas y colaboradores el deber institucional y legal de administrar, proteger y salvaguardar los bienes de propiedad de la institución. Dichos elementos, asignados bajo custodia, constituyen recursos esenciales para el desarrollo eficiente y eficaz de las actividades misionales de la Universidad.
Responsabilidades de los Funcionarios
Cada responsable de inventario debe:
• Coordinar oportunamente la toma física de bienes, en cumplimiento del cronograma establecido.
• Facilitar el acceso a los activos asignados.
• Garantizar el uso adecuado de los elementos bajo su responsabilidad.
Consecuencias de la Inobservancia
Se advierte que la inobservancia o incumplimiento de este procedimiento podrá generar consecuencias de tipo disciplinario o fiscal, conforme a la normatividad vigente, toda vez que se trata de un deber legal enmarcado en el ejercicio de la función pública.
Este sustento busca sensibilizar a la comunidad universitaria, fortalecer la conciencia sobre el manejo responsable de los recursos públicos y reforzar la observancia de los principios éticos que rigen la gestión administrativa.
Sustento Normativo y Procedimental
El boletín se encuentra sustentado en:
• El marco normativo vigente aplicable a la administración de bienes públicos.
• Los procedimientos internos de almacén, que definen las responsabilidades de custodia, control y registro de inventarios.
• Este sustento busca sensibilizar a la comunidad universitaria, fortalecer la conciencia sobre el manejo responsable de los recursos públicos y reforzar la observancia de los principios éticos que rigen la gestión administrativa.
2. Con el propósito de garantizar una gestión eficiente, transparente y responsable de los bienes públicos, la Universidad de los Llanos avanza en la actualización y optimización permanente del Cronograma de Inventarios, concebido como una herramienta estratégica para la administración patrimonial. Este instrumento permite consolidar la información relevante de manera organizada, facilita el seguimiento detallado de las posibles inconsistencias y asegura la integración sistemática de las Actas y Memorandos relacionados con faltantes y sobrantes. Asimismo, como mecanismo de mejora continua y de autocontrol institucional, se implementa un monitoreo semanal, lo cual fortalece la trazabilidad de los procesos y contribuye a la toma de decisiones oportunas en materia de control y custodia de los activos. 
3. En articulación con el área de Comunicaciones, se ha divulgado un video institucional de carácter informativo dirigido a todos los funcionarios, especialmente a aquellos que tienen bajo su responsabilidad bienes inventariados. El objetivo central de esta estrategia es promover el reintegro de elementos en desuso, inservibles u obsoletos antes del 31 de agosto de 2025, con el fin de liberar las áreas de trabajo de material no funcional y, en consecuencia, permitir la actualización y depuración de los inventarios institucionales. 
Es pertinente resaltar el compromiso y la disposición manifestada por la comunidad universitaria en el cumplimiento de esta directriz, mediante la entrega formal de los elementos acompañados de sus respectivos memorandos y conceptos técnicos. Dichos documentos constituyen soporte indispensable para la presentación de los casos ante el Comité de Inventarios y Bajas, instancia que será la encargada de definir la disposición final de los bienes conforme a la normatividad vigente y a los principios de transparencia y responsabilidad en la gestión del patrimonio público. 
                                                                                                                                                                                                                             Sustento Normativo y Procedimental
El boletín se encuentra sustentado en:
•        El marco normativo vigente aplicable a la administración de bienes públicos.
•        Los procedimientos internos de almacén, que definen las responsabilidades de custodia, control y registro de inventarios.
•        Este sustento busca sensibilizar a la comunidad universitaria, fortalecer la conciencia sobre el manejo responsable de los recursos públicos y reforzar la observancia de los principios éticos que rigen la gestión administrativa.
2. Con el propósito de garantizar una gestión eficiente, transparente y responsable de los bienes públicos, la Universidad de los Llanos avanza en la actualización y optimización permanente del Cronograma de Inventarios, concebido como una herramienta estratégica para la administración patrimonial. Este instrumento permite consolidar la información relevante de manera organizada, facilita el seguimiento detallado de las posibles inconsistencias y asegura la integración sistemática de las Actas y Memorandos relacionados con faltantes y sobrantes. Asimismo, como mecanismo de mejora continua y de autocontrol institucional, se implementa un monitoreo semanal, lo cual fortalece la trazabilidad de los procesos y contribuye a la toma de decisiones oportunas en materia de control y custodia de los activos.
3. En articulación con el área de Comunicaciones, se ha divulgado un video institucional de carácter informativo dirigido a todos los funcionarios, especialmente a aquellos que tienen bajo su responsabilidad bienes inventariados. El objetivo central de esta estrategia es promover el reintegro de elementos en desuso, inservibles u obsoletos antes del 31 de agosto de 2025, con el fin de liberar las áreas de trabajo de material no funcional y, en consecuencia, permitir la actualización y depuración de los inventarios institucionales.
Es pertinente resaltar el compromiso y la disposición manifestada por la comunidad universitaria en el cumplimiento de esta directriz, mediante la entrega formal de los elementos acompañados de sus respectivos memorandos y conceptos técnicos. Dichos documentos constituyen soporte indispensable para la presentación de los casos ante el Comité de Inventarios y Bajas, instancia que será la encargada de definir la disposición final de los bienes conforme a la normatividad vigente y a los principios de transparencia y responsabilidad en la gestión del patrimonio público.
                                                                                                                                                                                                                                                                                                                                                                                                                                                                        </v>
      </c>
      <c r="AC99" s="152" t="str">
        <f>IFERROR(__xludf.DUMMYFUNCTION("""COMPUTED_VALUE"""),"Jefe de Almacen ")</f>
        <v>Jefe de Almacen </v>
      </c>
      <c r="AD99" s="153" t="str">
        <f>IFERROR(__xludf.DUMMYFUNCTION("""COMPUTED_VALUE"""),"Evidencia")</f>
        <v>Evidencia</v>
      </c>
      <c r="AE99" s="150" t="str">
        <f>IFERROR(__xludf.DUMMYFUNCTION("""COMPUTED_VALUE"""),"Si")</f>
        <v>Si</v>
      </c>
      <c r="AF99" s="152" t="str">
        <f>IFERROR(__xludf.DUMMYFUNCTION("""COMPUTED_VALUE"""),"En proceso")</f>
        <v>En proceso</v>
      </c>
      <c r="AG99" s="32" t="str">
        <f>IFERROR(__xludf.DUMMYFUNCTION("""COMPUTED_VALUE"""),"Durante este monitoreo se reporta que no se materializó el riesgo.
Sobre los controles:
c1 Sensibilización al personal sobre el buen uso y custodia de los bienes públicos:
Avance: Se verificó que la Oficina de Almacén mantuvo la sensibilización a la com"&amp;"unidad universitaria mediante el boletín interno del 24 de junio de 2025 titulado “Bienes Públicos: Responsabilidad de Cada Uno”, y mediante el envío de correo institucional a todos los funcionarios. Dichas acciones reforzaron la conciencia sobre la respo"&amp;"nsabilidad legal y ética en la administración de los bienes públicos.
c2 Verificación de inventarios conforme al procedimiento PD-GBS-10:
Avance: Se constató que el personal de almacén mantuvo las verificaciones de inventario de acuerdo con el procedimie"&amp;"nto interno, con soporte en el cronograma de inventarios 2025.
c3 Cronograma anual de inventarios:
Avance: Se confirmó que la Oficina de Almacén mantuvo actualizado el cronograma de inventarios para la vigencia 2025, incluyendo el 100% de responsables, c"&amp;"on el fin de detectar faltantes y sobrantes.
c4 Seguimiento a los compromisos derivados de inventarios:
Avance: Se evidenció que el personal de almacén mantuvo el seguimiento permanente a los compromisos establecidos en actas y memorandos, asegurando la "&amp;"trazabilidad de las acciones derivadas de la verificación de inventarios.
c5 Reposición o compensación de faltantes:
Avance: Se verificó que los responsables de inventarios contaron con la posibilidad de efectuar reposición o compensación en caso de falt"&amp;"antes, dejando registro en actas, conforme a lo previsto en la normativa interna.
Sobre las acciones de tratamiento:
Acción 1 – Boletines de sensibilización (cuatrimestral):
Se comprobó la emisión del boletín institucional “Bienes Públicos: Responsabili"&amp;"dad de Cada Uno” (24/06/2025), el cual recuerda a los funcionarios sus deberes en la custodia y buen uso de los bienes, constituyendo evidencia de cumplimiento de la acción definida.
Acción 2 – Implementación de matriz de seguimiento de faltantes y sobra"&amp;"ntes (continuo):
Se verificó el avance mediante la actualización del cronograma de inventarios 2025 y la integración de actas, memorandos y registros de reintegro de bienes obsoletos, soportados en las evidencias presentadas por el proceso (documento de c"&amp;"ronograma, video institucional “Bienes Obsoletos” y soportes de entregas).")</f>
        <v>Durante este monitoreo se reporta que no se materializó el riesgo.
Sobre los controles:
c1 Sensibilización al personal sobre el buen uso y custodia de los bienes públicos:
Avance: Se verificó que la Oficina de Almacén mantuvo la sensibilización a la comunidad universitaria mediante el boletín interno del 24 de junio de 2025 titulado “Bienes Públicos: Responsabilidad de Cada Uno”, y mediante el envío de correo institucional a todos los funcionarios. Dichas acciones reforzaron la conciencia sobre la responsabilidad legal y ética en la administración de los bienes públicos.
c2 Verificación de inventarios conforme al procedimiento PD-GBS-10:
Avance: Se constató que el personal de almacén mantuvo las verificaciones de inventario de acuerdo con el procedimiento interno, con soporte en el cronograma de inventarios 2025.
c3 Cronograma anual de inventarios:
Avance: Se confirmó que la Oficina de Almacén mantuvo actualizado el cronograma de inventarios para la vigencia 2025, incluyendo el 100% de responsables, con el fin de detectar faltantes y sobrantes.
c4 Seguimiento a los compromisos derivados de inventarios:
Avance: Se evidenció que el personal de almacén mantuvo el seguimiento permanente a los compromisos establecidos en actas y memorandos, asegurando la trazabilidad de las acciones derivadas de la verificación de inventarios.
c5 Reposición o compensación de faltantes:
Avance: Se verificó que los responsables de inventarios contaron con la posibilidad de efectuar reposición o compensación en caso de faltantes, dejando registro en actas, conforme a lo previsto en la normativa interna.
Sobre las acciones de tratamiento:
Acción 1 – Boletines de sensibilización (cuatrimestral):
Se comprobó la emisión del boletín institucional “Bienes Públicos: Responsabilidad de Cada Uno” (24/06/2025), el cual recuerda a los funcionarios sus deberes en la custodia y buen uso de los bienes, constituyendo evidencia de cumplimiento de la acción definida.
Acción 2 – Implementación de matriz de seguimiento de faltantes y sobrantes (continuo):
Se verificó el avance mediante la actualización del cronograma de inventarios 2025 y la integración de actas, memorandos y registros de reintegro de bienes obsoletos, soportados en las evidencias presentadas por el proceso (documento de cronograma, video institucional “Bienes Obsoletos” y soportes de entregas).</v>
      </c>
      <c r="AH99" s="150" t="str">
        <f>IFERROR(__xludf.DUMMYFUNCTION("""COMPUTED_VALUE"""),"31 de agosto")</f>
        <v>31 de agosto</v>
      </c>
      <c r="AI99" s="32" t="str">
        <f>IFERROR(__xludf.DUMMYFUNCTION("""COMPUTED_VALUE"""),"Si")</f>
        <v>Si</v>
      </c>
      <c r="AJ99" s="32" t="str">
        <f>IFERROR(__xludf.DUMMYFUNCTION("""COMPUTED_VALUE"""),"Si")</f>
        <v>Si</v>
      </c>
      <c r="AK99" s="32" t="str">
        <f>IFERROR(__xludf.DUMMYFUNCTION("""COMPUTED_VALUE"""),"Si")</f>
        <v>Si</v>
      </c>
      <c r="AL99" s="32" t="str">
        <f>IFERROR(__xludf.DUMMYFUNCTION("""COMPUTED_VALUE"""),"Si")</f>
        <v>Si</v>
      </c>
      <c r="AM99" s="32" t="str">
        <f>IFERROR(__xludf.DUMMYFUNCTION("""COMPUTED_VALUE"""),"Si")</f>
        <v>Si</v>
      </c>
      <c r="AN99" s="32" t="str">
        <f>IFERROR(__xludf.DUMMYFUNCTION("""COMPUTED_VALUE"""),"Si")</f>
        <v>Si</v>
      </c>
      <c r="AO99" s="32" t="str">
        <f>IFERROR(__xludf.DUMMYFUNCTION("""COMPUTED_VALUE"""),"No")</f>
        <v>No</v>
      </c>
      <c r="AP99" s="32" t="str">
        <f>IFERROR(__xludf.DUMMYFUNCTION("""COMPUTED_VALUE"""),"No aplica")</f>
        <v>No aplica</v>
      </c>
      <c r="AQ99" s="32" t="str">
        <f>IFERROR(__xludf.DUMMYFUNCTION("""COMPUTED_VALUE"""),"No aplica")</f>
        <v>No aplica</v>
      </c>
      <c r="AR99" s="32" t="str">
        <f>IFERROR(__xludf.DUMMYFUNCTION("""COMPUTED_VALUE"""),"No aplica")</f>
        <v>No aplica</v>
      </c>
      <c r="AS99" s="150" t="str">
        <f>IFERROR(__xludf.DUMMYFUNCTION("""COMPUTED_VALUE"""),"Se reiteran y complementan las recomendaciones generadas en la evaluación del primer cuatrimestre:
*Fortalecer la descripción del riesgo conforme a la metodología propuesta en la Guía para la Administración del Riesgo y el diseño de controles en entidades"&amp;" públicas Versión 4 de 2018, que propone los elementos que debe contemplar el diseño del control relacionados con los riesgos de corrupción:
ACCIÓN U OMISIÓN + USO DEL PODER + DESVIACIÓN DE LA GESTIÓN DE LO PÚBLICO + EL BENEFICIO PRIVADO.
*Fortalecer la "&amp;"descripción de los controles conforme a la metodología propuesta en la Guía para la Administración del Riesgo y el diseño de controles en entidades públicas Versión 4 de 2018, que propone los elementos que debe contemplar el diseño del control relacionado"&amp;"s con los riesgos de corrupción:
-Debe tener definido el responsable (cargo) de llevar a cabo la actividad de control.
-Debe tener una periodicidad definida para su ejecución.
-Debe indicar cuál es el propósito del control.
-Debe establecer el cómo se rea"&amp;"liza la actividad de control.
-Debe indicar qué pasa con las observaciones o desviaciones resultantes de ejecutar el control
-Debe dejar evidencia de la ejecución del control.
*Garantizar el reporte de los soportes que evidencien las acciones asociadas al"&amp;" tratamiento.
*El proceso debe reevaluar la opción de manejo del riesgo toda vez que la acción de Evitar se refiere según la metodología del DFP, a no asumir la actividad que genera el riesgo.")</f>
        <v>Se reiteran y complementan las recomendaciones generadas en la evaluación del primer cuatrimestre:
*Fortalecer la descripción del riesgo conforme a la metodología propuesta en la Guía para la Administración del Riesgo y el diseño de controles en entidades públicas Versión 4 de 2018, que propone los elementos que debe contemplar el diseño del control relacionados con los riesgos de corrupción:
ACCIÓN U OMISIÓN + USO DEL PODER + DESVIACIÓN DE LA GESTIÓN DE LO PÚBLICO + EL BENEFICIO PRIVADO.
*Fortalecer la descripción de los controles conforme a la metodología propuesta en la Guía para la Administración del Riesgo y el diseño de controles en entidades públicas Versión 4 de 2018, que propone los elementos que debe contemplar el diseño del control relacionados con los riesgos de corrupción:
-Debe tener definido el responsable (cargo) de llevar a cabo la actividad de control.
-Debe tener una periodicidad definida para su ejecución.
-Debe indicar cuál es el propósito del control.
-Debe establecer el cómo se realiza la actividad de control.
-Debe indicar qué pasa con las observaciones o desviaciones resultantes de ejecutar el control
-Debe dejar evidencia de la ejecución del control.
*Garantizar el reporte de los soportes que evidencien las acciones asociadas al tratamiento.
*El proceso debe reevaluar la opción de manejo del riesgo toda vez que la acción de Evitar se refiere según la metodología del DFP, a no asumir la actividad que genera el riesgo.</v>
      </c>
      <c r="AT99" s="139"/>
    </row>
    <row r="100">
      <c r="A100" s="86"/>
      <c r="B100" s="38"/>
      <c r="C100" s="38"/>
      <c r="D100" s="119"/>
      <c r="E100" s="119"/>
      <c r="F100" s="119"/>
      <c r="G100" s="119"/>
      <c r="H100" s="119"/>
      <c r="I100" s="119"/>
      <c r="J100" s="119"/>
      <c r="K100" s="119"/>
      <c r="L100" s="119"/>
      <c r="M100" s="119"/>
      <c r="N100" s="119"/>
      <c r="O100" s="119"/>
      <c r="P100" s="119"/>
      <c r="Q100" s="162"/>
      <c r="R100" s="163" t="str">
        <f>IFERROR(__xludf.DUMMYFUNCTION("""COMPUTED_VALUE"""),"")</f>
        <v/>
      </c>
      <c r="S100" s="164" t="str">
        <f>IFERROR(__xludf.DUMMYFUNCTION("""COMPUTED_VALUE"""),"")</f>
        <v/>
      </c>
      <c r="T100" s="176"/>
      <c r="U100" s="176"/>
      <c r="V100" s="98"/>
      <c r="W100" s="98"/>
      <c r="X100" s="98"/>
      <c r="Y100" s="98"/>
      <c r="Z100" s="150" t="str">
        <f>IFERROR(__xludf.DUMMYFUNCTION("""COMPUTED_VALUE"""),"30 de diciembre")</f>
        <v>30 de diciembre</v>
      </c>
      <c r="AA100" s="32"/>
      <c r="AB100" s="150" t="str">
        <f>IFERROR(__xludf.DUMMYFUNCTION("""COMPUTED_VALUE"""),"Durante el período de monitoreo NO se materializó el riesgo identificado.
Acciones de control aplicadas:
Recordatorio institucional sobre el manejo de bienes públicos:
Mediante un boletín interno del 3 de diciembre de 2025, la Universidad de los Llanos"&amp;" reiteró a servidores, contratistas y colaboradores la responsabilidad legal e institucional de proteger y administrar adecuadamente los bienes bajo su custodia.
Se advirtió que el incumplimiento de este deber puede generar consecuencias disciplinarias o"&amp;" fiscales, reforzando la importancia del manejo responsable de los recursos públicos.
Optimización del Cronograma de Inventarios:
La Universidad continúa mejorando y actualizando esta herramienta para fortalecer la administración patrimonial.
El cronog"&amp;"rama permite organizar información, hacer seguimiento a inconsistencias y gestionar actas y memorandos de faltantes o sobrantes.
Se implementó un monitoreo semanal, lo que facilita la trazabilidad y la toma de decisiones oportunas sobre los activos.
La "&amp;"comunidad universitaria ha mostrado compromiso entregando los bienes con sus soportes técnicos y administrativos, que sirven como base para las decisiones del Comité de Inventarios y Bajas sobre la disposición final de los elementos.
La informacion sumin"&amp;"istrada se da a corte 5 de diciembre de 2025
")</f>
        <v>Durante el período de monitoreo NO se materializó el riesgo identificado.
Acciones de control aplicadas:
Recordatorio institucional sobre el manejo de bienes públicos:
Mediante un boletín interno del 3 de diciembre de 2025, la Universidad de los Llanos reiteró a servidores, contratistas y colaboradores la responsabilidad legal e institucional de proteger y administrar adecuadamente los bienes bajo su custodia.
Se advirtió que el incumplimiento de este deber puede generar consecuencias disciplinarias o fiscales, reforzando la importancia del manejo responsable de los recursos públicos.
Optimización del Cronograma de Inventarios:
La Universidad continúa mejorando y actualizando esta herramienta para fortalecer la administración patrimonial.
El cronograma permite organizar información, hacer seguimiento a inconsistencias y gestionar actas y memorandos de faltantes o sobrantes.
Se implementó un monitoreo semanal, lo que facilita la trazabilidad y la toma de decisiones oportunas sobre los activos.
La comunidad universitaria ha mostrado compromiso entregando los bienes con sus soportes técnicos y administrativos, que sirven como base para las decisiones del Comité de Inventarios y Bajas sobre la disposición final de los elementos.
La informacion suministrada se da a corte 5 de diciembre de 2025
</v>
      </c>
      <c r="AC100" s="152" t="str">
        <f>IFERROR(__xludf.DUMMYFUNCTION("""COMPUTED_VALUE"""),"Jefe de Almacen ")</f>
        <v>Jefe de Almacen </v>
      </c>
      <c r="AD100" s="153" t="str">
        <f>IFERROR(__xludf.DUMMYFUNCTION("""COMPUTED_VALUE"""),"Evidencia")</f>
        <v>Evidencia</v>
      </c>
      <c r="AE100" s="150" t="str">
        <f>IFERROR(__xludf.DUMMYFUNCTION("""COMPUTED_VALUE"""),"Si")</f>
        <v>Si</v>
      </c>
      <c r="AF100" s="152" t="str">
        <f>IFERROR(__xludf.DUMMYFUNCTION("""COMPUTED_VALUE"""),"Ejecutada")</f>
        <v>Ejecutada</v>
      </c>
      <c r="AG100" s="32" t="str">
        <f>IFERROR(__xludf.DUMMYFUNCTION("""COMPUTED_VALUE"""),"-Durante el presente de monitoreo no se materializó el riesgo.
Aplicación de controles:
-Se verificó la difusión del boletín interno “Bienes Públicos: Responsabilidad de Cada Uno” (24 de junio de 2025), mediante el cual se recordó a funcionarios y contr"&amp;"atistas sus deberes de custodia, uso adecuado y responsabilidad frente a los bienes institucionales, así como las posibles consecuencias disciplinarias y fiscales por su incumplimiento.
-Se constató la actualización y seguimiento permanente del Cronogram"&amp;"a de Inventarios, incluyendo monitoreo semanal, lo cual fortalece la trazabilidad, el control de inconsistencias y la adecuada gestión de actas y memorandos por faltantes o sobrantes.
-En articulación con la Oficina de Comunicaciones, se evidenció la div"&amp;"ulgación de un video institucional orientado a promover el reintegro de bienes en desuso u obsoletos, facilitando la depuración y actualización de los inventarios y el trámite ante el Comité de Inventarios y Bajas.
-Los controles definidos fueron aplicad"&amp;"os y cuentan con soporte verificable, contribuyendo al fortalecimiento de la gestión patrimonial y al manejo responsable de los bienes públicos.")</f>
        <v>-Durante el presente de monitoreo no se materializó el riesgo.
Aplicación de controles:
-Se verificó la difusión del boletín interno “Bienes Públicos: Responsabilidad de Cada Uno” (24 de junio de 2025), mediante el cual se recordó a funcionarios y contratistas sus deberes de custodia, uso adecuado y responsabilidad frente a los bienes institucionales, así como las posibles consecuencias disciplinarias y fiscales por su incumplimiento.
-Se constató la actualización y seguimiento permanente del Cronograma de Inventarios, incluyendo monitoreo semanal, lo cual fortalece la trazabilidad, el control de inconsistencias y la adecuada gestión de actas y memorandos por faltantes o sobrantes.
-En articulación con la Oficina de Comunicaciones, se evidenció la divulgación de un video institucional orientado a promover el reintegro de bienes en desuso u obsoletos, facilitando la depuración y actualización de los inventarios y el trámite ante el Comité de Inventarios y Bajas.
-Los controles definidos fueron aplicados y cuentan con soporte verificable, contribuyendo al fortalecimiento de la gestión patrimonial y al manejo responsable de los bienes públicos.</v>
      </c>
      <c r="AH100" s="150" t="str">
        <f>IFERROR(__xludf.DUMMYFUNCTION("""COMPUTED_VALUE"""),"31 de diciembre")</f>
        <v>31 de diciembre</v>
      </c>
      <c r="AI100" s="32" t="str">
        <f>IFERROR(__xludf.DUMMYFUNCTION("""COMPUTED_VALUE"""),"Si")</f>
        <v>Si</v>
      </c>
      <c r="AJ100" s="32" t="str">
        <f>IFERROR(__xludf.DUMMYFUNCTION("""COMPUTED_VALUE"""),"Si")</f>
        <v>Si</v>
      </c>
      <c r="AK100" s="32" t="str">
        <f>IFERROR(__xludf.DUMMYFUNCTION("""COMPUTED_VALUE"""),"Si")</f>
        <v>Si</v>
      </c>
      <c r="AL100" s="32" t="str">
        <f>IFERROR(__xludf.DUMMYFUNCTION("""COMPUTED_VALUE"""),"Si")</f>
        <v>Si</v>
      </c>
      <c r="AM100" s="32" t="str">
        <f>IFERROR(__xludf.DUMMYFUNCTION("""COMPUTED_VALUE"""),"Si")</f>
        <v>Si</v>
      </c>
      <c r="AN100" s="32" t="str">
        <f>IFERROR(__xludf.DUMMYFUNCTION("""COMPUTED_VALUE"""),"Si")</f>
        <v>Si</v>
      </c>
      <c r="AO100" s="32" t="str">
        <f>IFERROR(__xludf.DUMMYFUNCTION("""COMPUTED_VALUE"""),"No")</f>
        <v>No</v>
      </c>
      <c r="AP100" s="32" t="str">
        <f>IFERROR(__xludf.DUMMYFUNCTION("""COMPUTED_VALUE"""),"No aplica")</f>
        <v>No aplica</v>
      </c>
      <c r="AQ100" s="32" t="str">
        <f>IFERROR(__xludf.DUMMYFUNCTION("""COMPUTED_VALUE"""),"No aplica")</f>
        <v>No aplica</v>
      </c>
      <c r="AR100" s="32" t="str">
        <f>IFERROR(__xludf.DUMMYFUNCTION("""COMPUTED_VALUE"""),"No aplica")</f>
        <v>No aplica</v>
      </c>
      <c r="AS100" s="150" t="str">
        <f>IFERROR(__xludf.DUMMYFUNCTION("""COMPUTED_VALUE"""),"Se reiteran y complementan las recomendaciones generadas en la evaluación del primer y segundo cuatrimestre:
*Fortalecer la descripción del riesgo conforme a la metodología propuesta en la Guía para la Administración del Riesgo y el diseño de controles en"&amp;" entidades públicas Versión 4 de 2018, que propone los elementos que debe contemplar el diseño del control relacionados con los riesgos de corrupción:
ACCIÓN U OMISIÓN + USO DEL PODER + DESVIACIÓN DE LA GESTIÓN DE LO PÚBLICO + EL BENEFICIO PRIVADO.
*Fort"&amp;"alecer la descripción de los controles conforme a la metodología propuesta en la Guía para la Administración del Riesgo y el diseño de controles en entidades públicas Versión 4 de 2018, que propone los elementos que debe contemplar el diseño del control r"&amp;"elacionados con los riesgos de corrupción:
-Debe tener definido el responsable (cargo) de llevar a cabo la actividad de control.
-Debe tener una periodicidad definida para su ejecución.
-Debe indicar cuál es el propósito del control.
-Debe establecer el c"&amp;"ómo se realiza la actividad de control.
-Debe indicar qué pasa con las observaciones o desviaciones resultantes de ejecutar el control
-Debe dejar evidencia de la ejecución del control.
*Garantizar el reporte de los soportes que evidencien las acciones as"&amp;"ociadas al tratamiento.
*El proceso debe reevaluar la opción de manejo del riesgo toda vez que la acción de Evitar se refiere según la metodología del DFP, a no asumir la actividad que genera el riesgo.")</f>
        <v>Se reiteran y complementan las recomendaciones generadas en la evaluación del primer y segundo cuatrimestre:
*Fortalecer la descripción del riesgo conforme a la metodología propuesta en la Guía para la Administración del Riesgo y el diseño de controles en entidades públicas Versión 4 de 2018, que propone los elementos que debe contemplar el diseño del control relacionados con los riesgos de corrupción:
ACCIÓN U OMISIÓN + USO DEL PODER + DESVIACIÓN DE LA GESTIÓN DE LO PÚBLICO + EL BENEFICIO PRIVADO.
*Fortalecer la descripción de los controles conforme a la metodología propuesta en la Guía para la Administración del Riesgo y el diseño de controles en entidades públicas Versión 4 de 2018, que propone los elementos que debe contemplar el diseño del control relacionados con los riesgos de corrupción:
-Debe tener definido el responsable (cargo) de llevar a cabo la actividad de control.
-Debe tener una periodicidad definida para su ejecución.
-Debe indicar cuál es el propósito del control.
-Debe establecer el cómo se realiza la actividad de control.
-Debe indicar qué pasa con las observaciones o desviaciones resultantes de ejecutar el control
-Debe dejar evidencia de la ejecución del control.
*Garantizar el reporte de los soportes que evidencien las acciones asociadas al tratamiento.
*El proceso debe reevaluar la opción de manejo del riesgo toda vez que la acción de Evitar se refiere según la metodología del DFP, a no asumir la actividad que genera el riesgo.</v>
      </c>
      <c r="AT100" s="139"/>
    </row>
    <row r="101">
      <c r="A101" s="86"/>
      <c r="B101" s="140" t="s">
        <v>228</v>
      </c>
      <c r="C101" s="203" t="str">
        <f>IFERROR(__xludf.DUMMYFUNCTION("IMPORTRANGE(""https://docs.google.com/spreadsheets/d/1ucSF4U7bKeCj6zDg02UMMENInLsAtk28wup8yHpTSss/edit?gid=1191234585#gid=1191234585"",""Matriz_riesgos!C11:AS25"")"),"Ofrecer a la comunidad académica servicios y recursos pertinentes encaminados a fortalecer los procesos de transmisión y apropiación del conocimiento. ")</f>
        <v>Ofrecer a la comunidad académica servicios y recursos pertinentes encaminados a fortalecer los procesos de transmisión y apropiación del conocimiento. </v>
      </c>
      <c r="D101" s="144" t="str">
        <f>IFERROR(__xludf.DUMMYFUNCTION("""COMPUTED_VALUE"""),"Afectación económica por pérdida de recursos bibliográficos debido a ausencia de controles sobre el préstamo y devolución de material bibliográfico")</f>
        <v>Afectación económica por pérdida de recursos bibliográficos debido a ausencia de controles sobre el préstamo y devolución de material bibliográfico</v>
      </c>
      <c r="E101" s="144" t="str">
        <f>IFERROR(__xludf.DUMMYFUNCTION("""COMPUTED_VALUE"""),"Biblioteca")</f>
        <v>Biblioteca</v>
      </c>
      <c r="F101" s="144" t="str">
        <f>IFERROR(__xludf.DUMMYFUNCTION("""COMPUTED_VALUE"""),"Gestión")</f>
        <v>Gestión</v>
      </c>
      <c r="G101" s="144" t="str">
        <f>IFERROR(__xludf.DUMMYFUNCTION("""COMPUTED_VALUE"""),"- Ausencia de controles sobre el préstamo y devolución del material bibliográfico a través del sistema de información")</f>
        <v>- Ausencia de controles sobre el préstamo y devolución del material bibliográfico a través del sistema de información</v>
      </c>
      <c r="H101" s="144" t="str">
        <f>IFERROR(__xludf.DUMMYFUNCTION("""COMPUTED_VALUE"""),"1. Detrimento patrimonial(en caso de compra)
2. Afectación en la prestación del servicio a los usuarios por el material bibliográfico perdido
3. Investigaciones disciplinarias")</f>
        <v>1. Detrimento patrimonial(en caso de compra)
2. Afectación en la prestación del servicio a los usuarios por el material bibliográfico perdido
3. Investigaciones disciplinarias</v>
      </c>
      <c r="I101" s="145" t="str">
        <f>IFERROR(__xludf.DUMMYFUNCTION("""COMPUTED_VALUE"""),"GAA_01")</f>
        <v>GAA_01</v>
      </c>
      <c r="J101" s="145" t="str">
        <f>IFERROR(__xludf.DUMMYFUNCTION("""COMPUTED_VALUE"""),"Media")</f>
        <v>Media</v>
      </c>
      <c r="K101" s="145" t="str">
        <f>IFERROR(__xludf.DUMMYFUNCTION("""COMPUTED_VALUE"""),"Moderado")</f>
        <v>Moderado</v>
      </c>
      <c r="L101" s="145" t="str">
        <f>IFERROR(__xludf.DUMMYFUNCTION("""COMPUTED_VALUE"""),"Alta")</f>
        <v>Alta</v>
      </c>
      <c r="M101" s="144" t="str">
        <f>IFERROR(__xludf.DUMMYFUNCTION("""COMPUTED_VALUE"""),"-  Registro de todos los préstamos y devoluciones en el Sistema de Información
- Envío de correos automáticamente al usuario cuando el préstamo se ha vencido a traves del sistema de información
- Realizar el inventarios de los recursos bibliográficos - Re"&amp;"alización de llamadas a los usuarios que tengan más de 15 días hábiles de mora, y registra en el formato FO-GAA-07 - Reporte anual ante la oficina de Vicerrecursos, sobre el estado físico de las instalaciones de las bibliotecas")</f>
        <v>-  Registro de todos los préstamos y devoluciones en el Sistema de Información
- Envío de correos automáticamente al usuario cuando el préstamo se ha vencido a traves del sistema de información
- Realizar el inventarios de los recursos bibliográficos - Realización de llamadas a los usuarios que tengan más de 15 días hábiles de mora, y registra en el formato FO-GAA-07 - Reporte anual ante la oficina de Vicerrecursos, sobre el estado físico de las instalaciones de las bibliotecas</v>
      </c>
      <c r="N101" s="145" t="str">
        <f>IFERROR(__xludf.DUMMYFUNCTION("""COMPUTED_VALUE"""),"Muy baja")</f>
        <v>Muy baja</v>
      </c>
      <c r="O101" s="145" t="str">
        <f>IFERROR(__xludf.DUMMYFUNCTION("""COMPUTED_VALUE"""),"Moderado")</f>
        <v>Moderado</v>
      </c>
      <c r="P101" s="145" t="str">
        <f>IFERROR(__xludf.DUMMYFUNCTION("""COMPUTED_VALUE"""),"Media")</f>
        <v>Media</v>
      </c>
      <c r="Q101" s="178" t="str">
        <f>IFERROR(__xludf.DUMMYFUNCTION("""COMPUTED_VALUE"""),"Aceptar")</f>
        <v>Aceptar</v>
      </c>
      <c r="R101" s="158" t="str">
        <f>IFERROR(__xludf.DUMMYFUNCTION("""COMPUTED_VALUE"""),"Enviar correos electronicos a los usuarios con solicitud formal de devolucion del recurso bibliografico.")</f>
        <v>Enviar correos electronicos a los usuarios con solicitud formal de devolucion del recurso bibliografico.</v>
      </c>
      <c r="S101" s="159" t="str">
        <f>IFERROR(__xludf.DUMMYFUNCTION("""COMPUTED_VALUE"""),"Semestral")</f>
        <v>Semestral</v>
      </c>
      <c r="T101" s="159" t="str">
        <f>IFERROR(__xludf.DUMMYFUNCTION("""COMPUTED_VALUE"""),"Jefe de biblioteca")</f>
        <v>Jefe de biblioteca</v>
      </c>
      <c r="U101" s="159" t="str">
        <f>IFERROR(__xludf.DUMMYFUNCTION("""COMPUTED_VALUE"""),"Correos electronicos")</f>
        <v>Correos electronicos</v>
      </c>
      <c r="V101" s="167" t="str">
        <f>IFERROR(__xludf.DUMMYFUNCTION("""COMPUTED_VALUE"""),"Bloqueo de matricula por concepto ""perdida de material bibliografico"" en la plataforma SIAU.")</f>
        <v>Bloqueo de matricula por concepto "perdida de material bibliografico" en la plataforma SIAU.</v>
      </c>
      <c r="W101" s="167" t="str">
        <f>IFERROR(__xludf.DUMMYFUNCTION("""COMPUTED_VALUE"""),"Captura de pantalla de la acción realizada para el bloqueo en SIAU.")</f>
        <v>Captura de pantalla de la acción realizada para el bloqueo en SIAU.</v>
      </c>
      <c r="X101" s="169" t="str">
        <f>IFERROR(__xludf.DUMMYFUNCTION("""COMPUTED_VALUE"""),"Jefe de Biblioteca		")</f>
        <v>Jefe de Biblioteca		</v>
      </c>
      <c r="Y101" s="169" t="str">
        <f>IFERROR(__xludf.DUMMYFUNCTION("""COMPUTED_VALUE"""),"semestral")</f>
        <v>semestral</v>
      </c>
      <c r="Z101" s="150" t="str">
        <f>IFERROR(__xludf.DUMMYFUNCTION("""COMPUTED_VALUE"""),"30 de abril")</f>
        <v>30 de abril</v>
      </c>
      <c r="AA101" s="32" t="str">
        <f>IFERROR(__xludf.DUMMYFUNCTION("""COMPUTED_VALUE"""),"04 febrero 2025 al 30 de abril de 2025")</f>
        <v>04 febrero 2025 al 30 de abril de 2025</v>
      </c>
      <c r="AB101" s="150" t="str">
        <f>IFERROR(__xludf.DUMMYFUNCTION("""COMPUTED_VALUE"""),"Durante este primer monitoreo SI se materializó el riesgo. 
Acciones de contingencia para atender la materialización: 
No se realiza acciones dentro del 1 monitoreo ya que, primero se ejercen las activdades asociados a los controles para propender la re"&amp;"cuperacion del recurso Debido a que el reporte es semestral y a corte segundo monitoreo los estudianes aun no han regresado los recursos bibliograficos se procedera a realizar el bloqueo en la plataforma SIAU. Lo cual no permitira al estudiante lo enmarca"&amp;"do en la resoluci'on rectoral 0890 de 2022 en su articulo 12 . Sanciones.
Acciones asociadas al tratamiento: (mencionar que en este reporte no se cuenta y se proyecta para el siguiente).
Debido a que las actividades asociadas a los controles no surgen en"&amp;" primera instancia un efecto positivo se decide realizar las acciones asociadas al tratamiento.
* Se realiza envio de correo electronico a la estudiante Karen Dayana Aguirre Martinez Cod. Estudiante 153004618
* Se realiza envio de correo electronico a la "&amp;"estudiante Karen Dayana Aguirre Martinez Cod. Estudiante 153004618
Actividades asociadas a los controles:
Dentro del 1 corte de monitoreo de riesgos se identifica que se encuentran recursos bibliográficos en mora por devolución; sin embargo, realizando "&amp;"los controles establecidos, se logra la identificación de los usuarios y se ejercen los siguientes Actividades
* Se realizaron llamadas a usuarios que tenían ítems vencidos y se registraron en el formato FO-GAA-07
* Se realizó préstamo y devolución en el"&amp;" módulo de circulación en el sistema KOHA
Finalmente 3 usuarios no cuentan con la devolución del libro.
1 libro Pedro Leonardo Reina Potosi Cod. Estudiante 131105333, se encuentra en proceso de reposición en el cual el estudiante tiene compromiso de devo"&amp;"lución, anotacion creada dentro del perfil del usuario en Koha.
2 libro Karen Dayana Aguirre Martinez Cod. Estudiante 153004618, de acuerdo a llamada telefónica, la estudiante se compromete a realizar la devolución.
3 libro Andrea Lizeth Rojas Porras Cod."&amp;" Estudiante 152304772, no se ha logrado establecer contacto telefónico (materializa el riesgo)
* Durante el primer monitoreo no se realiza avance en Inventario de la bibliografia
* Se realiza copilacion de los libros en demora de devolucion para poder re"&amp;"alizar informe a la oficina de vicerrecursos
")</f>
        <v>Durante este primer monitoreo SI se materializó el riesgo. 
Acciones de contingencia para atender la materialización: 
No se realiza acciones dentro del 1 monitoreo ya que, primero se ejercen las activdades asociados a los controles para propender la recuperacion del recurso Debido a que el reporte es semestral y a corte segundo monitoreo los estudianes aun no han regresado los recursos bibliograficos se procedera a realizar el bloqueo en la plataforma SIAU. Lo cual no permitira al estudiante lo enmarcado en la resoluci'on rectoral 0890 de 2022 en su articulo 12 . Sanciones.
Acciones asociadas al tratamiento: (mencionar que en este reporte no se cuenta y se proyecta para el siguiente).
Debido a que las actividades asociadas a los controles no surgen en primera instancia un efecto positivo se decide realizar las acciones asociadas al tratamiento.
* Se realiza envio de correo electronico a la estudiante Karen Dayana Aguirre Martinez Cod. Estudiante 153004618
* Se realiza envio de correo electronico a la estudiante Karen Dayana Aguirre Martinez Cod. Estudiante 153004618
Actividades asociadas a los controles:
Dentro del 1 corte de monitoreo de riesgos se identifica que se encuentran recursos bibliográficos en mora por devolución; sin embargo, realizando los controles establecidos, se logra la identificación de los usuarios y se ejercen los siguientes Actividades
* Se realizaron llamadas a usuarios que tenían ítems vencidos y se registraron en el formato FO-GAA-07
* Se realizó préstamo y devolución en el módulo de circulación en el sistema KOHA
Finalmente 3 usuarios no cuentan con la devolución del libro.
1 libro Pedro Leonardo Reina Potosi Cod. Estudiante 131105333, se encuentra en proceso de reposición en el cual el estudiante tiene compromiso de devolución, anotacion creada dentro del perfil del usuario en Koha.
2 libro Karen Dayana Aguirre Martinez Cod. Estudiante 153004618, de acuerdo a llamada telefónica, la estudiante se compromete a realizar la devolución.
3 libro Andrea Lizeth Rojas Porras Cod. Estudiante 152304772, no se ha logrado establecer contacto telefónico (materializa el riesgo)
* Durante el primer monitoreo no se realiza avance en Inventario de la bibliografia
* Se realiza copilacion de los libros en demora de devolucion para poder realizar informe a la oficina de vicerrecursos
</v>
      </c>
      <c r="AC101" s="152" t="str">
        <f>IFERROR(__xludf.DUMMYFUNCTION("""COMPUTED_VALUE"""),"* Liliana Giraldo (Auxiliar Biblioteca)
* Auxiliares circulacion y prestamo")</f>
        <v>* Liliana Giraldo (Auxiliar Biblioteca)
* Auxiliares circulacion y prestamo</v>
      </c>
      <c r="AD101" s="153" t="str">
        <f>IFERROR(__xludf.DUMMYFUNCTION("""COMPUTED_VALUE"""),"Evidencia")</f>
        <v>Evidencia</v>
      </c>
      <c r="AE101" s="150" t="str">
        <f>IFERROR(__xludf.DUMMYFUNCTION("""COMPUTED_VALUE"""),"Si")</f>
        <v>Si</v>
      </c>
      <c r="AF101" s="150" t="str">
        <f>IFERROR(__xludf.DUMMYFUNCTION("""COMPUTED_VALUE"""),"En proceso")</f>
        <v>En proceso</v>
      </c>
      <c r="AG101" s="32" t="str">
        <f>IFERROR(__xludf.DUMMYFUNCTION("""COMPUTED_VALUE"""),"Durante el primer monitoreo, se materializó el riesgo, ya que se identificaron recursos bibliográficos en mora y, en al menos un caso, no fue posible establecer contacto con el usuario para gestionar su devolución.
En relación con las acciones de tratami"&amp;"ento, se ejecutó parcialmente la acción propuesta de enviar correos electrónicos a los usuarios solicitando la devolución del recurso bibliográfico. Sin embargo, la efectividad de la acción se vio limitada debido a la falta de respuesta de algunos usuario"&amp;"s y a la imposibilidad de completar el proceso de recuperación en todos los casos.
Respecto a los controles establecidos, se evidencia que algunos fueron implementados de manera adecuada, como el registro de préstamos y devoluciones en el Sistema de Info"&amp;"rmación, el envío de correos automáticos y la realización de llamadas a los usuarios en mora. No obstante, se identificó que no se realizó un avance en el inventario de recursos bibliográficos, y el reporte anual ante Vicerrecursos no aplica aún en esta f"&amp;"ase, dado que este corresponde a una actividad anual.
Se recomienda fortalecer el seguimiento de los compromisos adquiridos por los usuarios contactados y considerar estrategias adicionales para la recuperación efectiva de los recursos, especialmente en "&amp;"los casos en los que no se logra comunicación por los medios habituales.")</f>
        <v>Durante el primer monitoreo, se materializó el riesgo, ya que se identificaron recursos bibliográficos en mora y, en al menos un caso, no fue posible establecer contacto con el usuario para gestionar su devolución.
En relación con las acciones de tratamiento, se ejecutó parcialmente la acción propuesta de enviar correos electrónicos a los usuarios solicitando la devolución del recurso bibliográfico. Sin embargo, la efectividad de la acción se vio limitada debido a la falta de respuesta de algunos usuarios y a la imposibilidad de completar el proceso de recuperación en todos los casos.
Respecto a los controles establecidos, se evidencia que algunos fueron implementados de manera adecuada, como el registro de préstamos y devoluciones en el Sistema de Información, el envío de correos automáticos y la realización de llamadas a los usuarios en mora. No obstante, se identificó que no se realizó un avance en el inventario de recursos bibliográficos, y el reporte anual ante Vicerrecursos no aplica aún en esta fase, dado que este corresponde a una actividad anual.
Se recomienda fortalecer el seguimiento de los compromisos adquiridos por los usuarios contactados y considerar estrategias adicionales para la recuperación efectiva de los recursos, especialmente en los casos en los que no se logra comunicación por los medios habituales.</v>
      </c>
      <c r="AH101" s="150" t="str">
        <f>IFERROR(__xludf.DUMMYFUNCTION("""COMPUTED_VALUE"""),"30 de abril")</f>
        <v>30 de abril</v>
      </c>
      <c r="AI101" s="32" t="str">
        <f>IFERROR(__xludf.DUMMYFUNCTION("""COMPUTED_VALUE"""),"Si")</f>
        <v>Si</v>
      </c>
      <c r="AJ101" s="32" t="str">
        <f>IFERROR(__xludf.DUMMYFUNCTION("""COMPUTED_VALUE"""),"No")</f>
        <v>No</v>
      </c>
      <c r="AK101" s="32" t="str">
        <f>IFERROR(__xludf.DUMMYFUNCTION("""COMPUTED_VALUE"""),"Si")</f>
        <v>Si</v>
      </c>
      <c r="AL101" s="32" t="str">
        <f>IFERROR(__xludf.DUMMYFUNCTION("""COMPUTED_VALUE"""),"No")</f>
        <v>No</v>
      </c>
      <c r="AM101" s="32" t="str">
        <f>IFERROR(__xludf.DUMMYFUNCTION("""COMPUTED_VALUE"""),"Si")</f>
        <v>Si</v>
      </c>
      <c r="AN101" s="32" t="str">
        <f>IFERROR(__xludf.DUMMYFUNCTION("""COMPUTED_VALUE"""),"Si")</f>
        <v>Si</v>
      </c>
      <c r="AO101" s="32" t="str">
        <f>IFERROR(__xludf.DUMMYFUNCTION("""COMPUTED_VALUE"""),"No")</f>
        <v>No</v>
      </c>
      <c r="AP101" s="32" t="str">
        <f>IFERROR(__xludf.DUMMYFUNCTION("""COMPUTED_VALUE"""),"No aplica")</f>
        <v>No aplica</v>
      </c>
      <c r="AQ101" s="32" t="str">
        <f>IFERROR(__xludf.DUMMYFUNCTION("""COMPUTED_VALUE"""),"No aplica")</f>
        <v>No aplica</v>
      </c>
      <c r="AR101" s="32" t="str">
        <f>IFERROR(__xludf.DUMMYFUNCTION("""COMPUTED_VALUE"""),"No aplica")</f>
        <v>No aplica</v>
      </c>
      <c r="AS101" s="150" t="str">
        <f>IFERROR(__xludf.DUMMYFUNCTION("""COMPUTED_VALUE"""),"Hallazgo: No se evidencia una adecuada gestión del riesgo con relación a los siguientes aspectos:
-Si bien es cierto que, la valoración del riesgo residual dió como resultado zona de riesgo ""Media"", se determinó como opción manejo ""Aceptar"", en contr"&amp;"avía de los criterios establecidos en la Politica de Gestión Integral de los Riesgos, adoptada por la Universidad a través del Acuerdo Superior 012 de 2020, artículos 3. Nivel de tolerancia al riesgo y 5 Tratamiento del riesgo.
-Si bien, el proceso report"&amp;"a materializaicón del riesgo, al corte del primer cuatrimestre, no se evidencia la aplicación de la acción de contingencia, propuesta. 
-El proceso no reportó ejecición del control No. 4.
Recomendaciones:
Fortalecer la descripción del riesgo, considerand"&amp;"o la metodología de la Guía para la Administración del Riesgo y el diseño de controles en entidades públicas Versión 6, que propone los elementos para la descripción del riesgo, como son: 
Impacto: las consecuencias que puede ocasionar a la organización l"&amp;"a materialización del riesgo.
Causa inmediata: circunstancias o situaciones más evidentes sobre las cuales se presenta el riesgo, las mismas no constituyen la causa principal o base para que se presente el riesgo.
Causa raíz: es la causa principal o básic"&amp;"a, corresponden a las razones por la cuales se puede presentar el riesgo, son la base para la definición de controles en la etapa de valoración del riesgo. Se debe tener en cuenta que para un mismo riesgo pueden existir más de una causa o subcausas que pu"&amp;"eden ser analizadas. 
*Fortalecer la descripción de los controles conforme a la metodología propuesta en la Guía para la Administración del Riesgo y el diseño de controles en entidades públicas Versión 6, que propone los elementos que debe contemplar el"&amp;" diseño del control, como son: 
Responsable de ejecutar el control: identifica el cargo del servidor que ejecuta el control, en caso de que sean controles automáticos se identificará el sistema que realiza la actividad. 
Acción: se determina mediante verb"&amp;"os que indican la acción que deben realizar como parte del control. 
Complemento: corresponde a los detalles que permiten identificar claramente el objeto del control.
*Realizar nueva valoracción del riesgo y reevaluar los controles establecidos, teniend"&amp;"o en cuenta la materialización del mismo. De igual manera plantear acciones asociadas al tratamiento que permitan fortalecer la efectividad de los controles.
*Solicitar asesoría y acompañamiento desde la Segunda Línea de Defensa, con el fin de fortalecer"&amp;" la aplicación de la metodología establecida por la Universidad, para la gestión del riesgo.")</f>
        <v>Hallazgo: No se evidencia una adecuada gestión del riesgo con relación a los siguientes aspectos:
-Si bien es cierto que, la valoración del riesgo residual dió como resultado zona de riesgo "Media", se determinó como opción manejo "Aceptar", en contravía de los criterios establecidos en la Politica de Gestión Integral de los Riesgos, adoptada por la Universidad a través del Acuerdo Superior 012 de 2020, artículos 3. Nivel de tolerancia al riesgo y 5 Tratamiento del riesgo.
-Si bien, el proceso reporta materializaicón del riesgo, al corte del primer cuatrimestre, no se evidencia la aplicación de la acción de contingencia, propuesta. 
-El proceso no reportó ejecición del control No. 4.
Recomendaciones:
Fortalecer la descripción del riesgo, considerando la metodología de la Guía para la Administración del Riesgo y el diseño de controles en entidades públicas Versión 6, que propone los elementos para la descripción del riesgo, como son: 
Impacto: las consecuencias que puede ocasionar a la organización la materialización del riesgo.
Causa inmediata: circunstancias o situaciones más evidentes sobre las cuales se presenta el riesgo, las mismas no constituyen la causa principal o base para que se presente el riesgo.
Causa raíz: es la causa principal o básica, corresponden a las razones por la cuales se puede presentar el riesgo, son la base para la definición de controles en la etapa de valoración del riesgo. Se debe tener en cuenta que para un mismo riesgo pueden existir más de una causa o subcausas que pueden ser analizadas. 
*Fortalecer la descripción de los controles conforme a la metodología propuesta en la Guía para la Administración del Riesgo y el diseño de controles en entidades públicas Versión 6, que propone los elementos que debe contemplar el diseño del control, como son: 
Responsable de ejecutar el control: identifica el cargo del servidor que ejecuta el control, en caso de que sean controles automáticos se identificará el sistema que realiza la actividad. 
Acción: se determina mediante verbos que indican la acción que deben realizar como parte del control. 
Complemento: corresponde a los detalles que permiten identificar claramente el objeto del control.
*Realizar nueva valoracción del riesgo y reevaluar los controles establecidos, teniendo en cuenta la materialización del mismo. De igual manera plantear acciones asociadas al tratamiento que permitan fortalecer la efectividad de los controles.
*Solicitar asesoría y acompañamiento desde la Segunda Línea de Defensa, con el fin de fortalecer la aplicación de la metodología establecida por la Universidad, para la gestión del riesgo.</v>
      </c>
      <c r="AT101" s="139"/>
    </row>
    <row r="102">
      <c r="A102" s="86"/>
      <c r="B102" s="73"/>
      <c r="C102" s="73"/>
      <c r="D102" s="156"/>
      <c r="E102" s="156"/>
      <c r="F102" s="156"/>
      <c r="G102" s="156"/>
      <c r="H102" s="156"/>
      <c r="I102" s="156"/>
      <c r="J102" s="156"/>
      <c r="K102" s="156"/>
      <c r="L102" s="156"/>
      <c r="M102" s="156"/>
      <c r="N102" s="156"/>
      <c r="O102" s="156"/>
      <c r="P102" s="156"/>
      <c r="Q102" s="157"/>
      <c r="R102" s="158" t="str">
        <f>IFERROR(__xludf.DUMMYFUNCTION("""COMPUTED_VALUE"""),"")</f>
        <v/>
      </c>
      <c r="S102" s="159" t="str">
        <f>IFERROR(__xludf.DUMMYFUNCTION("""COMPUTED_VALUE"""),"")</f>
        <v/>
      </c>
      <c r="T102" s="170"/>
      <c r="U102" s="170"/>
      <c r="V102" s="94"/>
      <c r="W102" s="94"/>
      <c r="X102" s="94"/>
      <c r="Y102" s="94"/>
      <c r="Z102" s="150" t="str">
        <f>IFERROR(__xludf.DUMMYFUNCTION("""COMPUTED_VALUE"""),"30 de agosto")</f>
        <v>30 de agosto</v>
      </c>
      <c r="AA102" s="32" t="str">
        <f>IFERROR(__xludf.DUMMYFUNCTION("""COMPUTED_VALUE"""),"1 de mayo 2025 al 29 agosto 2025")</f>
        <v>1 de mayo 2025 al 29 agosto 2025</v>
      </c>
      <c r="AB102" s="150" t="str">
        <f>IFERROR(__xludf.DUMMYFUNCTION("""COMPUTED_VALUE"""),"Durante el periodo comprendido para el segundo monitoreo NO se materializa el Riesgo
Acciones de contingencia para atender la Materialización del primer semestre.
*Se adjunta informe en la carpeta de evidencias mes de agosto "" ""Evidencias Contingencias"&amp;""" informe contingencia
Acciones asociadas a los controles
* Se realiza prestamo y devolución en el módulo de circulación en el sistema KOHA
* Durante el periodo evaluado (2 monitoreo) no se realizan llamadas, no se han presentado retrasos en la devoluc"&amp;"ión de los libros, sobrepasando el parámetro que requiere el control. (15 días) 
      - Se adjunta reporte ítem retrasados (Aun no cuentan con el parámetro establecido para materializar el riesgo o realizar medidas asociadas al control o de contingencia
"&amp;"Observaciones: 
* Durante el segundo monitoreo se inicia inventario de recursos bibliográficos, se encuentra en su fase inicial, que es la recopilación de los códigos de inventario en las estanterías
")</f>
        <v>Durante el periodo comprendido para el segundo monitoreo NO se materializa el Riesgo
Acciones de contingencia para atender la Materialización del primer semestre.
*Se adjunta informe en la carpeta de evidencias mes de agosto " "Evidencias Contingencias" informe contingencia
Acciones asociadas a los controles
* Se realiza prestamo y devolución en el módulo de circulación en el sistema KOHA
* Durante el periodo evaluado (2 monitoreo) no se realizan llamadas, no se han presentado retrasos en la devolución de los libros, sobrepasando el parámetro que requiere el control. (15 días) 
      - Se adjunta reporte ítem retrasados (Aun no cuentan con el parámetro establecido para materializar el riesgo o realizar medidas asociadas al control o de contingencia
Observaciones: 
* Durante el segundo monitoreo se inicia inventario de recursos bibliográficos, se encuentra en su fase inicial, que es la recopilación de los códigos de inventario en las estanterías
</v>
      </c>
      <c r="AC102" s="152" t="str">
        <f>IFERROR(__xludf.DUMMYFUNCTION("""COMPUTED_VALUE"""),"* Liliana Giraldo (Auxiliar Biblioteca)
* Auxiliares circulacion y prestamo
* Soporte Tecnico Biblioteca")</f>
        <v>* Liliana Giraldo (Auxiliar Biblioteca)
* Auxiliares circulacion y prestamo
* Soporte Tecnico Biblioteca</v>
      </c>
      <c r="AD102" s="153" t="str">
        <f>IFERROR(__xludf.DUMMYFUNCTION("""COMPUTED_VALUE"""),"Evidencia")</f>
        <v>Evidencia</v>
      </c>
      <c r="AE102" s="150" t="str">
        <f>IFERROR(__xludf.DUMMYFUNCTION("""COMPUTED_VALUE"""),"Si")</f>
        <v>Si</v>
      </c>
      <c r="AF102" s="152" t="str">
        <f>IFERROR(__xludf.DUMMYFUNCTION("""COMPUTED_VALUE"""),"En proceso")</f>
        <v>En proceso</v>
      </c>
      <c r="AG102" s="32" t="str">
        <f>IFERROR(__xludf.DUMMYFUNCTION("""COMPUTED_VALUE"""),"Durante este monitoreo se reporta que no se materializó el riesgo.
Sobre los controles:
c1 Registro de todos los préstamos y devoluciones en el Sistema de Información:
Avance: Se verificó la operación de préstamos y devoluciones a través del sistema KOH"&amp;"A, con evidencia en el archivo “ACTIVIDAD PERSONAL DE BIBLIOTECA – PRÉSTAMOS.xlsx”.
c2 Envío de correos automáticamente al usuario cuando el préstamo se ha vencido:
Avance: Se constató el funcionamiento de las notificaciones automáticas a los usuarios, c"&amp;"on evidencia en la captura “Muestra – evidencia correos automáticos.png”.
c3 Realización de inventarios de los recursos bibliográficos:
Avance: Se evidenció el inicio del proceso de inventario en fase de recopilación de códigos, conforme a lo reportado p"&amp;"or el proceso.
c4 Realización de llamadas a los usuarios con mora superior a 15 días, registradas en formato FO-GAA-07:
Avance: No fue necesario aplicar este control, ya que no se registraron usuarios con mora mayor a 15 días. Se adjunta el reporte “Ítem"&amp;"s retrasados 2025-08-29” como soporte.
c5 Reporte anual ante la oficina de Vicerrecursos:
Avance: Este control aplica en reporte anual, por lo que no se presentaron novedades adicionales en el segundo monitoreo.
Sobre las acciones de tratamiento:
Acció"&amp;"n 1 – Envío semestral de correos solicitando devolución de material bibliográfico:
Se evidenció la gestión de correos institucionales, incluidos en la carpeta de evidencias “Contingencias”, junto con el informe de contingencia del mes de agosto. Estos doc"&amp;"umentos constituyen prueba del cumplimiento de la acción de tratamiento.")</f>
        <v>Durante este monitoreo se reporta que no se materializó el riesgo.
Sobre los controles:
c1 Registro de todos los préstamos y devoluciones en el Sistema de Información:
Avance: Se verificó la operación de préstamos y devoluciones a través del sistema KOHA, con evidencia en el archivo “ACTIVIDAD PERSONAL DE BIBLIOTECA – PRÉSTAMOS.xlsx”.
c2 Envío de correos automáticamente al usuario cuando el préstamo se ha vencido:
Avance: Se constató el funcionamiento de las notificaciones automáticas a los usuarios, con evidencia en la captura “Muestra – evidencia correos automáticos.png”.
c3 Realización de inventarios de los recursos bibliográficos:
Avance: Se evidenció el inicio del proceso de inventario en fase de recopilación de códigos, conforme a lo reportado por el proceso.
c4 Realización de llamadas a los usuarios con mora superior a 15 días, registradas en formato FO-GAA-07:
Avance: No fue necesario aplicar este control, ya que no se registraron usuarios con mora mayor a 15 días. Se adjunta el reporte “Ítems retrasados 2025-08-29” como soporte.
c5 Reporte anual ante la oficina de Vicerrecursos:
Avance: Este control aplica en reporte anual, por lo que no se presentaron novedades adicionales en el segundo monitoreo.
Sobre las acciones de tratamiento:
Acción 1 – Envío semestral de correos solicitando devolución de material bibliográfico:
Se evidenció la gestión de correos institucionales, incluidos en la carpeta de evidencias “Contingencias”, junto con el informe de contingencia del mes de agosto. Estos documentos constituyen prueba del cumplimiento de la acción de tratamiento.</v>
      </c>
      <c r="AH102" s="150" t="str">
        <f>IFERROR(__xludf.DUMMYFUNCTION("""COMPUTED_VALUE"""),"31 de agosto")</f>
        <v>31 de agosto</v>
      </c>
      <c r="AI102" s="32" t="str">
        <f>IFERROR(__xludf.DUMMYFUNCTION("""COMPUTED_VALUE"""),"Si")</f>
        <v>Si</v>
      </c>
      <c r="AJ102" s="32" t="str">
        <f>IFERROR(__xludf.DUMMYFUNCTION("""COMPUTED_VALUE"""),"No")</f>
        <v>No</v>
      </c>
      <c r="AK102" s="32" t="str">
        <f>IFERROR(__xludf.DUMMYFUNCTION("""COMPUTED_VALUE"""),"Si")</f>
        <v>Si</v>
      </c>
      <c r="AL102" s="32" t="str">
        <f>IFERROR(__xludf.DUMMYFUNCTION("""COMPUTED_VALUE"""),"No")</f>
        <v>No</v>
      </c>
      <c r="AM102" s="32" t="str">
        <f>IFERROR(__xludf.DUMMYFUNCTION("""COMPUTED_VALUE"""),"Si")</f>
        <v>Si</v>
      </c>
      <c r="AN102" s="32" t="str">
        <f>IFERROR(__xludf.DUMMYFUNCTION("""COMPUTED_VALUE"""),"Si")</f>
        <v>Si</v>
      </c>
      <c r="AO102" s="32" t="str">
        <f>IFERROR(__xludf.DUMMYFUNCTION("""COMPUTED_VALUE"""),"No")</f>
        <v>No</v>
      </c>
      <c r="AP102" s="32" t="str">
        <f>IFERROR(__xludf.DUMMYFUNCTION("""COMPUTED_VALUE"""),"No aplica")</f>
        <v>No aplica</v>
      </c>
      <c r="AQ102" s="32" t="str">
        <f>IFERROR(__xludf.DUMMYFUNCTION("""COMPUTED_VALUE"""),"No aplica")</f>
        <v>No aplica</v>
      </c>
      <c r="AR102" s="32" t="str">
        <f>IFERROR(__xludf.DUMMYFUNCTION("""COMPUTED_VALUE"""),"No aplica")</f>
        <v>No aplica</v>
      </c>
      <c r="AS102" s="150" t="str">
        <f>IFERROR(__xludf.DUMMYFUNCTION("""COMPUTED_VALUE"""),"Se reitera hallazgo generado en la evaluación del primer cuatrimestre: 
-Si bien es cierto que, la valoración del riesgo residual dió como resultado zona de riesgo ""Media"", se determinó como opción manejo ""Aceptar"", en contravía de los criterios estab"&amp;"lecidos en la Politica de Gestión Integral de los Riesgos, adoptada por la Universidad a través del Acuerdo Superior 012 de 2020, artículos 3. Nivel de tolerancia al riesgo y 5 Tratamiento del riesgo.
Se reiteran las recomendaciones generadas en la evalu"&amp;"ación del primer cuatrimestre:
Fortalecer la descripción del riesgo, considerando la metodología de la Guía para la Administración del Riesgo y el diseño de controles en entidades públicas Versión 6, que propone los elementos para la descripción del riesg"&amp;"o, como son: 
Impacto: las consecuencias que puede ocasionar a la organización la materialización del riesgo.
Causa inmediata: circunstancias o situaciones más evidentes sobre las cuales se presenta el riesgo, las mismas no constituyen la causa principal "&amp;"o base para que se presente el riesgo.
Causa raíz: es la causa principal o básica, corresponden a las razones por la cuales se puede presentar el riesgo, son la base para la definición de controles en la etapa de valoración del riesgo. Se debe tener en cu"&amp;"enta que para un mismo riesgo pueden existir más de una causa o subcausas que pueden ser analizadas. 
*Fortalecer la descripción de los controles conforme a la metodología propuesta en la Guía para la Administración del Riesgo y el diseño de controles en"&amp;" entidades públicas Versión 6, que propone los elementos que debe contemplar el diseño del control, como son: 
Responsable de ejecutar el control: identifica el cargo del servidor que ejecuta el control, en caso de que sean controles automáticos se identi"&amp;"ficará el sistema que realiza la actividad. 
Acción: se determina mediante verbos que indican la acción que deben realizar como parte del control. 
Complemento: corresponde a los detalles que permiten identificar claramente el objeto del control.
*Solici"&amp;"tar asesoría y acompañamiento desde la Segunda Línea de Defensa, con el fin de fortalecer la aplicación de la metodología establecida por la Universidad, para la gestión del riesgo.")</f>
        <v>Se reitera hallazgo generado en la evaluación del primer cuatrimestre: 
-Si bien es cierto que, la valoración del riesgo residual dió como resultado zona de riesgo "Media", se determinó como opción manejo "Aceptar", en contravía de los criterios establecidos en la Politica de Gestión Integral de los Riesgos, adoptada por la Universidad a través del Acuerdo Superior 012 de 2020, artículos 3. Nivel de tolerancia al riesgo y 5 Tratamiento del riesgo.
Se reiteran las recomendaciones generadas en la evaluación del primer cuatrimestre:
Fortalecer la descripción del riesgo, considerando la metodología de la Guía para la Administración del Riesgo y el diseño de controles en entidades públicas Versión 6, que propone los elementos para la descripción del riesgo, como son: 
Impacto: las consecuencias que puede ocasionar a la organización la materialización del riesgo.
Causa inmediata: circunstancias o situaciones más evidentes sobre las cuales se presenta el riesgo, las mismas no constituyen la causa principal o base para que se presente el riesgo.
Causa raíz: es la causa principal o básica, corresponden a las razones por la cuales se puede presentar el riesgo, son la base para la definición de controles en la etapa de valoración del riesgo. Se debe tener en cuenta que para un mismo riesgo pueden existir más de una causa o subcausas que pueden ser analizadas. 
*Fortalecer la descripción de los controles conforme a la metodología propuesta en la Guía para la Administración del Riesgo y el diseño de controles en entidades públicas Versión 6, que propone los elementos que debe contemplar el diseño del control, como son: 
Responsable de ejecutar el control: identifica el cargo del servidor que ejecuta el control, en caso de que sean controles automáticos se identificará el sistema que realiza la actividad. 
Acción: se determina mediante verbos que indican la acción que deben realizar como parte del control. 
Complemento: corresponde a los detalles que permiten identificar claramente el objeto del control.
*Solicitar asesoría y acompañamiento desde la Segunda Línea de Defensa, con el fin de fortalecer la aplicación de la metodología establecida por la Universidad, para la gestión del riesgo.</v>
      </c>
      <c r="AT102" s="139"/>
    </row>
    <row r="103">
      <c r="A103" s="86"/>
      <c r="B103" s="73"/>
      <c r="C103" s="73"/>
      <c r="D103" s="119"/>
      <c r="E103" s="119"/>
      <c r="F103" s="119"/>
      <c r="G103" s="119"/>
      <c r="H103" s="119"/>
      <c r="I103" s="119"/>
      <c r="J103" s="119"/>
      <c r="K103" s="119"/>
      <c r="L103" s="119"/>
      <c r="M103" s="119"/>
      <c r="N103" s="119"/>
      <c r="O103" s="119"/>
      <c r="P103" s="119"/>
      <c r="Q103" s="162"/>
      <c r="R103" s="163" t="str">
        <f>IFERROR(__xludf.DUMMYFUNCTION("""COMPUTED_VALUE"""),"")</f>
        <v/>
      </c>
      <c r="S103" s="164" t="str">
        <f>IFERROR(__xludf.DUMMYFUNCTION("""COMPUTED_VALUE"""),"")</f>
        <v/>
      </c>
      <c r="T103" s="176"/>
      <c r="U103" s="176"/>
      <c r="V103" s="98"/>
      <c r="W103" s="98"/>
      <c r="X103" s="98"/>
      <c r="Y103" s="98"/>
      <c r="Z103" s="150" t="str">
        <f>IFERROR(__xludf.DUMMYFUNCTION("""COMPUTED_VALUE"""),"30 de diciembre")</f>
        <v>30 de diciembre</v>
      </c>
      <c r="AA103" s="32"/>
      <c r="AB103" s="150" t="str">
        <f>IFERROR(__xludf.DUMMYFUNCTION("""COMPUTED_VALUE"""),"Durante el periodo comprendido para el segundo monitoreo NO se materializa el Riesgo
No se requieren acciones de contigencia
Acciones asociadas a los controles
* Se realiza prestamo y devolución en el módulo de circulación en el sistema KOHA
* Durante "&amp;"el periodo evaluado se realiza control de llamadas a usuarios que tienen libros en mora, lo cual logra la devolucion del material bibliografico prestado 
      - Se adjunta imagen reporte ítem retrasados
* Se realiza inventario de los recursos bibliografi"&amp;"cos fisicos el cual no evidencia falta de recursos bibliograficos ( Se cuenta aun con material bibliografico sin catalogar, rotular y ubicar en estanteria, debido a que se realizaron traslados y compra de recursos en el mes de noviembre)")</f>
        <v>Durante el periodo comprendido para el segundo monitoreo NO se materializa el Riesgo
No se requieren acciones de contigencia
Acciones asociadas a los controles
* Se realiza prestamo y devolución en el módulo de circulación en el sistema KOHA
* Durante el periodo evaluado se realiza control de llamadas a usuarios que tienen libros en mora, lo cual logra la devolucion del material bibliografico prestado 
      - Se adjunta imagen reporte ítem retrasados
* Se realiza inventario de los recursos bibliograficos fisicos el cual no evidencia falta de recursos bibliograficos ( Se cuenta aun con material bibliografico sin catalogar, rotular y ubicar en estanteria, debido a que se realizaron traslados y compra de recursos en el mes de noviembre)</v>
      </c>
      <c r="AC103" s="152" t="str">
        <f>IFERROR(__xludf.DUMMYFUNCTION("""COMPUTED_VALUE"""),"* Liliana Giraldo (Auxiliar Biblioteca)
* Auxiliares circulacion y prestamo
* Soporte Tecnico Biblioteca")</f>
        <v>* Liliana Giraldo (Auxiliar Biblioteca)
* Auxiliares circulacion y prestamo
* Soporte Tecnico Biblioteca</v>
      </c>
      <c r="AD103" s="153" t="str">
        <f>IFERROR(__xludf.DUMMYFUNCTION("""COMPUTED_VALUE"""),"Evidencia")</f>
        <v>Evidencia</v>
      </c>
      <c r="AE103" s="150" t="str">
        <f>IFERROR(__xludf.DUMMYFUNCTION("""COMPUTED_VALUE"""),"Si")</f>
        <v>Si</v>
      </c>
      <c r="AF103" s="152" t="str">
        <f>IFERROR(__xludf.DUMMYFUNCTION("""COMPUTED_VALUE"""),"Ejecutada")</f>
        <v>Ejecutada</v>
      </c>
      <c r="AG103" s="32" t="str">
        <f>IFERROR(__xludf.DUMMYFUNCTION("""COMPUTED_VALUE"""),"-Durante el segundo período de monitoreo no se materializó el riesgo.
-Respecto a la acción de mejora consistente en el envío de correos electrónicos a los usuarios con solicitud formal de devolución del recurso bibliográfico, no se evidencian en los sop"&amp;"ortes aportados los correos electrónicos semestrales reportados como evidencia, lo cual limita la verificación documental de su aplicación.
-Sin embargo, los controles implementados permitieron el seguimiento y la recuperación del material bibliográfico,"&amp;" manteniendo el riesgo en niveles controlados.                                                                                               -Se recomienda adjuntar de manera sistemática los soportes de los correos electrónicos enviados, a fin de fortalec"&amp;"er la trazabilidad y facilitar la verificación del cumplimiento de la acción de mejora en futuros monitoreos.")</f>
        <v>-Durante el segundo período de monitoreo no se materializó el riesgo.
-Respecto a la acción de mejora consistente en el envío de correos electrónicos a los usuarios con solicitud formal de devolución del recurso bibliográfico, no se evidencian en los soportes aportados los correos electrónicos semestrales reportados como evidencia, lo cual limita la verificación documental de su aplicación.
-Sin embargo, los controles implementados permitieron el seguimiento y la recuperación del material bibliográfico, manteniendo el riesgo en niveles controlados.                                                                                               -Se recomienda adjuntar de manera sistemática los soportes de los correos electrónicos enviados, a fin de fortalecer la trazabilidad y facilitar la verificación del cumplimiento de la acción de mejora en futuros monitoreos.</v>
      </c>
      <c r="AH103" s="150" t="str">
        <f>IFERROR(__xludf.DUMMYFUNCTION("""COMPUTED_VALUE"""),"31 de diciembre")</f>
        <v>31 de diciembre</v>
      </c>
      <c r="AI103" s="32" t="str">
        <f>IFERROR(__xludf.DUMMYFUNCTION("""COMPUTED_VALUE"""),"Si")</f>
        <v>Si</v>
      </c>
      <c r="AJ103" s="32" t="str">
        <f>IFERROR(__xludf.DUMMYFUNCTION("""COMPUTED_VALUE"""),"No")</f>
        <v>No</v>
      </c>
      <c r="AK103" s="32" t="str">
        <f>IFERROR(__xludf.DUMMYFUNCTION("""COMPUTED_VALUE"""),"Si")</f>
        <v>Si</v>
      </c>
      <c r="AL103" s="32" t="str">
        <f>IFERROR(__xludf.DUMMYFUNCTION("""COMPUTED_VALUE"""),"No")</f>
        <v>No</v>
      </c>
      <c r="AM103" s="32" t="str">
        <f>IFERROR(__xludf.DUMMYFUNCTION("""COMPUTED_VALUE"""),"Si")</f>
        <v>Si</v>
      </c>
      <c r="AN103" s="32" t="str">
        <f>IFERROR(__xludf.DUMMYFUNCTION("""COMPUTED_VALUE"""),"Si")</f>
        <v>Si</v>
      </c>
      <c r="AO103" s="32" t="str">
        <f>IFERROR(__xludf.DUMMYFUNCTION("""COMPUTED_VALUE"""),"No")</f>
        <v>No</v>
      </c>
      <c r="AP103" s="32" t="str">
        <f>IFERROR(__xludf.DUMMYFUNCTION("""COMPUTED_VALUE"""),"No aplica")</f>
        <v>No aplica</v>
      </c>
      <c r="AQ103" s="32" t="str">
        <f>IFERROR(__xludf.DUMMYFUNCTION("""COMPUTED_VALUE"""),"No aplica")</f>
        <v>No aplica</v>
      </c>
      <c r="AR103" s="32" t="str">
        <f>IFERROR(__xludf.DUMMYFUNCTION("""COMPUTED_VALUE"""),"No aplica")</f>
        <v>No aplica</v>
      </c>
      <c r="AS103" s="150" t="str">
        <f>IFERROR(__xludf.DUMMYFUNCTION("""COMPUTED_VALUE"""),"Se reitera hallazgo generado en la evaluación del primer y segundo cuatrimestre: 
-Si bien es cierto que, la valoración del riesgo residual dió como resultado zona de riesgo ""Media"", se determinó como opción manejo ""Aceptar"", en contravía de los crite"&amp;"rios establecidos en la Politica de Gestión Integral de los Riesgos, adoptada por la Universidad a través del Acuerdo Superior 012 de 2020, artículos 3. Nivel de tolerancia al riesgo y 5 Tratamiento del riesgo.
Se reiteran las recomendaciones generadas e"&amp;"n la evaluación del primer y segundo cuatrimestre:
Fortalecer la descripción del riesgo, considerando la metodología de la Guía para la Administración del Riesgo y el diseño de controles en entidades públicas Versión 6, que propone los elementos para la d"&amp;"escripción del riesgo, como son: 
Impacto: las consecuencias que puede ocasionar a la organización la materialización del riesgo.
Causa inmediata: circunstancias o situaciones más evidentes sobre las cuales se presenta el riesgo, las mismas no constituyen"&amp;" la causa principal o base para que se presente el riesgo.
Causa raíz: es la causa principal o básica, corresponden a las razones por la cuales se puede presentar el riesgo, son la base para la definición de controles en la etapa de valoración del riesgo."&amp;" Se debe tener en cuenta que para un mismo riesgo pueden existir más de una causa o subcausas que pueden ser analizadas. 
*Fortalecer la descripción de los controles conforme a la metodología propuesta en la Guía para la Administración del Riesgo y el di"&amp;"seño de controles en entidades públicas Versión 6, que propone los elementos que debe contemplar el diseño del control, como son: 
Responsable de ejecutar el control: identifica el cargo del servidor que ejecuta el control, en caso de que sean controles a"&amp;"utomáticos se identificará el sistema que realiza la actividad. 
Acción: se determina mediante verbos que indican la acción que deben realizar como parte del control. 
Complemento: corresponde a los detalles que permiten identificar claramente el objeto d"&amp;"el control.
*Solicitar asesoría y acompañamiento desde la Segunda Línea de Defensa, con el fin de fortalecer la aplicación de la metodología establecida por la Universidad, para la gestión del riesgo.")</f>
        <v>Se reitera hallazgo generado en la evaluación del primer y segundo cuatrimestre: 
-Si bien es cierto que, la valoración del riesgo residual dió como resultado zona de riesgo "Media", se determinó como opción manejo "Aceptar", en contravía de los criterios establecidos en la Politica de Gestión Integral de los Riesgos, adoptada por la Universidad a través del Acuerdo Superior 012 de 2020, artículos 3. Nivel de tolerancia al riesgo y 5 Tratamiento del riesgo.
Se reiteran las recomendaciones generadas en la evaluación del primer y segundo cuatrimestre:
Fortalecer la descripción del riesgo, considerando la metodología de la Guía para la Administración del Riesgo y el diseño de controles en entidades públicas Versión 6, que propone los elementos para la descripción del riesgo, como son: 
Impacto: las consecuencias que puede ocasionar a la organización la materialización del riesgo.
Causa inmediata: circunstancias o situaciones más evidentes sobre las cuales se presenta el riesgo, las mismas no constituyen la causa principal o base para que se presente el riesgo.
Causa raíz: es la causa principal o básica, corresponden a las razones por la cuales se puede presentar el riesgo, son la base para la definición de controles en la etapa de valoración del riesgo. Se debe tener en cuenta que para un mismo riesgo pueden existir más de una causa o subcausas que pueden ser analizadas. 
*Fortalecer la descripción de los controles conforme a la metodología propuesta en la Guía para la Administración del Riesgo y el diseño de controles en entidades públicas Versión 6, que propone los elementos que debe contemplar el diseño del control, como son: 
Responsable de ejecutar el control: identifica el cargo del servidor que ejecuta el control, en caso de que sean controles automáticos se identificará el sistema que realiza la actividad. 
Acción: se determina mediante verbos que indican la acción que deben realizar como parte del control. 
Complemento: corresponde a los detalles que permiten identificar claramente el objeto del control.
*Solicitar asesoría y acompañamiento desde la Segunda Línea de Defensa, con el fin de fortalecer la aplicación de la metodología establecida por la Universidad, para la gestión del riesgo.</v>
      </c>
      <c r="AT103" s="139"/>
    </row>
    <row r="104">
      <c r="A104" s="86"/>
      <c r="B104" s="73"/>
      <c r="C104" s="73"/>
      <c r="D104" s="144" t="str">
        <f>IFERROR(__xludf.DUMMYFUNCTION("""COMPUTED_VALUE"""),"Afectacion reputacional por la realización de prácticas de laboratorios con equipos fuera de aseguramiento metrológico debido a la falta de actualizacion del libro de aseguramiento metrologico.")</f>
        <v>Afectacion reputacional por la realización de prácticas de laboratorios con equipos fuera de aseguramiento metrológico debido a la falta de actualizacion del libro de aseguramiento metrologico.</v>
      </c>
      <c r="E104" s="144" t="str">
        <f>IFERROR(__xludf.DUMMYFUNCTION("""COMPUTED_VALUE"""),"Coordinación de Laboratorios")</f>
        <v>Coordinación de Laboratorios</v>
      </c>
      <c r="F104" s="144" t="str">
        <f>IFERROR(__xludf.DUMMYFUNCTION("""COMPUTED_VALUE"""),"Gestión")</f>
        <v>Gestión</v>
      </c>
      <c r="G104" s="144" t="str">
        <f>IFERROR(__xludf.DUMMYFUNCTION("""COMPUTED_VALUE"""),"- Falta de actualizacion del libro de aseguramiento metrologico.")</f>
        <v>- Falta de actualizacion del libro de aseguramiento metrologico.</v>
      </c>
      <c r="H104" s="144" t="str">
        <f>IFERROR(__xludf.DUMMYFUNCTION("""COMPUTED_VALUE"""),"1. No conformidades en auditoria interna por parte de control interno de gestión. 
2. No conformidades en auditoria externas por parte del ente Certificador ICONTEC. 
3. Hallazgos de los entes de control externos.
4. Afectación de la imagen institucional."&amp;" 
5. Incumplimiento en los objetivos propuestos en las guias de las prácticas de laboratorios. 
6. Incumplimiento en los objetivo del proceso de gestión de apoyo a la academia.")</f>
        <v>1. No conformidades en auditoria interna por parte de control interno de gestión. 
2. No conformidades en auditoria externas por parte del ente Certificador ICONTEC. 
3. Hallazgos de los entes de control externos.
4. Afectación de la imagen institucional. 
5. Incumplimiento en los objetivos propuestos en las guias de las prácticas de laboratorios. 
6. Incumplimiento en los objetivo del proceso de gestión de apoyo a la academia.</v>
      </c>
      <c r="I104" s="145" t="str">
        <f>IFERROR(__xludf.DUMMYFUNCTION("""COMPUTED_VALUE"""),"GAA_02")</f>
        <v>GAA_02</v>
      </c>
      <c r="J104" s="145" t="str">
        <f>IFERROR(__xludf.DUMMYFUNCTION("""COMPUTED_VALUE"""),"Alta")</f>
        <v>Alta</v>
      </c>
      <c r="K104" s="145" t="str">
        <f>IFERROR(__xludf.DUMMYFUNCTION("""COMPUTED_VALUE"""),"Moderado")</f>
        <v>Moderado</v>
      </c>
      <c r="L104" s="145" t="str">
        <f>IFERROR(__xludf.DUMMYFUNCTION("""COMPUTED_VALUE"""),"Alta")</f>
        <v>Alta</v>
      </c>
      <c r="M104" s="144" t="str">
        <f>IFERROR(__xludf.DUMMYFUNCTION("""COMPUTED_VALUE"""),"- FO-GAA-275 - Formato hoja de vida equipos de laboratorio
- FO-GAA-276 Formato de inventario equipos de laboratorio
- FO-GAA-277 Formato cronograma para mantenimiento, calibración y verificación de equipos de laboratorio
- FO-GAA-278 Plan de mantenimient"&amp;"o y aseguramiento metrológico; PD-GAA-78 Procedimiento de aseguramiento metrologico")</f>
        <v>- FO-GAA-275 - Formato hoja de vida equipos de laboratorio
- FO-GAA-276 Formato de inventario equipos de laboratorio
- FO-GAA-277 Formato cronograma para mantenimiento, calibración y verificación de equipos de laboratorio
- FO-GAA-278 Plan de mantenimiento y aseguramiento metrológico; PD-GAA-78 Procedimiento de aseguramiento metrologico</v>
      </c>
      <c r="N104" s="145" t="str">
        <f>IFERROR(__xludf.DUMMYFUNCTION("""COMPUTED_VALUE"""),"Muy baja")</f>
        <v>Muy baja</v>
      </c>
      <c r="O104" s="145" t="str">
        <f>IFERROR(__xludf.DUMMYFUNCTION("""COMPUTED_VALUE"""),"Moderado")</f>
        <v>Moderado</v>
      </c>
      <c r="P104" s="145" t="str">
        <f>IFERROR(__xludf.DUMMYFUNCTION("""COMPUTED_VALUE"""),"Media")</f>
        <v>Media</v>
      </c>
      <c r="Q104" s="178" t="str">
        <f>IFERROR(__xludf.DUMMYFUNCTION("""COMPUTED_VALUE"""),"Reducir")</f>
        <v>Reducir</v>
      </c>
      <c r="R104" s="158" t="str">
        <f>IFERROR(__xludf.DUMMYFUNCTION("""COMPUTED_VALUE"""),"Sensibilizar al personal de apoyo de los laboratorios sobre el uso de los documentos de aseguramiento metrológico.")</f>
        <v>Sensibilizar al personal de apoyo de los laboratorios sobre el uso de los documentos de aseguramiento metrológico.</v>
      </c>
      <c r="S104" s="159" t="str">
        <f>IFERROR(__xludf.DUMMYFUNCTION("""COMPUTED_VALUE"""),"Cada vez que haya rotación de personal")</f>
        <v>Cada vez que haya rotación de personal</v>
      </c>
      <c r="T104" s="170" t="str">
        <f>IFERROR(__xludf.DUMMYFUNCTION("""COMPUTED_VALUE"""),"Profesional de apoyo de la coordinación de laboratorios")</f>
        <v>Profesional de apoyo de la coordinación de laboratorios</v>
      </c>
      <c r="U104" s="170" t="str">
        <f>IFERROR(__xludf.DUMMYFUNCTION("""COMPUTED_VALUE"""),"Listados de asistencia")</f>
        <v>Listados de asistencia</v>
      </c>
      <c r="V104" s="167" t="str">
        <f>IFERROR(__xludf.DUMMYFUNCTION("""COMPUTED_VALUE"""),"Facilitar los equipos requeridos con aseguramiento metrologico previo,")</f>
        <v>Facilitar los equipos requeridos con aseguramiento metrologico previo,</v>
      </c>
      <c r="W104" s="167" t="str">
        <f>IFERROR(__xludf.DUMMYFUNCTION("""COMPUTED_VALUE"""),"Registro de prestamo de equipos.")</f>
        <v>Registro de prestamo de equipos.</v>
      </c>
      <c r="X104" s="169" t="str">
        <f>IFERROR(__xludf.DUMMYFUNCTION("""COMPUTED_VALUE"""),"Coordinador o personal de apoyo de los laboratorios.")</f>
        <v>Coordinador o personal de apoyo de los laboratorios.</v>
      </c>
      <c r="Y104" s="169" t="str">
        <f>IFERROR(__xludf.DUMMYFUNCTION("""COMPUTED_VALUE"""),"Inmediato.")</f>
        <v>Inmediato.</v>
      </c>
      <c r="Z104" s="150" t="str">
        <f>IFERROR(__xludf.DUMMYFUNCTION("""COMPUTED_VALUE"""),"30 de abril")</f>
        <v>30 de abril</v>
      </c>
      <c r="AA104" s="204">
        <f>IFERROR(__xludf.DUMMYFUNCTION("""COMPUTED_VALUE"""),45776.0)</f>
        <v>45776</v>
      </c>
      <c r="AB104" s="150" t="str">
        <f>IFERROR(__xludf.DUMMYFUNCTION("""COMPUTED_VALUE"""),"Durante este primer monitoreo NO se materializó el riesgo.
Acciones asociadas al tratamiento:
Todos los laboratorios enunciados en el acuerdo académico 002 de 2022  ""Por el cual se adscriben los laboratorios a las diferentes facultades de la Universid"&amp;"ad de los Llanos"", tienen como responsabilidad mantener actualizados los formatos: 
- FO-GAA-275 - Formato hoja de vida equipos de laboratorio
- FO-GAA-276 Formato de inventario equipos de laboratorio
- FO-GAA-277 Formato cronograma para mantenimiento, "&amp;"calibración y verificación de equipos de laboratorio
- FO-GAA-278 Plan de mantenimiento y aseguramiento metrológico
- PD-GAA-78 Procedimiento de aseguramiento metrologico
El formato FO-GAA-13 INVENTARIO DE REACTIVOS DE LABORATORIOS debe se diligenciado y"&amp;" mantenerse actualizado por parte de los Laboratorios que estan clasificados con RIESGO QUÍMICO.
Avance sobre los controles: 
La Coordinación del Sistema del Sistema de Laboratorios monitorea que la información de los equipos consignada en los siguiente"&amp;"s formatos se encuentre actualizada por parte de cada uno de los laboratorios:
- FO-GAA-275 - Formato hoja de vida equipos de laboratorio
- FO-GAA-276 Formato de inventario equipos de laboratorio
- FO-GAA-277 Formato cronograma para mantenimiento, calibr"&amp;"ación y verificación de equipos de laboratorio
- FO-GAA-278 Plan de mantenimiento y aseguramiento metrológico
- PD-GAA-78 Procedimiento de aseguramiento metrologico
De igual manera se monitorea el FO-GAA-13 INVENTARIO DE REACTIVOS DE LABORATORIOS en cada"&amp;" laboratorio que tenga RIESGO QUÍMICO.")</f>
        <v>Durante este primer monitoreo NO se materializó el riesgo.
Acciones asociadas al tratamiento:
Todos los laboratorios enunciados en el acuerdo académico 002 de 2022  "Por el cual se adscriben los laboratorios a las diferentes facultades de la Universidad de los Llanos", tienen como responsabilidad mantener actualizados los formatos: 
- FO-GAA-275 - Formato hoja de vida equipos de laboratorio
- FO-GAA-276 Formato de inventario equipos de laboratorio
- FO-GAA-277 Formato cronograma para mantenimiento, calibración y verificación de equipos de laboratorio
- FO-GAA-278 Plan de mantenimiento y aseguramiento metrológico
- PD-GAA-78 Procedimiento de aseguramiento metrologico
El formato FO-GAA-13 INVENTARIO DE REACTIVOS DE LABORATORIOS debe se diligenciado y mantenerse actualizado por parte de los Laboratorios que estan clasificados con RIESGO QUÍMICO.
Avance sobre los controles: 
La Coordinación del Sistema del Sistema de Laboratorios monitorea que la información de los equipos consignada en los siguientes formatos se encuentre actualizada por parte de cada uno de los laboratorios:
- FO-GAA-275 - Formato hoja de vida equipos de laboratorio
- FO-GAA-276 Formato de inventario equipos de laboratorio
- FO-GAA-277 Formato cronograma para mantenimiento, calibración y verificación de equipos de laboratorio
- FO-GAA-278 Plan de mantenimiento y aseguramiento metrológico
- PD-GAA-78 Procedimiento de aseguramiento metrologico
De igual manera se monitorea el FO-GAA-13 INVENTARIO DE REACTIVOS DE LABORATORIOS en cada laboratorio que tenga RIESGO QUÍMICO.</v>
      </c>
      <c r="AC104" s="152" t="str">
        <f>IFERROR(__xludf.DUMMYFUNCTION("""COMPUTED_VALUE"""),"Coordinador del Sistema de laboratorios")</f>
        <v>Coordinador del Sistema de laboratorios</v>
      </c>
      <c r="AD104" s="153" t="str">
        <f>IFERROR(__xludf.DUMMYFUNCTION("""COMPUTED_VALUE"""),"Evidencia")</f>
        <v>Evidencia</v>
      </c>
      <c r="AE104" s="150" t="str">
        <f>IFERROR(__xludf.DUMMYFUNCTION("""COMPUTED_VALUE"""),"Si")</f>
        <v>Si</v>
      </c>
      <c r="AF104" s="150" t="str">
        <f>IFERROR(__xludf.DUMMYFUNCTION("""COMPUTED_VALUE"""),"En proceso")</f>
        <v>En proceso</v>
      </c>
      <c r="AG104" s="32" t="str">
        <f>IFERROR(__xludf.DUMMYFUNCTION("""COMPUTED_VALUE"""),"Materialización del riesgo:
Durante el primer monitoreo, se verificó que no se materializó el riesgo relacionado con el desconocimiento o uso inadecuado de los documentos de aseguramiento metrológico por parte del personal de apoyo de los laboratorios.
A"&amp;"cciones asociadas al tratamiento:
Se evidencia que se implementó la acción de sensibilizar al personal de apoyo sobre el uso de los documentos de aseguramiento metrológico, realizándose esta actividad cada vez que hay rotación de personal. Esta acción es "&amp;"pertinente para mitigar el riesgo identificado.
No obstante, se recomienda fortalecer la periodicidad de la acción, implementando una sensibilización programada de manera anual o semestral, incluso en ausencia de rotación, para asegurar la actualización c"&amp;"ontinua del personal en los procedimientos y formatos vigentes.
Controles establecidos:
Los controles existentes están relacionados con la gestión documental a través de formatos como:
FO-GAA-275 (Hoja de vida de equipos de laboratorio)
FO-GAA-276 (Inv"&amp;"entario de equipos de laboratorio)
FO-GAA-277 (Cronograma de mantenimiento, calibración y verificación)
FO-GAA-278 (Plan de mantenimiento y aseguramiento metrológico)
PD-GAA-78 (Procedimiento de aseguramiento metrológico)
Estos controles están definid"&amp;"os de manera adecuada y permiten realizar seguimiento al estado de los equipos de laboratorio. Sin embargo, se sugiere fortalecer el control incluyendo la evaluación periódica de la apropiación del conocimiento transferido en las sensibilizaciones, no lim"&amp;"itándose únicamente al registro de asistencia, sino también evidenciando la comprensión de los procedimientos.")</f>
        <v>Materialización del riesgo:
Durante el primer monitoreo, se verificó que no se materializó el riesgo relacionado con el desconocimiento o uso inadecuado de los documentos de aseguramiento metrológico por parte del personal de apoyo de los laboratorios.
Acciones asociadas al tratamiento:
Se evidencia que se implementó la acción de sensibilizar al personal de apoyo sobre el uso de los documentos de aseguramiento metrológico, realizándose esta actividad cada vez que hay rotación de personal. Esta acción es pertinente para mitigar el riesgo identificado.
No obstante, se recomienda fortalecer la periodicidad de la acción, implementando una sensibilización programada de manera anual o semestral, incluso en ausencia de rotación, para asegurar la actualización continua del personal en los procedimientos y formatos vigentes.
Controles establecidos:
Los controles existentes están relacionados con la gestión documental a través de formatos como:
FO-GAA-275 (Hoja de vida de equipos de laboratorio)
FO-GAA-276 (Inventario de equipos de laboratorio)
FO-GAA-277 (Cronograma de mantenimiento, calibración y verificación)
FO-GAA-278 (Plan de mantenimiento y aseguramiento metrológico)
PD-GAA-78 (Procedimiento de aseguramiento metrológico)
Estos controles están definidos de manera adecuada y permiten realizar seguimiento al estado de los equipos de laboratorio. Sin embargo, se sugiere fortalecer el control incluyendo la evaluación periódica de la apropiación del conocimiento transferido en las sensibilizaciones, no limitándose únicamente al registro de asistencia, sino también evidenciando la comprensión de los procedimientos.</v>
      </c>
      <c r="AH104" s="150" t="str">
        <f>IFERROR(__xludf.DUMMYFUNCTION("""COMPUTED_VALUE"""),"30 de abril")</f>
        <v>30 de abril</v>
      </c>
      <c r="AI104" s="32" t="str">
        <f>IFERROR(__xludf.DUMMYFUNCTION("""COMPUTED_VALUE"""),"Si")</f>
        <v>Si</v>
      </c>
      <c r="AJ104" s="32" t="str">
        <f>IFERROR(__xludf.DUMMYFUNCTION("""COMPUTED_VALUE"""),"Si")</f>
        <v>Si</v>
      </c>
      <c r="AK104" s="32" t="str">
        <f>IFERROR(__xludf.DUMMYFUNCTION("""COMPUTED_VALUE"""),"Si")</f>
        <v>Si</v>
      </c>
      <c r="AL104" s="32" t="str">
        <f>IFERROR(__xludf.DUMMYFUNCTION("""COMPUTED_VALUE"""),"Si")</f>
        <v>Si</v>
      </c>
      <c r="AM104" s="32" t="str">
        <f>IFERROR(__xludf.DUMMYFUNCTION("""COMPUTED_VALUE"""),"No")</f>
        <v>No</v>
      </c>
      <c r="AN104" s="32" t="str">
        <f>IFERROR(__xludf.DUMMYFUNCTION("""COMPUTED_VALUE"""),"Si")</f>
        <v>Si</v>
      </c>
      <c r="AO104" s="32" t="str">
        <f>IFERROR(__xludf.DUMMYFUNCTION("""COMPUTED_VALUE"""),"Si")</f>
        <v>Si</v>
      </c>
      <c r="AP104" s="32" t="str">
        <f>IFERROR(__xludf.DUMMYFUNCTION("""COMPUTED_VALUE"""),"No aplica")</f>
        <v>No aplica</v>
      </c>
      <c r="AQ104" s="32" t="str">
        <f>IFERROR(__xludf.DUMMYFUNCTION("""COMPUTED_VALUE"""),"No aplica")</f>
        <v>No aplica</v>
      </c>
      <c r="AR104" s="32" t="str">
        <f>IFERROR(__xludf.DUMMYFUNCTION("""COMPUTED_VALUE"""),"No aplica")</f>
        <v>No aplica</v>
      </c>
      <c r="AS104" s="150" t="str">
        <f>IFERROR(__xludf.DUMMYFUNCTION("""COMPUTED_VALUE"""),"Recomendaciones:
Fortalecer la descripción del riesgo, considerando la metodología de la Guía para la Administración del Riesgo y el diseño de controles en entidades públicas Versión 6, que propone los elementos para la descripción del riesgo, como son: 
"&amp;"Impacto: las consecuencias que puede ocasionar a la organización la materialización del riesgo.
Causa inmediata: circunstancias o situaciones más evidentes sobre las cuales se presenta el riesgo, las mismas no constituyen la causa principal o base para qu"&amp;"e se presente el riesgo.
Causa raíz: es la causa principal o básica, corresponden a las razones por la cuales se puede presentar el riesgo, son la base para la definición de controles en la etapa de valoración del riesgo. Se debe tener en cuenta que para "&amp;"un mismo riesgo pueden existir más de una causa o subcausas que pueden ser analizadas. 
*Fortalecer la descripción de los controles conforme a la metodología propuesta en la Guía para la Administración del Riesgo y el diseño de controles en entidades púb"&amp;"licas Versión 6, que propone los elementos que debe contemplar el diseño del control, como son: 
Responsable de ejecutar el control: identifica el cargo del servidor que ejecuta el control, en caso de que sean controles automáticos se identificará el sist"&amp;"ema que realiza la actividad. 
Acción: se determina mediante verbos que indican la acción que deben realizar como parte del control. 
Complemento: corresponde a los detalles que permiten identificar claramente el objeto del control.
*Garantizar el adecua"&amp;"do reporte de la evidencia de ejecución del control, si bien es cierto que el proceso aportó como soporte, los formatos diseñados para llevar a cabo el control, no se evidencia su aplicación en los siguientes casos:
-FO-GAA-277 Formato cronograma para man"&amp;"tenimiento, calibración y verificación de equipos de laboratorio, sin diligenciar, además registra proyección de los años 2023 y 2024 y no lo correspondiente a la vigencia actual.
-FO-GAA-275 - Formato hoja de vida equipos de laboratorio, sin diligenciar."&amp;"
Se requiere que la evidencia sea competente, es decir con calidad en relación a su relevancia y confiabilidad y suficiente en términos de cantidad y completitud, que permita demostrar de manera íntegra el hecho.
*Solicitar asesoría y acompañamiento des"&amp;"de la Segunda Línea de Defensa, con el fin de fortalecer la aplicación de la metodología establecida por la Universidad, para la gestión del riesgo.")</f>
        <v>Recomendaciones:
Fortalecer la descripción del riesgo, considerando la metodología de la Guía para la Administración del Riesgo y el diseño de controles en entidades públicas Versión 6, que propone los elementos para la descripción del riesgo, como son: 
Impacto: las consecuencias que puede ocasionar a la organización la materialización del riesgo.
Causa inmediata: circunstancias o situaciones más evidentes sobre las cuales se presenta el riesgo, las mismas no constituyen la causa principal o base para que se presente el riesgo.
Causa raíz: es la causa principal o básica, corresponden a las razones por la cuales se puede presentar el riesgo, son la base para la definición de controles en la etapa de valoración del riesgo. Se debe tener en cuenta que para un mismo riesgo pueden existir más de una causa o subcausas que pueden ser analizadas. 
*Fortalecer la descripción de los controles conforme a la metodología propuesta en la Guía para la Administración del Riesgo y el diseño de controles en entidades públicas Versión 6, que propone los elementos que debe contemplar el diseño del control, como son: 
Responsable de ejecutar el control: identifica el cargo del servidor que ejecuta el control, en caso de que sean controles automáticos se identificará el sistema que realiza la actividad. 
Acción: se determina mediante verbos que indican la acción que deben realizar como parte del control. 
Complemento: corresponde a los detalles que permiten identificar claramente el objeto del control.
*Garantizar el adecuado reporte de la evidencia de ejecución del control, si bien es cierto que el proceso aportó como soporte, los formatos diseñados para llevar a cabo el control, no se evidencia su aplicación en los siguientes casos:
-FO-GAA-277 Formato cronograma para mantenimiento, calibración y verificación de equipos de laboratorio, sin diligenciar, además registra proyección de los años 2023 y 2024 y no lo correspondiente a la vigencia actual.
-FO-GAA-275 - Formato hoja de vida equipos de laboratorio, sin diligenciar.
Se requiere que la evidencia sea competente, es decir con calidad en relación a su relevancia y confiabilidad y suficiente en términos de cantidad y completitud, que permita demostrar de manera íntegra el hecho.
*Solicitar asesoría y acompañamiento desde la Segunda Línea de Defensa, con el fin de fortalecer la aplicación de la metodología establecida por la Universidad, para la gestión del riesgo.</v>
      </c>
      <c r="AT104" s="139"/>
    </row>
    <row r="105">
      <c r="A105" s="86"/>
      <c r="B105" s="73"/>
      <c r="C105" s="73"/>
      <c r="D105" s="156"/>
      <c r="E105" s="156"/>
      <c r="F105" s="156"/>
      <c r="G105" s="156"/>
      <c r="H105" s="156"/>
      <c r="I105" s="156"/>
      <c r="J105" s="156"/>
      <c r="K105" s="156"/>
      <c r="L105" s="156"/>
      <c r="M105" s="156"/>
      <c r="N105" s="156"/>
      <c r="O105" s="156"/>
      <c r="P105" s="156"/>
      <c r="Q105" s="157"/>
      <c r="R105" s="158" t="str">
        <f>IFERROR(__xludf.DUMMYFUNCTION("""COMPUTED_VALUE"""),"")</f>
        <v/>
      </c>
      <c r="S105" s="159" t="str">
        <f>IFERROR(__xludf.DUMMYFUNCTION("""COMPUTED_VALUE"""),"")</f>
        <v/>
      </c>
      <c r="T105" s="170"/>
      <c r="U105" s="170"/>
      <c r="V105" s="94"/>
      <c r="W105" s="94"/>
      <c r="X105" s="94"/>
      <c r="Y105" s="94"/>
      <c r="Z105" s="150" t="str">
        <f>IFERROR(__xludf.DUMMYFUNCTION("""COMPUTED_VALUE"""),"30 de agosto")</f>
        <v>30 de agosto</v>
      </c>
      <c r="AA105" s="204">
        <f>IFERROR(__xludf.DUMMYFUNCTION("""COMPUTED_VALUE"""),45895.0)</f>
        <v>45895</v>
      </c>
      <c r="AB105" s="150" t="str">
        <f>IFERROR(__xludf.DUMMYFUNCTION("""COMPUTED_VALUE"""),"Durante este primer monitoreo NO se materializó el riesgo.
Acciones asociadas al tratamiento:
La Coordinación del Sistema del Sistema de Laboratorios monitorea que todos los laboratorios enunciados en el acuerdo académico 002 de 2022  ""Por el cual se "&amp;"adscriben los laboratorios a las diferentes facultades de la Universidad de los Llanos"", hagan correcto uso de los siguientes formatos, los cuales tienen como responsabilidad mantenerlos actualizados; dando cumplimiento a las actividades mencionadas en e"&amp;"l - PD-GAA-78 Procedimiento de aseguramiento metrologico: 
- FO-GAA-275 - Formato hoja de vida equipos de laboratorio
- FO-GAA-276 Formato de inventario equipos de laboratorio
- FO-GAA-277 Formato cronograma para mantenimiento, calibración y verificación"&amp;" de equipos de laboratorio
- FO-GAA-278 Plan de mantenimiento y aseguramiento metrológico
La Coordinación del Sistema del Sistema de Laboratorios monitorea que todos los laboratorios clasificados con RIESGO QUÍMICO den cumplimiento a las directices indic"&amp;"adas en la Resolución 0773 del 2021 - SGA, a traves del diligenciamiento y actualización permanente del formato FO-GAA-13 INVENTARIO DE REACTIVOS DE LABORATORIOS.
Avance sobre los controles: 
La Coordinación del Sistema del Sistema de Laboratorios efect"&amp;"ua revisión mensual segun Cronograma de trabajo SISTEMA DE LABORATORIOS, asegunrando que la información de los equipos consignada en los siguientes formatos se encuentre actualizada por parte de cada uno de los laboratorios; dando cumplimiento a las activ"&amp;"idades mencionadas en el - PD-GAA-78 Procedimiento de aseguramiento metrologico: 
- FO-GAA-275 - Formato hoja de vida equipos de laboratorio
- FO-GAA-276 Formato de inventario equipos de laboratorio
- FO-GAA-277 Formato cronograma para mantenimiento, cal"&amp;"ibración y verificación de equipos de laboratorio
- FO-GAA-278 Plan de mantenimiento y aseguramiento metrológico
La Coordinación del Sistema del Sistema de Laboratorios efectua revisión mensual segun Cronograma de trabajo SISTEMA DE LABORATORIOS, asegura"&amp;"ndo que FO-GAA-13 INVENTARIO DE REACTIVOS DE LABORATORIOS en cada laboratorio que tenga RIESGO QUÍMICO se encuentre actualizada.")</f>
        <v>Durante este primer monitoreo NO se materializó el riesgo.
Acciones asociadas al tratamiento:
La Coordinación del Sistema del Sistema de Laboratorios monitorea que todos los laboratorios enunciados en el acuerdo académico 002 de 2022  "Por el cual se adscriben los laboratorios a las diferentes facultades de la Universidad de los Llanos", hagan correcto uso de los siguientes formatos, los cuales tienen como responsabilidad mantenerlos actualizados; dando cumplimiento a las actividades mencionadas en el - PD-GAA-78 Procedimiento de aseguramiento metrologico: 
- FO-GAA-275 - Formato hoja de vida equipos de laboratorio
- FO-GAA-276 Formato de inventario equipos de laboratorio
- FO-GAA-277 Formato cronograma para mantenimiento, calibración y verificación de equipos de laboratorio
- FO-GAA-278 Plan de mantenimiento y aseguramiento metrológico
La Coordinación del Sistema del Sistema de Laboratorios monitorea que todos los laboratorios clasificados con RIESGO QUÍMICO den cumplimiento a las directices indicadas en la Resolución 0773 del 2021 - SGA, a traves del diligenciamiento y actualización permanente del formato FO-GAA-13 INVENTARIO DE REACTIVOS DE LABORATORIOS.
Avance sobre los controles: 
La Coordinación del Sistema del Sistema de Laboratorios efectua revisión mensual segun Cronograma de trabajo SISTEMA DE LABORATORIOS, asegunrando que la información de los equipos consignada en los siguientes formatos se encuentre actualizada por parte de cada uno de los laboratorios; dando cumplimiento a las actividades mencionadas en el - PD-GAA-78 Procedimiento de aseguramiento metrologico: 
- FO-GAA-275 - Formato hoja de vida equipos de laboratorio
- FO-GAA-276 Formato de inventario equipos de laboratorio
- FO-GAA-277 Formato cronograma para mantenimiento, calibración y verificación de equipos de laboratorio
- FO-GAA-278 Plan de mantenimiento y aseguramiento metrológico
La Coordinación del Sistema del Sistema de Laboratorios efectua revisión mensual segun Cronograma de trabajo SISTEMA DE LABORATORIOS, asegurando que FO-GAA-13 INVENTARIO DE REACTIVOS DE LABORATORIOS en cada laboratorio que tenga RIESGO QUÍMICO se encuentre actualizada.</v>
      </c>
      <c r="AC105" s="152" t="str">
        <f>IFERROR(__xludf.DUMMYFUNCTION("""COMPUTED_VALUE"""),"Coordinador del Sistema de laboratorios")</f>
        <v>Coordinador del Sistema de laboratorios</v>
      </c>
      <c r="AD105" s="153" t="str">
        <f>IFERROR(__xludf.DUMMYFUNCTION("""COMPUTED_VALUE"""),"Evidencia")</f>
        <v>Evidencia</v>
      </c>
      <c r="AE105" s="150" t="str">
        <f>IFERROR(__xludf.DUMMYFUNCTION("""COMPUTED_VALUE"""),"Si")</f>
        <v>Si</v>
      </c>
      <c r="AF105" s="152" t="str">
        <f>IFERROR(__xludf.DUMMYFUNCTION("""COMPUTED_VALUE"""),"En proceso")</f>
        <v>En proceso</v>
      </c>
      <c r="AG105" s="32" t="str">
        <f>IFERROR(__xludf.DUMMYFUNCTION("""COMPUTED_VALUE"""),"Durante este monitoreo NO se materializó el riesgo.
Acciones asociadas al tratamiento:
La Coordinación del Sistema de Laboratorios realiza seguimiento para que los laboratorios enunciados en el Acuerdo Académico 002 de 2022 cumplan con el uso y actualiza"&amp;"ción de los documentos establecidos en el PD-GAA-78 Procedimiento de aseguramiento metrológico:
FO-GAA-275: Formato hoja de vida equipos de laboratorio
FO-GAA-276: Formato de inventario equipos de laboratorio
FO-GAA-277: Formato cronograma para mantenimi"&amp;"ento, calibración y verificación de equipos de laboratorio
FO-GAA-278: Plan de mantenimiento y aseguramiento metrológico
Asimismo, se verifica que los laboratorios clasificados con RIESGO QUÍMICO den cumplimiento a la Resolución 0773 de 2021 - SGA, media"&amp;"nte el diligenciamiento y actualización del FO-GAA-13 Inventario de reactivos de laboratorios.
Avance sobre los controles:
La Coordinación del Sistema de Laboratorios efectúa revisión mensual según el cronograma de trabajo del Sistema de Laboratorios, ga"&amp;"rantizando que:
Los formatos FO-GAA-275, FO-GAA-276, FO-GAA-277 y FO-GAA-278 estén debidamente actualizados por cada laboratorio.
El FO-GAA-13 Inventario de reactivos de laboratorios se encuentre actualizado en los laboratorios con riesgo químico.")</f>
        <v>Durante este monitoreo NO se materializó el riesgo.
Acciones asociadas al tratamiento:
La Coordinación del Sistema de Laboratorios realiza seguimiento para que los laboratorios enunciados en el Acuerdo Académico 002 de 2022 cumplan con el uso y actualización de los documentos establecidos en el PD-GAA-78 Procedimiento de aseguramiento metrológico:
FO-GAA-275: Formato hoja de vida equipos de laboratorio
FO-GAA-276: Formato de inventario equipos de laboratorio
FO-GAA-277: Formato cronograma para mantenimiento, calibración y verificación de equipos de laboratorio
FO-GAA-278: Plan de mantenimiento y aseguramiento metrológico
Asimismo, se verifica que los laboratorios clasificados con RIESGO QUÍMICO den cumplimiento a la Resolución 0773 de 2021 - SGA, mediante el diligenciamiento y actualización del FO-GAA-13 Inventario de reactivos de laboratorios.
Avance sobre los controles:
La Coordinación del Sistema de Laboratorios efectúa revisión mensual según el cronograma de trabajo del Sistema de Laboratorios, garantizando que:
Los formatos FO-GAA-275, FO-GAA-276, FO-GAA-277 y FO-GAA-278 estén debidamente actualizados por cada laboratorio.
El FO-GAA-13 Inventario de reactivos de laboratorios se encuentre actualizado en los laboratorios con riesgo químico.</v>
      </c>
      <c r="AH105" s="150" t="str">
        <f>IFERROR(__xludf.DUMMYFUNCTION("""COMPUTED_VALUE"""),"31 de agosto")</f>
        <v>31 de agosto</v>
      </c>
      <c r="AI105" s="32" t="str">
        <f>IFERROR(__xludf.DUMMYFUNCTION("""COMPUTED_VALUE"""),"Si")</f>
        <v>Si</v>
      </c>
      <c r="AJ105" s="32" t="str">
        <f>IFERROR(__xludf.DUMMYFUNCTION("""COMPUTED_VALUE"""),"Si")</f>
        <v>Si</v>
      </c>
      <c r="AK105" s="32" t="str">
        <f>IFERROR(__xludf.DUMMYFUNCTION("""COMPUTED_VALUE"""),"Si")</f>
        <v>Si</v>
      </c>
      <c r="AL105" s="32" t="str">
        <f>IFERROR(__xludf.DUMMYFUNCTION("""COMPUTED_VALUE"""),"Si")</f>
        <v>Si</v>
      </c>
      <c r="AM105" s="32" t="str">
        <f>IFERROR(__xludf.DUMMYFUNCTION("""COMPUTED_VALUE"""),"Si")</f>
        <v>Si</v>
      </c>
      <c r="AN105" s="32" t="str">
        <f>IFERROR(__xludf.DUMMYFUNCTION("""COMPUTED_VALUE"""),"Si")</f>
        <v>Si</v>
      </c>
      <c r="AO105" s="32" t="str">
        <f>IFERROR(__xludf.DUMMYFUNCTION("""COMPUTED_VALUE"""),"Si")</f>
        <v>Si</v>
      </c>
      <c r="AP105" s="32" t="str">
        <f>IFERROR(__xludf.DUMMYFUNCTION("""COMPUTED_VALUE"""),"No aplica")</f>
        <v>No aplica</v>
      </c>
      <c r="AQ105" s="32" t="str">
        <f>IFERROR(__xludf.DUMMYFUNCTION("""COMPUTED_VALUE"""),"No aplica")</f>
        <v>No aplica</v>
      </c>
      <c r="AR105" s="32" t="str">
        <f>IFERROR(__xludf.DUMMYFUNCTION("""COMPUTED_VALUE"""),"No aplica")</f>
        <v>No aplica</v>
      </c>
      <c r="AS105" s="150" t="str">
        <f>IFERROR(__xludf.DUMMYFUNCTION("""COMPUTED_VALUE"""),"Se observa mejora en la calidad e integridad de la evidencia reportada como soporte de la ejecución de los controles.
Se reiteran recomendaciones generadas en la evaluación del primer cuatrimestre:
Fortalecer la descripción del riesgo, considerando la me"&amp;"todología de la Guía para la Administración del Riesgo y el diseño de controles en entidades públicas Versión 6, que propone los elementos para la descripción del riesgo, como son: 
Impacto: las consecuencias que puede ocasionar a la organización la mater"&amp;"ialización del riesgo.
Causa inmediata: circunstancias o situaciones más evidentes sobre las cuales se presenta el riesgo, las mismas no constituyen la causa principal o base para que se presente el riesgo.
Causa raíz: es la causa principal o básica, corr"&amp;"esponden a las razones por la cuales se puede presentar el riesgo, son la base para la definición de controles en la etapa de valoración del riesgo. Se debe tener en cuenta que para un mismo riesgo pueden existir más de una causa o subcausas que pueden se"&amp;"r analizadas. 
*Fortalecer la descripción de los controles conforme a la metodología propuesta en la Guía para la Administración del Riesgo y el diseño de controles en entidades públicas Versión 6, que propone los elementos que debe contemplar el diseño "&amp;"del control, como son: 
Responsable de ejecutar el control: identifica el cargo del servidor que ejecuta el control, en caso de que sean controles automáticos se identificará el sistema que realiza la actividad. 
Acción: se determina mediante verbos que i"&amp;"ndican la acción que deben realizar como parte del control. 
Complemento: corresponde a los detalles que permiten identificar claramente el objeto del control.
")</f>
        <v>Se observa mejora en la calidad e integridad de la evidencia reportada como soporte de la ejecución de los controles.
Se reiteran recomendaciones generadas en la evaluación del primer cuatrimestre:
Fortalecer la descripción del riesgo, considerando la metodología de la Guía para la Administración del Riesgo y el diseño de controles en entidades públicas Versión 6, que propone los elementos para la descripción del riesgo, como son: 
Impacto: las consecuencias que puede ocasionar a la organización la materialización del riesgo.
Causa inmediata: circunstancias o situaciones más evidentes sobre las cuales se presenta el riesgo, las mismas no constituyen la causa principal o base para que se presente el riesgo.
Causa raíz: es la causa principal o básica, corresponden a las razones por la cuales se puede presentar el riesgo, son la base para la definición de controles en la etapa de valoración del riesgo. Se debe tener en cuenta que para un mismo riesgo pueden existir más de una causa o subcausas que pueden ser analizadas. 
*Fortalecer la descripción de los controles conforme a la metodología propuesta en la Guía para la Administración del Riesgo y el diseño de controles en entidades públicas Versión 6, que propone los elementos que debe contemplar el diseño del control, como son: 
Responsable de ejecutar el control: identifica el cargo del servidor que ejecuta el control, en caso de que sean controles automáticos se identificará el sistema que realiza la actividad. 
Acción: se determina mediante verbos que indican la acción que deben realizar como parte del control. 
Complemento: corresponde a los detalles que permiten identificar claramente el objeto del control.
</v>
      </c>
      <c r="AT105" s="139"/>
    </row>
    <row r="106">
      <c r="A106" s="86"/>
      <c r="B106" s="73"/>
      <c r="C106" s="73"/>
      <c r="D106" s="119"/>
      <c r="E106" s="119"/>
      <c r="F106" s="119"/>
      <c r="G106" s="119"/>
      <c r="H106" s="119"/>
      <c r="I106" s="119"/>
      <c r="J106" s="119"/>
      <c r="K106" s="119"/>
      <c r="L106" s="119"/>
      <c r="M106" s="119"/>
      <c r="N106" s="119"/>
      <c r="O106" s="119"/>
      <c r="P106" s="119"/>
      <c r="Q106" s="162"/>
      <c r="R106" s="163" t="str">
        <f>IFERROR(__xludf.DUMMYFUNCTION("""COMPUTED_VALUE"""),"")</f>
        <v/>
      </c>
      <c r="S106" s="164" t="str">
        <f>IFERROR(__xludf.DUMMYFUNCTION("""COMPUTED_VALUE"""),"")</f>
        <v/>
      </c>
      <c r="T106" s="176"/>
      <c r="U106" s="176"/>
      <c r="V106" s="98"/>
      <c r="W106" s="98"/>
      <c r="X106" s="98"/>
      <c r="Y106" s="98"/>
      <c r="Z106" s="150" t="str">
        <f>IFERROR(__xludf.DUMMYFUNCTION("""COMPUTED_VALUE"""),"30 de diciembre")</f>
        <v>30 de diciembre</v>
      </c>
      <c r="AA106" s="204">
        <f>IFERROR(__xludf.DUMMYFUNCTION("""COMPUTED_VALUE"""),45988.0)</f>
        <v>45988</v>
      </c>
      <c r="AB106" s="150" t="str">
        <f>IFERROR(__xludf.DUMMYFUNCTION("""COMPUTED_VALUE"""),"Durante este primer monitoreo NO se materializó el riesgo.
Acciones asociadas al tratamiento:
La Coordinación del Sistema del Sistema de Laboratorios monitorea que todos los laboratorios enunciados en el acuerdo académico 002 de 2022  ""Por el cual se "&amp;"adscriben los laboratorios a las diferentes facultades de la Universidad de los Llanos"", hagan correcto uso de los siguientes formatos, los cuales tienen como responsabilidad mantenerlos actualizados; dando cumplimiento a las actividades mencionadas en e"&amp;"l - PD-GAA-78 Procedimiento de aseguramiento metrologico: 
- FO-GAA-275 - Formato hoja de vida equipos de laboratorio
- FO-GAA-276 Formato de inventario equipos de laboratorio
- FO-GAA-277 Formato cronograma para mantenimiento, calibración y verificación"&amp;" de equipos de laboratorio
- FO-GAA-278 Plan de mantenimiento y aseguramiento metrológico
La Coordinación del Sistema del Sistema de Laboratorios monitorea que todos los laboratorios clasificados con RIESGO QUÍMICO den cumplimiento a las directices indic"&amp;"adas en la Resolución 0773 del 2021 - SGA, a traves del diligenciamiento y actualización permanente del formato FO-GAA-13 INVENTARIO DE REACTIVOS DE LABORATORIOS.
Avance sobre los controles: 
La Coordinación del Sistema del Sistema de Laboratorios efect"&amp;"ua revisión mensual segun Cronograma de trabajo SISTEMA DE LABORATORIOS, asegunrando que la información de los equipos consignada en los siguientes formatos se encuentre actualizada por parte de cada uno de los laboratorios; dando cumplimiento a las activ"&amp;"idades mencionadas en el - PD-GAA-78 Procedimiento de aseguramiento metrologico: 
- FO-GAA-275 - Formato hoja de vida equipos de laboratorio
- FO-GAA-276 Formato de inventario equipos de laboratorio
- FO-GAA-277 Formato cronograma para mantenimiento, cal"&amp;"ibración y verificación de equipos de laboratorio
- FO-GAA-278 Plan de mantenimiento y aseguramiento metrológico
La Coordinación del Sistema del Sistema de Laboratorios efectua revisión mensual segun Cronograma de trabajo SISTEMA DE LABORATORIOS, asegura"&amp;"ndo que FO-GAA-13 INVENTARIO DE REACTIVOS DE LABORATORIOS en cada laboratorio que tenga RIESGO QUÍMICO se encuentre actualizada.")</f>
        <v>Durante este primer monitoreo NO se materializó el riesgo.
Acciones asociadas al tratamiento:
La Coordinación del Sistema del Sistema de Laboratorios monitorea que todos los laboratorios enunciados en el acuerdo académico 002 de 2022  "Por el cual se adscriben los laboratorios a las diferentes facultades de la Universidad de los Llanos", hagan correcto uso de los siguientes formatos, los cuales tienen como responsabilidad mantenerlos actualizados; dando cumplimiento a las actividades mencionadas en el - PD-GAA-78 Procedimiento de aseguramiento metrologico: 
- FO-GAA-275 - Formato hoja de vida equipos de laboratorio
- FO-GAA-276 Formato de inventario equipos de laboratorio
- FO-GAA-277 Formato cronograma para mantenimiento, calibración y verificación de equipos de laboratorio
- FO-GAA-278 Plan de mantenimiento y aseguramiento metrológico
La Coordinación del Sistema del Sistema de Laboratorios monitorea que todos los laboratorios clasificados con RIESGO QUÍMICO den cumplimiento a las directices indicadas en la Resolución 0773 del 2021 - SGA, a traves del diligenciamiento y actualización permanente del formato FO-GAA-13 INVENTARIO DE REACTIVOS DE LABORATORIOS.
Avance sobre los controles: 
La Coordinación del Sistema del Sistema de Laboratorios efectua revisión mensual segun Cronograma de trabajo SISTEMA DE LABORATORIOS, asegunrando que la información de los equipos consignada en los siguientes formatos se encuentre actualizada por parte de cada uno de los laboratorios; dando cumplimiento a las actividades mencionadas en el - PD-GAA-78 Procedimiento de aseguramiento metrologico: 
- FO-GAA-275 - Formato hoja de vida equipos de laboratorio
- FO-GAA-276 Formato de inventario equipos de laboratorio
- FO-GAA-277 Formato cronograma para mantenimiento, calibración y verificación de equipos de laboratorio
- FO-GAA-278 Plan de mantenimiento y aseguramiento metrológico
La Coordinación del Sistema del Sistema de Laboratorios efectua revisión mensual segun Cronograma de trabajo SISTEMA DE LABORATORIOS, asegurando que FO-GAA-13 INVENTARIO DE REACTIVOS DE LABORATORIOS en cada laboratorio que tenga RIESGO QUÍMICO se encuentre actualizada.</v>
      </c>
      <c r="AC106" s="152" t="str">
        <f>IFERROR(__xludf.DUMMYFUNCTION("""COMPUTED_VALUE"""),"Coordinador del Sistema de laboratorios")</f>
        <v>Coordinador del Sistema de laboratorios</v>
      </c>
      <c r="AD106" s="153" t="str">
        <f>IFERROR(__xludf.DUMMYFUNCTION("""COMPUTED_VALUE"""),"Evidencia")</f>
        <v>Evidencia</v>
      </c>
      <c r="AE106" s="150" t="str">
        <f>IFERROR(__xludf.DUMMYFUNCTION("""COMPUTED_VALUE"""),"Si")</f>
        <v>Si</v>
      </c>
      <c r="AF106" s="152" t="str">
        <f>IFERROR(__xludf.DUMMYFUNCTION("""COMPUTED_VALUE"""),"Ejecutada")</f>
        <v>Ejecutada</v>
      </c>
      <c r="AG106" s="32" t="str">
        <f>IFERROR(__xludf.DUMMYFUNCTION("""COMPUTED_VALUE"""),"-Durante el presente monitoreo no se materializó el riesgo.
-Se evidenció que la Coordinación del Sistema de Laboratorios realiza seguimiento permanente al cumplimiento del PD-GAA-78 – Procedimiento de Aseguramiento Metrológico, verificando la actualizac"&amp;"ión de los formatos de hoja de vida, inventario, cronograma y plan de mantenimiento de los equipos de laboratorio.
-Asimismo, se monitorea que los laboratorios clasificados con riesgo químico mantengan actualizado el FO-GAA-13 – Inventario de Reactivos, "&amp;"conforme a lo establecido en la Resolución 0773 de 2021 – SGA.
-Las revisiones se realizan de manera mensual, de acuerdo con el cronograma del Sistema de Laboratorios, lo que permitió mantener el riesgo en niveles controlados.
-Continuar con el seguimie"&amp;"nto mensual establecido, fortaleciendo la trazabilidad del control mediante registros consistentes y oportunos de las revisiones realizadas.")</f>
        <v>-Durante el presente monitoreo no se materializó el riesgo.
-Se evidenció que la Coordinación del Sistema de Laboratorios realiza seguimiento permanente al cumplimiento del PD-GAA-78 – Procedimiento de Aseguramiento Metrológico, verificando la actualización de los formatos de hoja de vida, inventario, cronograma y plan de mantenimiento de los equipos de laboratorio.
-Asimismo, se monitorea que los laboratorios clasificados con riesgo químico mantengan actualizado el FO-GAA-13 – Inventario de Reactivos, conforme a lo establecido en la Resolución 0773 de 2021 – SGA.
-Las revisiones se realizan de manera mensual, de acuerdo con el cronograma del Sistema de Laboratorios, lo que permitió mantener el riesgo en niveles controlados.
-Continuar con el seguimiento mensual establecido, fortaleciendo la trazabilidad del control mediante registros consistentes y oportunos de las revisiones realizadas.</v>
      </c>
      <c r="AH106" s="150" t="str">
        <f>IFERROR(__xludf.DUMMYFUNCTION("""COMPUTED_VALUE"""),"31 de diciembre")</f>
        <v>31 de diciembre</v>
      </c>
      <c r="AI106" s="32"/>
      <c r="AJ106" s="32" t="str">
        <f>IFERROR(__xludf.DUMMYFUNCTION("""COMPUTED_VALUE"""),"Si")</f>
        <v>Si</v>
      </c>
      <c r="AK106" s="32" t="str">
        <f>IFERROR(__xludf.DUMMYFUNCTION("""COMPUTED_VALUE"""),"Si")</f>
        <v>Si</v>
      </c>
      <c r="AL106" s="32" t="str">
        <f>IFERROR(__xludf.DUMMYFUNCTION("""COMPUTED_VALUE"""),"Si")</f>
        <v>Si</v>
      </c>
      <c r="AM106" s="32" t="str">
        <f>IFERROR(__xludf.DUMMYFUNCTION("""COMPUTED_VALUE"""),"Si")</f>
        <v>Si</v>
      </c>
      <c r="AN106" s="32" t="str">
        <f>IFERROR(__xludf.DUMMYFUNCTION("""COMPUTED_VALUE"""),"Si")</f>
        <v>Si</v>
      </c>
      <c r="AO106" s="32" t="str">
        <f>IFERROR(__xludf.DUMMYFUNCTION("""COMPUTED_VALUE"""),"Si")</f>
        <v>Si</v>
      </c>
      <c r="AP106" s="32" t="str">
        <f>IFERROR(__xludf.DUMMYFUNCTION("""COMPUTED_VALUE"""),"No aplica")</f>
        <v>No aplica</v>
      </c>
      <c r="AQ106" s="32" t="str">
        <f>IFERROR(__xludf.DUMMYFUNCTION("""COMPUTED_VALUE"""),"No aplica")</f>
        <v>No aplica</v>
      </c>
      <c r="AR106" s="32" t="str">
        <f>IFERROR(__xludf.DUMMYFUNCTION("""COMPUTED_VALUE"""),"No aplica")</f>
        <v>No aplica</v>
      </c>
      <c r="AS106" s="150" t="str">
        <f>IFERROR(__xludf.DUMMYFUNCTION("""COMPUTED_VALUE"""),"Se observa mejora en la calidad e integridad de la evidencia reportada como soporte de la ejecución de los controles.
Se reiteran recomendaciones generadas en la evaluación del primer y segundo cuatrimestre:
Fortalecer la descripción del riesgo, consider"&amp;"ando la metodología de la Guía para la Administración del Riesgo y el diseño de controles en entidades públicas Versión 6, que propone los elementos para la descripción del riesgo, como son: 
Impacto: las consecuencias que puede ocasionar a la organizació"&amp;"n la materialización del riesgo.
Causa inmediata: circunstancias o situaciones más evidentes sobre las cuales se presenta el riesgo, las mismas no constituyen la causa principal o base para que se presente el riesgo.
Causa raíz: es la causa principal o bá"&amp;"sica, corresponden a las razones por la cuales se puede presentar el riesgo, son la base para la definición de controles en la etapa de valoración del riesgo. Se debe tener en cuenta que para un mismo riesgo pueden existir más de una causa o subcausas que"&amp;" pueden ser analizadas. 
*Fortalecer la descripción de los controles conforme a la metodología propuesta en la Guía para la Administración del Riesgo y el diseño de controles en entidades públicas Versión 6, que propone los elementos que debe contemplar "&amp;"el diseño del control, como son: 
Responsable de ejecutar el control: identifica el cargo del servidor que ejecuta el control, en caso de que sean controles automáticos se identificará el sistema que realiza la actividad. 
Acción: se determina mediante ve"&amp;"rbos que indican la acción que deben realizar como parte del control. 
Complemento: corresponde a los detalles que permiten identificar claramente el objeto del control.
")</f>
        <v>Se observa mejora en la calidad e integridad de la evidencia reportada como soporte de la ejecución de los controles.
Se reiteran recomendaciones generadas en la evaluación del primer y segundo cuatrimestre:
Fortalecer la descripción del riesgo, considerando la metodología de la Guía para la Administración del Riesgo y el diseño de controles en entidades públicas Versión 6, que propone los elementos para la descripción del riesgo, como son: 
Impacto: las consecuencias que puede ocasionar a la organización la materialización del riesgo.
Causa inmediata: circunstancias o situaciones más evidentes sobre las cuales se presenta el riesgo, las mismas no constituyen la causa principal o base para que se presente el riesgo.
Causa raíz: es la causa principal o básica, corresponden a las razones por la cuales se puede presentar el riesgo, son la base para la definición de controles en la etapa de valoración del riesgo. Se debe tener en cuenta que para un mismo riesgo pueden existir más de una causa o subcausas que pueden ser analizadas. 
*Fortalecer la descripción de los controles conforme a la metodología propuesta en la Guía para la Administración del Riesgo y el diseño de controles en entidades públicas Versión 6, que propone los elementos que debe contemplar el diseño del control, como son: 
Responsable de ejecutar el control: identifica el cargo del servidor que ejecuta el control, en caso de que sean controles automáticos se identificará el sistema que realiza la actividad. 
Acción: se determina mediante verbos que indican la acción que deben realizar como parte del control. 
Complemento: corresponde a los detalles que permiten identificar claramente el objeto del control.
</v>
      </c>
      <c r="AT106" s="139"/>
    </row>
    <row r="107">
      <c r="A107" s="86"/>
      <c r="B107" s="73"/>
      <c r="C107" s="73"/>
      <c r="D107" s="144" t="str">
        <f>IFERROR(__xludf.DUMMYFUNCTION("""COMPUTED_VALUE"""),"Afectacion económica y reputacional por el incumplimiento de las metas y actividades programadas dentro de las fichas BPUNI, debido al inadecuado control y seguimiento por parte de la coordinación del sistema de laboratorios")</f>
        <v>Afectacion económica y reputacional por el incumplimiento de las metas y actividades programadas dentro de las fichas BPUNI, debido al inadecuado control y seguimiento por parte de la coordinación del sistema de laboratorios</v>
      </c>
      <c r="E107" s="144" t="str">
        <f>IFERROR(__xludf.DUMMYFUNCTION("""COMPUTED_VALUE"""),"Coordinación de Laboratorios")</f>
        <v>Coordinación de Laboratorios</v>
      </c>
      <c r="F107" s="144" t="str">
        <f>IFERROR(__xludf.DUMMYFUNCTION("""COMPUTED_VALUE"""),"Gestión")</f>
        <v>Gestión</v>
      </c>
      <c r="G107" s="144" t="str">
        <f>IFERROR(__xludf.DUMMYFUNCTION("""COMPUTED_VALUE"""),"- Inadecuado control y seguimiento de la coordinación del sistema de laboratorios a las actividades descritas en las fichas BPUNI para el cumplimiento de las  metas planeadas.")</f>
        <v>- Inadecuado control y seguimiento de la coordinación del sistema de laboratorios a las actividades descritas en las fichas BPUNI para el cumplimiento de las  metas planeadas.</v>
      </c>
      <c r="H107" s="144" t="str">
        <f>IFERROR(__xludf.DUMMYFUNCTION("""COMPUTED_VALUE"""),"1. No conformidades en auditoria interna por parte de control interno de gestión.
2. Hallazgos de los entes de control externos.
3. Incumplimiento de las metas propuestas fichas BPUNI.
4. Incumplimiento en la ejecución de los cursos practicos por la falta"&amp;" de disponibilidad de recursos para los procesos misionales de investigacion y docencia para las proximas vigencias.")</f>
        <v>1. No conformidades en auditoria interna por parte de control interno de gestión.
2. Hallazgos de los entes de control externos.
3. Incumplimiento de las metas propuestas fichas BPUNI.
4. Incumplimiento en la ejecución de los cursos practicos por la falta de disponibilidad de recursos para los procesos misionales de investigacion y docencia para las proximas vigencias.</v>
      </c>
      <c r="I107" s="145" t="str">
        <f>IFERROR(__xludf.DUMMYFUNCTION("""COMPUTED_VALUE"""),"GAA_03")</f>
        <v>GAA_03</v>
      </c>
      <c r="J107" s="145" t="str">
        <f>IFERROR(__xludf.DUMMYFUNCTION("""COMPUTED_VALUE"""),"Baja")</f>
        <v>Baja</v>
      </c>
      <c r="K107" s="145" t="str">
        <f>IFERROR(__xludf.DUMMYFUNCTION("""COMPUTED_VALUE"""),"Moderado")</f>
        <v>Moderado</v>
      </c>
      <c r="L107" s="145" t="str">
        <f>IFERROR(__xludf.DUMMYFUNCTION("""COMPUTED_VALUE"""),"Media")</f>
        <v>Media</v>
      </c>
      <c r="M107" s="144" t="str">
        <f>IFERROR(__xludf.DUMMYFUNCTION("""COMPUTED_VALUE"""),"- El coordinador del sistema de laboratorios realiza el seguimiento y control trimestral de los proyectos ficha BPUNI por medio de FO-DIE-08 Formato de seguimiento a proyectos de inversión.
- Revisión por parte del coordinador del sistema laboratorios de "&amp;"los informes mensuales de actividades de los contratistas profesionales de apoyo del sistema de laboratorios.
")</f>
        <v>- El coordinador del sistema de laboratorios realiza el seguimiento y control trimestral de los proyectos ficha BPUNI por medio de FO-DIE-08 Formato de seguimiento a proyectos de inversión.
- Revisión por parte del coordinador del sistema laboratorios de los informes mensuales de actividades de los contratistas profesionales de apoyo del sistema de laboratorios.
</v>
      </c>
      <c r="N107" s="145" t="str">
        <f>IFERROR(__xludf.DUMMYFUNCTION("""COMPUTED_VALUE"""),"Muy baja")</f>
        <v>Muy baja</v>
      </c>
      <c r="O107" s="145" t="str">
        <f>IFERROR(__xludf.DUMMYFUNCTION("""COMPUTED_VALUE"""),"Moderado")</f>
        <v>Moderado</v>
      </c>
      <c r="P107" s="145" t="str">
        <f>IFERROR(__xludf.DUMMYFUNCTION("""COMPUTED_VALUE"""),"Media")</f>
        <v>Media</v>
      </c>
      <c r="Q107" s="178" t="str">
        <f>IFERROR(__xludf.DUMMYFUNCTION("""COMPUTED_VALUE"""),"Reducir")</f>
        <v>Reducir</v>
      </c>
      <c r="R107" s="158" t="str">
        <f>IFERROR(__xludf.DUMMYFUNCTION("""COMPUTED_VALUE"""),"Realizar seguimiento a la ejecución de las actividades relacionadas con las fichas BPUNI en el cronograma de trabajo de la coordinación del sistema de laboratorios.")</f>
        <v>Realizar seguimiento a la ejecución de las actividades relacionadas con las fichas BPUNI en el cronograma de trabajo de la coordinación del sistema de laboratorios.</v>
      </c>
      <c r="S107" s="159" t="str">
        <f>IFERROR(__xludf.DUMMYFUNCTION("""COMPUTED_VALUE"""),"Cuatrimestral")</f>
        <v>Cuatrimestral</v>
      </c>
      <c r="T107" s="170" t="str">
        <f>IFERROR(__xludf.DUMMYFUNCTION("""COMPUTED_VALUE"""),"Coordinador del sistema de laboratorios")</f>
        <v>Coordinador del sistema de laboratorios</v>
      </c>
      <c r="U107" s="170" t="str">
        <f>IFERROR(__xludf.DUMMYFUNCTION("""COMPUTED_VALUE"""),"Cronograma de trabajo con los seguimientos realizados")</f>
        <v>Cronograma de trabajo con los seguimientos realizados</v>
      </c>
      <c r="V107" s="167" t="str">
        <f>IFERROR(__xludf.DUMMYFUNCTION("""COMPUTED_VALUE"""),"Elaborar y enviar al responsable del proyecto el reporte de seguimiento (FO-DIE-08) con las actividades ejecutadas, y la justificacion de las actividades no ejecutadas en el campo de observaciones.")</f>
        <v>Elaborar y enviar al responsable del proyecto el reporte de seguimiento (FO-DIE-08) con las actividades ejecutadas, y la justificacion de las actividades no ejecutadas en el campo de observaciones.</v>
      </c>
      <c r="W107" s="167" t="str">
        <f>IFERROR(__xludf.DUMMYFUNCTION("""COMPUTED_VALUE"""),"FO-DIE-08 Formato de seguimiento a proyectos diligenciado")</f>
        <v>FO-DIE-08 Formato de seguimiento a proyectos diligenciado</v>
      </c>
      <c r="X107" s="169" t="str">
        <f>IFERROR(__xludf.DUMMYFUNCTION("""COMPUTED_VALUE"""),"Coordinacion del Sistema de Laboratorios")</f>
        <v>Coordinacion del Sistema de Laboratorios</v>
      </c>
      <c r="Y107" s="169" t="str">
        <f>IFERROR(__xludf.DUMMYFUNCTION("""COMPUTED_VALUE"""),"Inmediato")</f>
        <v>Inmediato</v>
      </c>
      <c r="Z107" s="150" t="str">
        <f>IFERROR(__xludf.DUMMYFUNCTION("""COMPUTED_VALUE"""),"30 de abril")</f>
        <v>30 de abril</v>
      </c>
      <c r="AA107" s="204">
        <f>IFERROR(__xludf.DUMMYFUNCTION("""COMPUTED_VALUE"""),45776.0)</f>
        <v>45776</v>
      </c>
      <c r="AB107" s="150" t="str">
        <f>IFERROR(__xludf.DUMMYFUNCTION("""COMPUTED_VALUE"""),"Durante este primer monitoreo NO se materializó el riesgo.
Acciones asociadas al tratamiento: 
El coordinador del sistema de laboratorios realiza el seguimiento y control mensual de los proyectos ficha BPUNI por medio de FO-DIE-08 Formato de seguimiento"&amp;" a proyectos de inversión. Los proyectos para realizar control y seguimiento en 2025 son: VIARE 07 1907 2024 - ADQUISICIÓN DE EQUIPOS Y MOBILIARIO PARA EL FORTALECIMIENTO DE LOS LABORATORIOS DE LA UNIVERSIDAD DE LOS LLANOS, VIAC 10 1610 2024 POTENCIAR EL "&amp;"DESARROLLO DEL SISTEMA DE LABORATORIOS COMO APOYO AL CUMPLIMIENTO DE LAS FUNCIONES MISIONALES DE LA UNIVERSIDAD DE LLANOS.
El Coordinador del sistema laboratorios realiza el seguimiento y revisión de los informes mensuales de actividades de los contratis"&amp;"tas profesionales de apoyo del sistema de laboratorios.
Avance sobre los controles:
Para el año 2025 se han ejecutados los seguimientos correspondientes a los meses de Enero, Febrero y Marzo del proyecto VIAC 10 1610 2024 POTENCIAR EL DESARROLLO DEL SIS"&amp;"TEMA DE LABORATORIOS COMO APOYO AL CUMPLIMIENTO DE LAS FUNCIONES MISIONALES DE LA UNIVERSIDAD DE LLANOS. Los seguimientos se registran por medio del FO-DIE-08 Formato de seguimiento a proyectos de inversión, en los cuales se evidencian los correspondiente"&amp;"s porcentajes de cumplimiento mes a mes a fin de llegar al 100% de la meta.")</f>
        <v>Durante este primer monitoreo NO se materializó el riesgo.
Acciones asociadas al tratamiento: 
El coordinador del sistema de laboratorios realiza el seguimiento y control mensual de los proyectos ficha BPUNI por medio de FO-DIE-08 Formato de seguimiento a proyectos de inversión. Los proyectos para realizar control y seguimiento en 2025 son: VIARE 07 1907 2024 - ADQUISICIÓN DE EQUIPOS Y MOBILIARIO PARA EL FORTALECIMIENTO DE LOS LABORATORIOS DE LA UNIVERSIDAD DE LOS LLANOS, VIAC 10 1610 2024 POTENCIAR EL DESARROLLO DEL SISTEMA DE LABORATORIOS COMO APOYO AL CUMPLIMIENTO DE LAS FUNCIONES MISIONALES DE LA UNIVERSIDAD DE LLANOS.
El Coordinador del sistema laboratorios realiza el seguimiento y revisión de los informes mensuales de actividades de los contratistas profesionales de apoyo del sistema de laboratorios.
Avance sobre los controles:
Para el año 2025 se han ejecutados los seguimientos correspondientes a los meses de Enero, Febrero y Marzo del proyecto VIAC 10 1610 2024 POTENCIAR EL DESARROLLO DEL SISTEMA DE LABORATORIOS COMO APOYO AL CUMPLIMIENTO DE LAS FUNCIONES MISIONALES DE LA UNIVERSIDAD DE LLANOS. Los seguimientos se registran por medio del FO-DIE-08 Formato de seguimiento a proyectos de inversión, en los cuales se evidencian los correspondientes porcentajes de cumplimiento mes a mes a fin de llegar al 100% de la meta.</v>
      </c>
      <c r="AC107" s="152" t="str">
        <f>IFERROR(__xludf.DUMMYFUNCTION("""COMPUTED_VALUE"""),"Coordinador del Sistema de laboratorios")</f>
        <v>Coordinador del Sistema de laboratorios</v>
      </c>
      <c r="AD107" s="153" t="str">
        <f>IFERROR(__xludf.DUMMYFUNCTION("""COMPUTED_VALUE"""),"Evidencia")</f>
        <v>Evidencia</v>
      </c>
      <c r="AE107" s="150" t="str">
        <f>IFERROR(__xludf.DUMMYFUNCTION("""COMPUTED_VALUE"""),"Si")</f>
        <v>Si</v>
      </c>
      <c r="AF107" s="150" t="str">
        <f>IFERROR(__xludf.DUMMYFUNCTION("""COMPUTED_VALUE"""),"En proceso")</f>
        <v>En proceso</v>
      </c>
      <c r="AG107" s="32" t="str">
        <f>IFERROR(__xludf.DUMMYFUNCTION("""COMPUTED_VALUE"""),"Durante este primer monitoreo NO se materializó el riesgo.
Acciones asociadas al tratamiento:
El Coordinador del sistema de laboratorios realiza el seguimiento a la ejecución de las actividades relacionadas con las fichas BPUNI, mediante su inclusión en "&amp;"el cronograma de trabajo de la coordinación del sistema de laboratorios.
La acción de mejora consiste en efectuar este seguimiento de forma cuatrimestral y documentarlo a través del cronograma de trabajo con los seguimientos realizados.
Avance sobre los "&amp;"controles:
Se están implementando los controles definidos, entre los cuales se destaca:
El seguimiento y control trimestral de los proyectos ficha BPUNI a través del FO-DIE-08 (Formato de seguimiento a proyectos de inversión).
La revisión de los informe"&amp;"s mensuales de actividades de los contratistas profesionales de apoyo del sistema de laboratorios.
Estos controles permiten evidenciar de manera periódica el avance de las actividades planificadas, ayudando a mantener actualizado el estado de ejecución d"&amp;"e los proyectos y garantizando así que se actúe oportunamente en caso de detectar desviaciones.
")</f>
        <v>Durante este primer monitoreo NO se materializó el riesgo.
Acciones asociadas al tratamiento:
El Coordinador del sistema de laboratorios realiza el seguimiento a la ejecución de las actividades relacionadas con las fichas BPUNI, mediante su inclusión en el cronograma de trabajo de la coordinación del sistema de laboratorios.
La acción de mejora consiste en efectuar este seguimiento de forma cuatrimestral y documentarlo a través del cronograma de trabajo con los seguimientos realizados.
Avance sobre los controles:
Se están implementando los controles definidos, entre los cuales se destaca:
El seguimiento y control trimestral de los proyectos ficha BPUNI a través del FO-DIE-08 (Formato de seguimiento a proyectos de inversión).
La revisión de los informes mensuales de actividades de los contratistas profesionales de apoyo del sistema de laboratorios.
Estos controles permiten evidenciar de manera periódica el avance de las actividades planificadas, ayudando a mantener actualizado el estado de ejecución de los proyectos y garantizando así que se actúe oportunamente en caso de detectar desviaciones.
</v>
      </c>
      <c r="AH107" s="150" t="str">
        <f>IFERROR(__xludf.DUMMYFUNCTION("""COMPUTED_VALUE"""),"30 de abril")</f>
        <v>30 de abril</v>
      </c>
      <c r="AI107" s="32" t="str">
        <f>IFERROR(__xludf.DUMMYFUNCTION("""COMPUTED_VALUE"""),"Si")</f>
        <v>Si</v>
      </c>
      <c r="AJ107" s="32" t="str">
        <f>IFERROR(__xludf.DUMMYFUNCTION("""COMPUTED_VALUE"""),"Si")</f>
        <v>Si</v>
      </c>
      <c r="AK107" s="32" t="str">
        <f>IFERROR(__xludf.DUMMYFUNCTION("""COMPUTED_VALUE"""),"Si")</f>
        <v>Si</v>
      </c>
      <c r="AL107" s="32" t="str">
        <f>IFERROR(__xludf.DUMMYFUNCTION("""COMPUTED_VALUE"""),"Si")</f>
        <v>Si</v>
      </c>
      <c r="AM107" s="32" t="str">
        <f>IFERROR(__xludf.DUMMYFUNCTION("""COMPUTED_VALUE"""),"Si")</f>
        <v>Si</v>
      </c>
      <c r="AN107" s="32" t="str">
        <f>IFERROR(__xludf.DUMMYFUNCTION("""COMPUTED_VALUE"""),"Si")</f>
        <v>Si</v>
      </c>
      <c r="AO107" s="32" t="str">
        <f>IFERROR(__xludf.DUMMYFUNCTION("""COMPUTED_VALUE"""),"Si")</f>
        <v>Si</v>
      </c>
      <c r="AP107" s="32" t="str">
        <f>IFERROR(__xludf.DUMMYFUNCTION("""COMPUTED_VALUE"""),"No aplica")</f>
        <v>No aplica</v>
      </c>
      <c r="AQ107" s="32" t="str">
        <f>IFERROR(__xludf.DUMMYFUNCTION("""COMPUTED_VALUE"""),"No aplica")</f>
        <v>No aplica</v>
      </c>
      <c r="AR107" s="32" t="str">
        <f>IFERROR(__xludf.DUMMYFUNCTION("""COMPUTED_VALUE"""),"No aplica")</f>
        <v>No aplica</v>
      </c>
      <c r="AS107" s="150" t="str">
        <f>IFERROR(__xludf.DUMMYFUNCTION("""COMPUTED_VALUE"""),"Ninguna")</f>
        <v>Ninguna</v>
      </c>
      <c r="AT107" s="139"/>
    </row>
    <row r="108">
      <c r="A108" s="86"/>
      <c r="B108" s="73"/>
      <c r="C108" s="73"/>
      <c r="D108" s="156"/>
      <c r="E108" s="156"/>
      <c r="F108" s="156"/>
      <c r="G108" s="156"/>
      <c r="H108" s="156"/>
      <c r="I108" s="156"/>
      <c r="J108" s="156"/>
      <c r="K108" s="156"/>
      <c r="L108" s="156"/>
      <c r="M108" s="156"/>
      <c r="N108" s="156"/>
      <c r="O108" s="156"/>
      <c r="P108" s="156"/>
      <c r="Q108" s="157"/>
      <c r="R108" s="158" t="str">
        <f>IFERROR(__xludf.DUMMYFUNCTION("""COMPUTED_VALUE"""),"")</f>
        <v/>
      </c>
      <c r="S108" s="159" t="str">
        <f>IFERROR(__xludf.DUMMYFUNCTION("""COMPUTED_VALUE"""),"")</f>
        <v/>
      </c>
      <c r="T108" s="170"/>
      <c r="U108" s="170"/>
      <c r="V108" s="94"/>
      <c r="W108" s="94"/>
      <c r="X108" s="94"/>
      <c r="Y108" s="94"/>
      <c r="Z108" s="150" t="str">
        <f>IFERROR(__xludf.DUMMYFUNCTION("""COMPUTED_VALUE"""),"30 de agosto")</f>
        <v>30 de agosto</v>
      </c>
      <c r="AA108" s="204">
        <f>IFERROR(__xludf.DUMMYFUNCTION("""COMPUTED_VALUE"""),45895.0)</f>
        <v>45895</v>
      </c>
      <c r="AB108" s="150" t="str">
        <f>IFERROR(__xludf.DUMMYFUNCTION("""COMPUTED_VALUE"""),"Durante este primer monitoreo NO se materializó el riesgo.
Acciones asociadas al tratamiento: 
El coordinador del sistema de laboratorios realiza el seguimiento y control mensual de los proyectos ficha BPUNI por medio de FO-DIE-08 Formato de seguimiento"&amp;" a proyectos de inversión. Los proyectos para realizar control y seguimiento en 2025 son: VIARE 07 1907 2024 - ADQUISICIÓN DE EQUIPOS Y MOBILIARIO PARA EL FORTALECIMIENTO DE LOS LABORATORIOS DE LA UNIVERSIDAD DE LOS LLANOS, VIAC 10 1610 2024 POTENCIAR EL "&amp;"DESARROLLO DEL SISTEMA DE LABORATORIOS COMO APOYO AL CUMPLIMIENTO DE LAS FUNCIONES MISIONALES DE LA UNIVERSIDAD DE LLANOS.
El Coordinador del sistema laboratorios realiza el seguimiento y revisión de los informes mensuales de actividades de los contratis"&amp;"tas profesionales de apoyo del sistema de laboratorios.
Avance sobre los controles:
Para el segundo cuatrimetre del año 2025 se han ejecutados los seguimientos correspondientes a los meses de abril, mayo, junio y julio del proyecto VIAC 10 1610 2024 POT"&amp;"ENCIAR EL DESARROLLO DEL SISTEMA DE LABORATORIOS COMO APOYO AL CUMPLIMIENTO DE LAS FUNCIONES MISIONALES DE LA UNIVERSIDAD DE LLANOS. Los seguimientos se registran por medio del FO-DIE-08 Formato de seguimiento a proyectos de inversión, en los cuales se ev"&amp;"idencian los correspondientes porcentajes de cumplimiento mes a mes a fin de llegar al 100% de la meta.")</f>
        <v>Durante este primer monitoreo NO se materializó el riesgo.
Acciones asociadas al tratamiento: 
El coordinador del sistema de laboratorios realiza el seguimiento y control mensual de los proyectos ficha BPUNI por medio de FO-DIE-08 Formato de seguimiento a proyectos de inversión. Los proyectos para realizar control y seguimiento en 2025 son: VIARE 07 1907 2024 - ADQUISICIÓN DE EQUIPOS Y MOBILIARIO PARA EL FORTALECIMIENTO DE LOS LABORATORIOS DE LA UNIVERSIDAD DE LOS LLANOS, VIAC 10 1610 2024 POTENCIAR EL DESARROLLO DEL SISTEMA DE LABORATORIOS COMO APOYO AL CUMPLIMIENTO DE LAS FUNCIONES MISIONALES DE LA UNIVERSIDAD DE LLANOS.
El Coordinador del sistema laboratorios realiza el seguimiento y revisión de los informes mensuales de actividades de los contratistas profesionales de apoyo del sistema de laboratorios.
Avance sobre los controles:
Para el segundo cuatrimetre del año 2025 se han ejecutados los seguimientos correspondientes a los meses de abril, mayo, junio y julio del proyecto VIAC 10 1610 2024 POTENCIAR EL DESARROLLO DEL SISTEMA DE LABORATORIOS COMO APOYO AL CUMPLIMIENTO DE LAS FUNCIONES MISIONALES DE LA UNIVERSIDAD DE LLANOS. Los seguimientos se registran por medio del FO-DIE-08 Formato de seguimiento a proyectos de inversión, en los cuales se evidencian los correspondientes porcentajes de cumplimiento mes a mes a fin de llegar al 100% de la meta.</v>
      </c>
      <c r="AC108" s="152" t="str">
        <f>IFERROR(__xludf.DUMMYFUNCTION("""COMPUTED_VALUE"""),"Coordinador del Sistema de laboratorios")</f>
        <v>Coordinador del Sistema de laboratorios</v>
      </c>
      <c r="AD108" s="153" t="str">
        <f>IFERROR(__xludf.DUMMYFUNCTION("""COMPUTED_VALUE"""),"Evidencia")</f>
        <v>Evidencia</v>
      </c>
      <c r="AE108" s="150" t="str">
        <f>IFERROR(__xludf.DUMMYFUNCTION("""COMPUTED_VALUE"""),"Si")</f>
        <v>Si</v>
      </c>
      <c r="AF108" s="152" t="str">
        <f>IFERROR(__xludf.DUMMYFUNCTION("""COMPUTED_VALUE"""),"Pendiente")</f>
        <v>Pendiente</v>
      </c>
      <c r="AG108" s="32" t="str">
        <f>IFERROR(__xludf.DUMMYFUNCTION("""COMPUTED_VALUE"""),"Durante este primer monitoreo no se materializó el riesgo.
Sobre los controles:
c1 El coordinador del sistema de laboratorios realiza el seguimiento y control trimestral de los proyectos ficha BPUNI por medio de FO-DIE-08 Formato de seguimiento a proyec"&amp;"tos de inversión:
Avance: Se verificó que durante el segundo cuatrimestre de 2025 se ejecutaron los seguimientos de los meses de abril, mayo, junio y julio del proyecto VIAC 10 1610 2024 – Potenciar el desarrollo del sistema de laboratorios como apoyo al "&amp;"cumplimiento de las funciones misionales de la Universidad de los Llanos. Los avances fueron registrados en el formato FO-DIE-08, en el cual se evidencian los porcentajes de cumplimiento mensual proyectados hacia el logro del 100% de la meta.
c2 Revisión"&amp;" por parte del coordinador del sistema de laboratorios de los informes mensuales de actividades de los contratistas profesionales de apoyo del sistema de laboratorios:
Avance: Se constató la revisión de los informes mensuales presentados por los contratis"&amp;"tas, con soporte en el cronograma de trabajo de la coordinación del sistema de laboratorios.
Sobre las acciones de tratamiento:
Acción 1 – Realizar seguimiento a la ejecución de las actividades relacionadas con las fichas BPUNI en el cronograma de traba"&amp;"jo de la coordinación del sistema de laboratorios (frecuencia cuatrimestral):
Se verificó que la coordinación realizó los seguimientos establecidos, con evidencia en el cronograma de trabajo con los seguimientos realizados, el cual incluye los proyectos e"&amp;"n ejecución para 2025:
VIARE 07 1907 2024 – Adquisición de equipos y mobiliario para el fortalecimiento de los laboratorios de la Universidad de los Llanos.
VIAC 10 1610 2024 – Potenciar el desarrollo del sistema de laboratorios como apoyo al cumplimien"&amp;"to de las funciones misionales de la Universidad de los Llanos.")</f>
        <v>Durante este primer monitoreo no se materializó el riesgo.
Sobre los controles:
c1 El coordinador del sistema de laboratorios realiza el seguimiento y control trimestral de los proyectos ficha BPUNI por medio de FO-DIE-08 Formato de seguimiento a proyectos de inversión:
Avance: Se verificó que durante el segundo cuatrimestre de 2025 se ejecutaron los seguimientos de los meses de abril, mayo, junio y julio del proyecto VIAC 10 1610 2024 – Potenciar el desarrollo del sistema de laboratorios como apoyo al cumplimiento de las funciones misionales de la Universidad de los Llanos. Los avances fueron registrados en el formato FO-DIE-08, en el cual se evidencian los porcentajes de cumplimiento mensual proyectados hacia el logro del 100% de la meta.
c2 Revisión por parte del coordinador del sistema de laboratorios de los informes mensuales de actividades de los contratistas profesionales de apoyo del sistema de laboratorios:
Avance: Se constató la revisión de los informes mensuales presentados por los contratistas, con soporte en el cronograma de trabajo de la coordinación del sistema de laboratorios.
Sobre las acciones de tratamiento:
Acción 1 – Realizar seguimiento a la ejecución de las actividades relacionadas con las fichas BPUNI en el cronograma de trabajo de la coordinación del sistema de laboratorios (frecuencia cuatrimestral):
Se verificó que la coordinación realizó los seguimientos establecidos, con evidencia en el cronograma de trabajo con los seguimientos realizados, el cual incluye los proyectos en ejecución para 2025:
VIARE 07 1907 2024 – Adquisición de equipos y mobiliario para el fortalecimiento de los laboratorios de la Universidad de los Llanos.
VIAC 10 1610 2024 – Potenciar el desarrollo del sistema de laboratorios como apoyo al cumplimiento de las funciones misionales de la Universidad de los Llanos.</v>
      </c>
      <c r="AH108" s="150" t="str">
        <f>IFERROR(__xludf.DUMMYFUNCTION("""COMPUTED_VALUE"""),"31 de agosto")</f>
        <v>31 de agosto</v>
      </c>
      <c r="AI108" s="32" t="str">
        <f>IFERROR(__xludf.DUMMYFUNCTION("""COMPUTED_VALUE"""),"Si")</f>
        <v>Si</v>
      </c>
      <c r="AJ108" s="32" t="str">
        <f>IFERROR(__xludf.DUMMYFUNCTION("""COMPUTED_VALUE"""),"Si")</f>
        <v>Si</v>
      </c>
      <c r="AK108" s="32" t="str">
        <f>IFERROR(__xludf.DUMMYFUNCTION("""COMPUTED_VALUE"""),"Si")</f>
        <v>Si</v>
      </c>
      <c r="AL108" s="32" t="str">
        <f>IFERROR(__xludf.DUMMYFUNCTION("""COMPUTED_VALUE"""),"Si")</f>
        <v>Si</v>
      </c>
      <c r="AM108" s="32" t="str">
        <f>IFERROR(__xludf.DUMMYFUNCTION("""COMPUTED_VALUE"""),"Si")</f>
        <v>Si</v>
      </c>
      <c r="AN108" s="32" t="str">
        <f>IFERROR(__xludf.DUMMYFUNCTION("""COMPUTED_VALUE"""),"Si")</f>
        <v>Si</v>
      </c>
      <c r="AO108" s="32" t="str">
        <f>IFERROR(__xludf.DUMMYFUNCTION("""COMPUTED_VALUE"""),"Si")</f>
        <v>Si</v>
      </c>
      <c r="AP108" s="32" t="str">
        <f>IFERROR(__xludf.DUMMYFUNCTION("""COMPUTED_VALUE"""),"No aplica")</f>
        <v>No aplica</v>
      </c>
      <c r="AQ108" s="32" t="str">
        <f>IFERROR(__xludf.DUMMYFUNCTION("""COMPUTED_VALUE"""),"No aplica")</f>
        <v>No aplica</v>
      </c>
      <c r="AR108" s="32" t="str">
        <f>IFERROR(__xludf.DUMMYFUNCTION("""COMPUTED_VALUE"""),"No aplica")</f>
        <v>No aplica</v>
      </c>
      <c r="AS108" s="150" t="str">
        <f>IFERROR(__xludf.DUMMYFUNCTION("""COMPUTED_VALUE"""),"Ninguna")</f>
        <v>Ninguna</v>
      </c>
      <c r="AT108" s="139"/>
    </row>
    <row r="109">
      <c r="A109" s="86"/>
      <c r="B109" s="73"/>
      <c r="C109" s="73"/>
      <c r="D109" s="119"/>
      <c r="E109" s="119"/>
      <c r="F109" s="119"/>
      <c r="G109" s="119"/>
      <c r="H109" s="119"/>
      <c r="I109" s="119"/>
      <c r="J109" s="119"/>
      <c r="K109" s="119"/>
      <c r="L109" s="119"/>
      <c r="M109" s="119"/>
      <c r="N109" s="119"/>
      <c r="O109" s="119"/>
      <c r="P109" s="119"/>
      <c r="Q109" s="162"/>
      <c r="R109" s="163" t="str">
        <f>IFERROR(__xludf.DUMMYFUNCTION("""COMPUTED_VALUE"""),"")</f>
        <v/>
      </c>
      <c r="S109" s="164" t="str">
        <f>IFERROR(__xludf.DUMMYFUNCTION("""COMPUTED_VALUE"""),"")</f>
        <v/>
      </c>
      <c r="T109" s="176"/>
      <c r="U109" s="176"/>
      <c r="V109" s="98"/>
      <c r="W109" s="98"/>
      <c r="X109" s="98"/>
      <c r="Y109" s="98"/>
      <c r="Z109" s="150" t="str">
        <f>IFERROR(__xludf.DUMMYFUNCTION("""COMPUTED_VALUE"""),"30 de diciembre")</f>
        <v>30 de diciembre</v>
      </c>
      <c r="AA109" s="204">
        <f>IFERROR(__xludf.DUMMYFUNCTION("""COMPUTED_VALUE"""),45988.0)</f>
        <v>45988</v>
      </c>
      <c r="AB109" s="150" t="str">
        <f>IFERROR(__xludf.DUMMYFUNCTION("""COMPUTED_VALUE"""),"Durante este primer monitoreo NO se materializó el riesgo.
Acciones asociadas al tratamiento: 
El coordinador del sistema de laboratorios realiza el seguimiento y control mensual de los proyectos ficha BPUNI por medio de FO-DIE-08 Formato de seguimiento"&amp;" a proyectos de inversión. Los proyectos para realizar control y seguimiento en 2025 son: VIARE 07 1907 2024 - ADQUISICIÓN DE EQUIPOS Y MOBILIARIO PARA EL FORTALECIMIENTO DE LOS LABORATORIOS DE LA UNIVERSIDAD DE LOS LLANOS, VIAC 10 1610 2024 POTENCIAR EL "&amp;"DESARROLLO DEL SISTEMA DE LABORATORIOS COMO APOYO AL CUMPLIMIENTO DE LAS FUNCIONES MISIONALES DE LA UNIVERSIDAD DE LLANOS.
El Coordinador del sistema laboratorios realiza el seguimiento y revisión de los informes mensuales de actividades de los contratis"&amp;"tas profesionales de apoyo del sistema de laboratorios.
Avance sobre los controles:
Para el segundo cuatrimetre del año 2025 se han ejecutados los seguimientos correspondientes a los meses de abril, mayo, junio y julio del proyecto VIAC 10 1610 2024 POT"&amp;"ENCIAR EL DESARROLLO DEL SISTEMA DE LABORATORIOS COMO APOYO AL CUMPLIMIENTO DE LAS FUNCIONES MISIONALES DE LA UNIVERSIDAD DE LLANOS. Los seguimientos se registran por medio del FO-DIE-08 Formato de seguimiento a proyectos de inversión, en los cuales se ev"&amp;"idencian los correspondientes porcentajes de cumplimiento mes a mes a fin de llegar al 100% de la meta.")</f>
        <v>Durante este primer monitoreo NO se materializó el riesgo.
Acciones asociadas al tratamiento: 
El coordinador del sistema de laboratorios realiza el seguimiento y control mensual de los proyectos ficha BPUNI por medio de FO-DIE-08 Formato de seguimiento a proyectos de inversión. Los proyectos para realizar control y seguimiento en 2025 son: VIARE 07 1907 2024 - ADQUISICIÓN DE EQUIPOS Y MOBILIARIO PARA EL FORTALECIMIENTO DE LOS LABORATORIOS DE LA UNIVERSIDAD DE LOS LLANOS, VIAC 10 1610 2024 POTENCIAR EL DESARROLLO DEL SISTEMA DE LABORATORIOS COMO APOYO AL CUMPLIMIENTO DE LAS FUNCIONES MISIONALES DE LA UNIVERSIDAD DE LLANOS.
El Coordinador del sistema laboratorios realiza el seguimiento y revisión de los informes mensuales de actividades de los contratistas profesionales de apoyo del sistema de laboratorios.
Avance sobre los controles:
Para el segundo cuatrimetre del año 2025 se han ejecutados los seguimientos correspondientes a los meses de abril, mayo, junio y julio del proyecto VIAC 10 1610 2024 POTENCIAR EL DESARROLLO DEL SISTEMA DE LABORATORIOS COMO APOYO AL CUMPLIMIENTO DE LAS FUNCIONES MISIONALES DE LA UNIVERSIDAD DE LLANOS. Los seguimientos se registran por medio del FO-DIE-08 Formato de seguimiento a proyectos de inversión, en los cuales se evidencian los correspondientes porcentajes de cumplimiento mes a mes a fin de llegar al 100% de la meta.</v>
      </c>
      <c r="AC109" s="152" t="str">
        <f>IFERROR(__xludf.DUMMYFUNCTION("""COMPUTED_VALUE"""),"Coordinador del Sistema de laboratorios")</f>
        <v>Coordinador del Sistema de laboratorios</v>
      </c>
      <c r="AD109" s="153" t="str">
        <f>IFERROR(__xludf.DUMMYFUNCTION("""COMPUTED_VALUE"""),"Evidencia")</f>
        <v>Evidencia</v>
      </c>
      <c r="AE109" s="150" t="str">
        <f>IFERROR(__xludf.DUMMYFUNCTION("""COMPUTED_VALUE"""),"Si")</f>
        <v>Si</v>
      </c>
      <c r="AF109" s="152" t="str">
        <f>IFERROR(__xludf.DUMMYFUNCTION("""COMPUTED_VALUE"""),"En proceso")</f>
        <v>En proceso</v>
      </c>
      <c r="AG109" s="32" t="str">
        <f>IFERROR(__xludf.DUMMYFUNCTION("""COMPUTED_VALUE"""),"-Durante el primer monitoreo no se materializó el riesgo.
-Se evidenció que la acción de mejora definida corresponde al seguimiento a la ejecución de las actividades asociadas a las fichas BPUNI, conforme al cronograma de trabajo de la Coordinación del S"&amp;"istema de Laboratorios. No obstante, no se adjuntó el cronograma con los seguimientos realizados, lo que limita la verificación documental del cumplimiento de esta acción.
- Se recomienda adjuntar en futuros monitoreos el cronograma de trabajo con los se"&amp;"guimientos efectuados, a fin de fortalecer la trazabilidad y soportar de manera completa la ejecución de la acción de mejora.")</f>
        <v>-Durante el primer monitoreo no se materializó el riesgo.
-Se evidenció que la acción de mejora definida corresponde al seguimiento a la ejecución de las actividades asociadas a las fichas BPUNI, conforme al cronograma de trabajo de la Coordinación del Sistema de Laboratorios. No obstante, no se adjuntó el cronograma con los seguimientos realizados, lo que limita la verificación documental del cumplimiento de esta acción.
- Se recomienda adjuntar en futuros monitoreos el cronograma de trabajo con los seguimientos efectuados, a fin de fortalecer la trazabilidad y soportar de manera completa la ejecución de la acción de mejora.</v>
      </c>
      <c r="AH109" s="150" t="str">
        <f>IFERROR(__xludf.DUMMYFUNCTION("""COMPUTED_VALUE"""),"31 de diciembre")</f>
        <v>31 de diciembre</v>
      </c>
      <c r="AI109" s="32" t="str">
        <f>IFERROR(__xludf.DUMMYFUNCTION("""COMPUTED_VALUE"""),"Si")</f>
        <v>Si</v>
      </c>
      <c r="AJ109" s="32" t="str">
        <f>IFERROR(__xludf.DUMMYFUNCTION("""COMPUTED_VALUE"""),"Si")</f>
        <v>Si</v>
      </c>
      <c r="AK109" s="32" t="str">
        <f>IFERROR(__xludf.DUMMYFUNCTION("""COMPUTED_VALUE"""),"Si")</f>
        <v>Si</v>
      </c>
      <c r="AL109" s="32" t="str">
        <f>IFERROR(__xludf.DUMMYFUNCTION("""COMPUTED_VALUE"""),"Si")</f>
        <v>Si</v>
      </c>
      <c r="AM109" s="32" t="str">
        <f>IFERROR(__xludf.DUMMYFUNCTION("""COMPUTED_VALUE"""),"Si")</f>
        <v>Si</v>
      </c>
      <c r="AN109" s="32" t="str">
        <f>IFERROR(__xludf.DUMMYFUNCTION("""COMPUTED_VALUE"""),"Si")</f>
        <v>Si</v>
      </c>
      <c r="AO109" s="32" t="str">
        <f>IFERROR(__xludf.DUMMYFUNCTION("""COMPUTED_VALUE"""),"Si")</f>
        <v>Si</v>
      </c>
      <c r="AP109" s="32" t="str">
        <f>IFERROR(__xludf.DUMMYFUNCTION("""COMPUTED_VALUE"""),"No aplica")</f>
        <v>No aplica</v>
      </c>
      <c r="AQ109" s="32" t="str">
        <f>IFERROR(__xludf.DUMMYFUNCTION("""COMPUTED_VALUE"""),"No aplica")</f>
        <v>No aplica</v>
      </c>
      <c r="AR109" s="32" t="str">
        <f>IFERROR(__xludf.DUMMYFUNCTION("""COMPUTED_VALUE"""),"No aplica")</f>
        <v>No aplica</v>
      </c>
      <c r="AS109" s="150" t="str">
        <f>IFERROR(__xludf.DUMMYFUNCTION("""COMPUTED_VALUE"""),"Ninguna")</f>
        <v>Ninguna</v>
      </c>
      <c r="AT109" s="139"/>
    </row>
    <row r="110">
      <c r="A110" s="86"/>
      <c r="B110" s="73"/>
      <c r="C110" s="73"/>
      <c r="D110" s="144" t="str">
        <f>IFERROR(__xludf.DUMMYFUNCTION("""COMPUTED_VALUE"""),"Afectación reputacional y economica por denuncias o demandas generadas por la implementación de malas prácticas en los procedimientos del Centro Clínico Veterinario debido a que el personal clínico, administrativo y/o operativo no conoce los procedimiento"&amp;"s establecidos.")</f>
        <v>Afectación reputacional y economica por denuncias o demandas generadas por la implementación de malas prácticas en los procedimientos del Centro Clínico Veterinario debido a que el personal clínico, administrativo y/o operativo no conoce los procedimientos establecidos.</v>
      </c>
      <c r="E110" s="144" t="str">
        <f>IFERROR(__xludf.DUMMYFUNCTION("""COMPUTED_VALUE"""),"Centro Clinico Veterinario")</f>
        <v>Centro Clinico Veterinario</v>
      </c>
      <c r="F110" s="144" t="str">
        <f>IFERROR(__xludf.DUMMYFUNCTION("""COMPUTED_VALUE"""),"Gestión")</f>
        <v>Gestión</v>
      </c>
      <c r="G110" s="144" t="str">
        <f>IFERROR(__xludf.DUMMYFUNCTION("""COMPUTED_VALUE"""),"- Que el personal clínico, administrativo y/o operativo no conozca los procedimientos establecidos.")</f>
        <v>- Que el personal clínico, administrativo y/o operativo no conozca los procedimientos establecidos.</v>
      </c>
      <c r="H110" s="144" t="str">
        <f>IFERROR(__xludf.DUMMYFUNCTION("""COMPUTED_VALUE"""),"1. Pérdida de la crédibilidad institucional
2. Sanciones o amonestaciones de los organismos reguladores")</f>
        <v>1. Pérdida de la crédibilidad institucional
2. Sanciones o amonestaciones de los organismos reguladores</v>
      </c>
      <c r="I110" s="145" t="str">
        <f>IFERROR(__xludf.DUMMYFUNCTION("""COMPUTED_VALUE"""),"GAA_04")</f>
        <v>GAA_04</v>
      </c>
      <c r="J110" s="145" t="str">
        <f>IFERROR(__xludf.DUMMYFUNCTION("""COMPUTED_VALUE"""),"Media")</f>
        <v>Media</v>
      </c>
      <c r="K110" s="145" t="str">
        <f>IFERROR(__xludf.DUMMYFUNCTION("""COMPUTED_VALUE"""),"Mayor")</f>
        <v>Mayor</v>
      </c>
      <c r="L110" s="145" t="str">
        <f>IFERROR(__xludf.DUMMYFUNCTION("""COMPUTED_VALUE"""),"Extrema")</f>
        <v>Extrema</v>
      </c>
      <c r="M110" s="144" t="str">
        <f>IFERROR(__xludf.DUMMYFUNCTION("""COMPUTED_VALUE"""),"- Procedimientos del centro clínico  actualizados 
- Manual de limpieza y desinfección 
- Determinación de los perfiles del personal del Centro Clinico Veterinario en los estudios de conveniencia y oportunidad - Chequeo del dilogenciamiento de las histori"&amp;"as clinicas y de los anexos (Acta de compromisos, consentimientos, recibos de pago, dispensación de medicamentos, autorizaciones, entte otros). ")</f>
        <v>- Procedimientos del centro clínico  actualizados 
- Manual de limpieza y desinfección 
- Determinación de los perfiles del personal del Centro Clinico Veterinario en los estudios de conveniencia y oportunidad - Chequeo del dilogenciamiento de las historias clinicas y de los anexos (Acta de compromisos, consentimientos, recibos de pago, dispensación de medicamentos, autorizaciones, entte otros). </v>
      </c>
      <c r="N110" s="145" t="str">
        <f>IFERROR(__xludf.DUMMYFUNCTION("""COMPUTED_VALUE"""),"Muy baja")</f>
        <v>Muy baja</v>
      </c>
      <c r="O110" s="145" t="str">
        <f>IFERROR(__xludf.DUMMYFUNCTION("""COMPUTED_VALUE"""),"Mayor")</f>
        <v>Mayor</v>
      </c>
      <c r="P110" s="145" t="str">
        <f>IFERROR(__xludf.DUMMYFUNCTION("""COMPUTED_VALUE"""),"Alta")</f>
        <v>Alta</v>
      </c>
      <c r="Q110" s="178" t="str">
        <f>IFERROR(__xludf.DUMMYFUNCTION("""COMPUTED_VALUE"""),"Reducir")</f>
        <v>Reducir</v>
      </c>
      <c r="R110" s="158" t="str">
        <f>IFERROR(__xludf.DUMMYFUNCTION("""COMPUTED_VALUE"""),"Sensibilizar al personal y a los practicantes del Centro Clínico sobre la aplicación de los controles definidos.")</f>
        <v>Sensibilizar al personal y a los practicantes del Centro Clínico sobre la aplicación de los controles definidos.</v>
      </c>
      <c r="S110" s="159" t="str">
        <f>IFERROR(__xludf.DUMMYFUNCTION("""COMPUTED_VALUE"""),"Semestralmente")</f>
        <v>Semestralmente</v>
      </c>
      <c r="T110" s="170" t="str">
        <f>IFERROR(__xludf.DUMMYFUNCTION("""COMPUTED_VALUE"""),"Director Centro Clínico Veterinario")</f>
        <v>Director Centro Clínico Veterinario</v>
      </c>
      <c r="U110" s="170" t="str">
        <f>IFERROR(__xludf.DUMMYFUNCTION("""COMPUTED_VALUE"""),"Acta o listados de asistencia procesos de sensibilización o capacitación")</f>
        <v>Acta o listados de asistencia procesos de sensibilización o capacitación</v>
      </c>
      <c r="V110" s="167" t="str">
        <f>IFERROR(__xludf.DUMMYFUNCTION("""COMPUTED_VALUE"""),"Realizar un informe sobre lo acontecido
Dar Respuesta a los organismos reguladores o judiciales")</f>
        <v>Realizar un informe sobre lo acontecido
Dar Respuesta a los organismos reguladores o judiciales</v>
      </c>
      <c r="W110" s="167" t="str">
        <f>IFERROR(__xludf.DUMMYFUNCTION("""COMPUTED_VALUE"""),"-Informe detallado de los acontecimientos
-Respuesta a organismos reguladores o judiciales")</f>
        <v>-Informe detallado de los acontecimientos
-Respuesta a organismos reguladores o judiciales</v>
      </c>
      <c r="X110" s="169" t="str">
        <f>IFERROR(__xludf.DUMMYFUNCTION("""COMPUTED_VALUE"""),"Director del Centro Clínico Veterinario
Profesional encargado")</f>
        <v>Director del Centro Clínico Veterinario
Profesional encargado</v>
      </c>
      <c r="Y110" s="169" t="str">
        <f>IFERROR(__xludf.DUMMYFUNCTION("""COMPUTED_VALUE"""),"Inmediatamente")</f>
        <v>Inmediatamente</v>
      </c>
      <c r="Z110" s="150" t="str">
        <f>IFERROR(__xludf.DUMMYFUNCTION("""COMPUTED_VALUE"""),"30 de abril")</f>
        <v>30 de abril</v>
      </c>
      <c r="AA110" s="32"/>
      <c r="AB110" s="150"/>
      <c r="AC110" s="152"/>
      <c r="AD110" s="153" t="str">
        <f>IFERROR(__xludf.DUMMYFUNCTION("""COMPUTED_VALUE"""),"Evidencia")</f>
        <v>Evidencia</v>
      </c>
      <c r="AE110" s="150" t="str">
        <f>IFERROR(__xludf.DUMMYFUNCTION("""COMPUTED_VALUE"""),"No")</f>
        <v>No</v>
      </c>
      <c r="AF110" s="150" t="str">
        <f>IFERROR(__xludf.DUMMYFUNCTION("""COMPUTED_VALUE"""),"Pendiente")</f>
        <v>Pendiente</v>
      </c>
      <c r="AG110" s="32" t="str">
        <f>IFERROR(__xludf.DUMMYFUNCTION("""COMPUTED_VALUE"""),"No se reporta avance sobre acciones de control y de tratamiento del riesgo, se recomienda generarlas en el proximo monitoreo. ")</f>
        <v>No se reporta avance sobre acciones de control y de tratamiento del riesgo, se recomienda generarlas en el proximo monitoreo. </v>
      </c>
      <c r="AH110" s="150" t="str">
        <f>IFERROR(__xludf.DUMMYFUNCTION("""COMPUTED_VALUE"""),"30 de abril")</f>
        <v>30 de abril</v>
      </c>
      <c r="AI110" s="32" t="str">
        <f>IFERROR(__xludf.DUMMYFUNCTION("""COMPUTED_VALUE"""),"No")</f>
        <v>No</v>
      </c>
      <c r="AJ110" s="32" t="str">
        <f>IFERROR(__xludf.DUMMYFUNCTION("""COMPUTED_VALUE"""),"No")</f>
        <v>No</v>
      </c>
      <c r="AK110" s="32" t="str">
        <f>IFERROR(__xludf.DUMMYFUNCTION("""COMPUTED_VALUE"""),"No")</f>
        <v>No</v>
      </c>
      <c r="AL110" s="32" t="str">
        <f>IFERROR(__xludf.DUMMYFUNCTION("""COMPUTED_VALUE"""),"No")</f>
        <v>No</v>
      </c>
      <c r="AM110" s="32" t="str">
        <f>IFERROR(__xludf.DUMMYFUNCTION("""COMPUTED_VALUE"""),"No")</f>
        <v>No</v>
      </c>
      <c r="AN110" s="32" t="str">
        <f>IFERROR(__xludf.DUMMYFUNCTION("""COMPUTED_VALUE"""),"Si")</f>
        <v>Si</v>
      </c>
      <c r="AO110" s="32" t="str">
        <f>IFERROR(__xludf.DUMMYFUNCTION("""COMPUTED_VALUE"""),"No")</f>
        <v>No</v>
      </c>
      <c r="AP110" s="32" t="str">
        <f>IFERROR(__xludf.DUMMYFUNCTION("""COMPUTED_VALUE"""),"No aplica")</f>
        <v>No aplica</v>
      </c>
      <c r="AQ110" s="32" t="str">
        <f>IFERROR(__xludf.DUMMYFUNCTION("""COMPUTED_VALUE"""),"No aplica")</f>
        <v>No aplica</v>
      </c>
      <c r="AR110" s="32" t="str">
        <f>IFERROR(__xludf.DUMMYFUNCTION("""COMPUTED_VALUE"""),"No aplica")</f>
        <v>No aplica</v>
      </c>
      <c r="AS110" s="150" t="str">
        <f>IFERROR(__xludf.DUMMYFUNCTION("""COMPUTED_VALUE"""),"Hallazgo: 
El proceso no reportó monitoreo a la ejecución de los controles establecidos para el presente riesgo como tampoco aportó evidencia de la ejecución de los mismos.
Recomendaciones:
Fortalecer la descripción del riesgo, considerando la metodologí"&amp;"a de la Guía para la Administración del Riesgo y el diseño de controles en entidades públicas Versión 6, que propone los elementos para la descripción del riesgo, como son: 
Impacto: las consecuencias que puede ocasionar a la organización la materializaci"&amp;"ón del riesgo.
Causa inmediata: circunstancias o situaciones más evidentes sobre las cuales se presenta el riesgo, las mismas no constituyen la causa principal o base para que se presente el riesgo.
Causa raíz: es la causa principal o básica, corresponden"&amp;" a las razones por la cuales se puede presentar el riesgo, son la base para la definición de controles en la etapa de valoración del riesgo. Se debe tener en cuenta que para un mismo riesgo pueden existir más de una causa o subcausas que pueden ser analiz"&amp;"adas. 
*Fortalecer la descripción de los controles conforme a la metodología propuesta en la Guía para la Administración del Riesgo y el diseño de controles en entidades públicas Versión 6, que propone los elementos que debe contemplar el diseño del cont"&amp;"rol, como son: 
Responsable de ejecutar el control: identifica el cargo del servidor que ejecuta el control, en caso de que sean controles automáticos se identificará el sistema que realiza la actividad. 
Acción: se determina mediante verbos que indican l"&amp;"a acción que deben realizar como parte del control. 
Complemento: corresponde a los detalles que permiten identificar claramente el objeto del control.
")</f>
        <v>Hallazgo: 
El proceso no reportó monitoreo a la ejecución de los controles establecidos para el presente riesgo como tampoco aportó evidencia de la ejecución de los mismos.
Recomendaciones:
Fortalecer la descripción del riesgo, considerando la metodología de la Guía para la Administración del Riesgo y el diseño de controles en entidades públicas Versión 6, que propone los elementos para la descripción del riesgo, como son: 
Impacto: las consecuencias que puede ocasionar a la organización la materialización del riesgo.
Causa inmediata: circunstancias o situaciones más evidentes sobre las cuales se presenta el riesgo, las mismas no constituyen la causa principal o base para que se presente el riesgo.
Causa raíz: es la causa principal o básica, corresponden a las razones por la cuales se puede presentar el riesgo, son la base para la definición de controles en la etapa de valoración del riesgo. Se debe tener en cuenta que para un mismo riesgo pueden existir más de una causa o subcausas que pueden ser analizadas. 
*Fortalecer la descripción de los controles conforme a la metodología propuesta en la Guía para la Administración del Riesgo y el diseño de controles en entidades públicas Versión 6, que propone los elementos que debe contemplar el diseño del control, como son: 
Responsable de ejecutar el control: identifica el cargo del servidor que ejecuta el control, en caso de que sean controles automáticos se identificará el sistema que realiza la actividad. 
Acción: se determina mediante verbos que indican la acción que deben realizar como parte del control. 
Complemento: corresponde a los detalles que permiten identificar claramente el objeto del control.
</v>
      </c>
      <c r="AT110" s="139"/>
    </row>
    <row r="111">
      <c r="A111" s="86"/>
      <c r="B111" s="73"/>
      <c r="C111" s="73"/>
      <c r="D111" s="156"/>
      <c r="E111" s="156"/>
      <c r="F111" s="156"/>
      <c r="G111" s="156"/>
      <c r="H111" s="156"/>
      <c r="I111" s="156"/>
      <c r="J111" s="156"/>
      <c r="K111" s="156"/>
      <c r="L111" s="156"/>
      <c r="M111" s="156"/>
      <c r="N111" s="156"/>
      <c r="O111" s="156"/>
      <c r="P111" s="156"/>
      <c r="Q111" s="157"/>
      <c r="R111" s="158" t="str">
        <f>IFERROR(__xludf.DUMMYFUNCTION("""COMPUTED_VALUE"""),"")</f>
        <v/>
      </c>
      <c r="S111" s="159" t="str">
        <f>IFERROR(__xludf.DUMMYFUNCTION("""COMPUTED_VALUE"""),"")</f>
        <v/>
      </c>
      <c r="T111" s="170"/>
      <c r="U111" s="170"/>
      <c r="V111" s="94"/>
      <c r="W111" s="94"/>
      <c r="X111" s="94"/>
      <c r="Y111" s="94"/>
      <c r="Z111" s="150" t="str">
        <f>IFERROR(__xludf.DUMMYFUNCTION("""COMPUTED_VALUE"""),"30 de agosto")</f>
        <v>30 de agosto</v>
      </c>
      <c r="AA111" s="151">
        <f>IFERROR(__xludf.DUMMYFUNCTION("""COMPUTED_VALUE"""),45875.0)</f>
        <v>45875</v>
      </c>
      <c r="AB111" s="150" t="str">
        <f>IFERROR(__xludf.DUMMYFUNCTION("""COMPUTED_VALUE"""),"Durante el primer monitoreo no se materializo el riesgo,  para el mes de marzo se actualizaron algunos formatos, y los procedimientos se estaban trabajando en borrador. Durante el segundo monitoreo no se materializo el riesgo, en el mes de agosto se prese"&amp;"nto una propuesta de unificar los procedimientos ya existentes y se envió el  borrador al SIG; se solicitó la actualización del manual de limpieza y desinfeccion, la actualizacion de formatos  ya existentes asi como tambien la cración de nuevos formatos. "&amp;"La dependencia está a la espera de que sean aprobados y publicados en la pagina institucional. SIG
Se realizó seguimiento y verificacion del diligenciamiento de historias clinicas en donde se subela evidencia de la verificacion realizada. Se adjuntan est"&amp;"udios de conveniencia de los profesionales de apoyo del centro clinico vigentes. Se realizó socializacion para el inicio del semestre 2025-1 a estudiantes, profesionales de apoyo, practicantes y administrativos de los procedimientos vigentes del centro cl"&amp;"inico, asi como las indicaciones del proceso de atencion a los pacientes que usan los servicios del centro clinico, Se adjunta acta de asistencia y evidencias fotograficas. ")</f>
        <v>Durante el primer monitoreo no se materializo el riesgo,  para el mes de marzo se actualizaron algunos formatos, y los procedimientos se estaban trabajando en borrador. Durante el segundo monitoreo no se materializo el riesgo, en el mes de agosto se presento una propuesta de unificar los procedimientos ya existentes y se envió el  borrador al SIG; se solicitó la actualización del manual de limpieza y desinfeccion, la actualizacion de formatos  ya existentes asi como tambien la cración de nuevos formatos. La dependencia está a la espera de que sean aprobados y publicados en la pagina institucional. SIG
Se realizó seguimiento y verificacion del diligenciamiento de historias clinicas en donde se subela evidencia de la verificacion realizada. Se adjuntan estudios de conveniencia de los profesionales de apoyo del centro clinico vigentes. Se realizó socializacion para el inicio del semestre 2025-1 a estudiantes, profesionales de apoyo, practicantes y administrativos de los procedimientos vigentes del centro clinico, asi como las indicaciones del proceso de atencion a los pacientes que usan los servicios del centro clinico, Se adjunta acta de asistencia y evidencias fotograficas. </v>
      </c>
      <c r="AC111" s="152" t="str">
        <f>IFERROR(__xludf.DUMMYFUNCTION("""COMPUTED_VALUE"""),"Centro clinico veterinario")</f>
        <v>Centro clinico veterinario</v>
      </c>
      <c r="AD111" s="153" t="str">
        <f>IFERROR(__xludf.DUMMYFUNCTION("""COMPUTED_VALUE"""),"Evidencia")</f>
        <v>Evidencia</v>
      </c>
      <c r="AE111" s="150" t="str">
        <f>IFERROR(__xludf.DUMMYFUNCTION("""COMPUTED_VALUE"""),"Si")</f>
        <v>Si</v>
      </c>
      <c r="AF111" s="152" t="str">
        <f>IFERROR(__xludf.DUMMYFUNCTION("""COMPUTED_VALUE"""),"En proceso")</f>
        <v>En proceso</v>
      </c>
      <c r="AG111" s="32" t="str">
        <f>IFERROR(__xludf.DUMMYFUNCTION("""COMPUTED_VALUE"""),"Durante el periodo de monitoreo no se evidenció materialización del riesgo. Se aplicaron los controles definidos con el fin de garantizar el cumplimiento de los procedimientos en el Centro Clínico.
Acciones asociadas a la aplicación de controles del ries"&amp;"go:
Se mantuvieron actualizados los procedimientos del Centro Clínico.
Se aplicó el Manual de limpieza y desinfección.
Se definieron y revisaron los perfiles del personal del Centro Clínico en los estudios de conveniencia y oportunidad.
Se verificó el"&amp;" diligenciamiento de las historias clínicas y de los anexos correspondientes (actas de compromisos, consentimientos, recibos de pago, dispensación de medicamentos, autorizaciones, entre otros).
Acciones asociadas al tratamiento del riesgo:
Se sensibiliz"&amp;"ó al personal y a los practicantes del Centro Clínico sobre la aplicación de los controles definidos.
Se cuenta con actas o listados de asistencia como evidencia de los procesos de sensibilización y capacitación realizados.")</f>
        <v>Durante el periodo de monitoreo no se evidenció materialización del riesgo. Se aplicaron los controles definidos con el fin de garantizar el cumplimiento de los procedimientos en el Centro Clínico.
Acciones asociadas a la aplicación de controles del riesgo:
Se mantuvieron actualizados los procedimientos del Centro Clínico.
Se aplicó el Manual de limpieza y desinfección.
Se definieron y revisaron los perfiles del personal del Centro Clínico en los estudios de conveniencia y oportunidad.
Se verificó el diligenciamiento de las historias clínicas y de los anexos correspondientes (actas de compromisos, consentimientos, recibos de pago, dispensación de medicamentos, autorizaciones, entre otros).
Acciones asociadas al tratamiento del riesgo:
Se sensibilizó al personal y a los practicantes del Centro Clínico sobre la aplicación de los controles definidos.
Se cuenta con actas o listados de asistencia como evidencia de los procesos de sensibilización y capacitación realizados.</v>
      </c>
      <c r="AH111" s="150" t="str">
        <f>IFERROR(__xludf.DUMMYFUNCTION("""COMPUTED_VALUE"""),"31 de agosto")</f>
        <v>31 de agosto</v>
      </c>
      <c r="AI111" s="32" t="str">
        <f>IFERROR(__xludf.DUMMYFUNCTION("""COMPUTED_VALUE"""),"Si")</f>
        <v>Si</v>
      </c>
      <c r="AJ111" s="32" t="str">
        <f>IFERROR(__xludf.DUMMYFUNCTION("""COMPUTED_VALUE"""),"Si")</f>
        <v>Si</v>
      </c>
      <c r="AK111" s="32" t="str">
        <f>IFERROR(__xludf.DUMMYFUNCTION("""COMPUTED_VALUE"""),"Si")</f>
        <v>Si</v>
      </c>
      <c r="AL111" s="32" t="str">
        <f>IFERROR(__xludf.DUMMYFUNCTION("""COMPUTED_VALUE"""),"Si")</f>
        <v>Si</v>
      </c>
      <c r="AM111" s="32" t="str">
        <f>IFERROR(__xludf.DUMMYFUNCTION("""COMPUTED_VALUE"""),"Si")</f>
        <v>Si</v>
      </c>
      <c r="AN111" s="32" t="str">
        <f>IFERROR(__xludf.DUMMYFUNCTION("""COMPUTED_VALUE"""),"Si")</f>
        <v>Si</v>
      </c>
      <c r="AO111" s="32" t="str">
        <f>IFERROR(__xludf.DUMMYFUNCTION("""COMPUTED_VALUE"""),"No")</f>
        <v>No</v>
      </c>
      <c r="AP111" s="32" t="str">
        <f>IFERROR(__xludf.DUMMYFUNCTION("""COMPUTED_VALUE"""),"No aplica")</f>
        <v>No aplica</v>
      </c>
      <c r="AQ111" s="32" t="str">
        <f>IFERROR(__xludf.DUMMYFUNCTION("""COMPUTED_VALUE"""),"No aplica")</f>
        <v>No aplica</v>
      </c>
      <c r="AR111" s="32" t="str">
        <f>IFERROR(__xludf.DUMMYFUNCTION("""COMPUTED_VALUE"""),"No aplica")</f>
        <v>No aplica</v>
      </c>
      <c r="AS111" s="150" t="str">
        <f>IFERROR(__xludf.DUMMYFUNCTION("""COMPUTED_VALUE"""),"Se riteran las recomendaciones generadas en la evaluación del primer cuatrimestre:
Fortalecer la descripción del riesgo, considerando la metodología de la Guía para la Administración del Riesgo y el diseño de controles en entidades públicas Versión 6, que"&amp;" propone los elementos para la descripción del riesgo, como son: 
Impacto: las consecuencias que puede ocasionar a la organización la materialización del riesgo.
Causa inmediata: circunstancias o situaciones más evidentes sobre las cuales se presenta el r"&amp;"iesgo, las mismas no constituyen la causa principal o base para que se presente el riesgo.
Causa raíz: es la causa principal o básica, corresponden a las razones por la cuales se puede presentar el riesgo, son la base para la definición de controles en la"&amp;" etapa de valoración del riesgo. Se debe tener en cuenta que para un mismo riesgo pueden existir más de una causa o subcausas que pueden ser analizadas. 
*Fortalecer la descripción de los controles conforme a la metodología propuesta en la Guía para la A"&amp;"dministración del Riesgo y el diseño de controles en entidades públicas Versión 6, que propone los elementos que debe contemplar el diseño del control, como son: 
Responsable de ejecutar el control: identifica el cargo del servidor que ejecuta el control,"&amp;" en caso de que sean controles automáticos se identificará el sistema que realiza la actividad. 
Acción: se determina mediante verbos que indican la acción que deben realizar como parte del control. 
Complemento: corresponde a los detalles que permiten id"&amp;"entificar claramente el objeto del control.
")</f>
        <v>Se riteran las recomendaciones generadas en la evaluación del primer cuatrimestre:
Fortalecer la descripción del riesgo, considerando la metodología de la Guía para la Administración del Riesgo y el diseño de controles en entidades públicas Versión 6, que propone los elementos para la descripción del riesgo, como son: 
Impacto: las consecuencias que puede ocasionar a la organización la materialización del riesgo.
Causa inmediata: circunstancias o situaciones más evidentes sobre las cuales se presenta el riesgo, las mismas no constituyen la causa principal o base para que se presente el riesgo.
Causa raíz: es la causa principal o básica, corresponden a las razones por la cuales se puede presentar el riesgo, son la base para la definición de controles en la etapa de valoración del riesgo. Se debe tener en cuenta que para un mismo riesgo pueden existir más de una causa o subcausas que pueden ser analizadas. 
*Fortalecer la descripción de los controles conforme a la metodología propuesta en la Guía para la Administración del Riesgo y el diseño de controles en entidades públicas Versión 6, que propone los elementos que debe contemplar el diseño del control, como son: 
Responsable de ejecutar el control: identifica el cargo del servidor que ejecuta el control, en caso de que sean controles automáticos se identificará el sistema que realiza la actividad. 
Acción: se determina mediante verbos que indican la acción que deben realizar como parte del control. 
Complemento: corresponde a los detalles que permiten identificar claramente el objeto del control.
</v>
      </c>
      <c r="AT111" s="139"/>
    </row>
    <row r="112">
      <c r="A112" s="86"/>
      <c r="B112" s="73"/>
      <c r="C112" s="73"/>
      <c r="D112" s="119"/>
      <c r="E112" s="119"/>
      <c r="F112" s="119"/>
      <c r="G112" s="119"/>
      <c r="H112" s="119"/>
      <c r="I112" s="119"/>
      <c r="J112" s="119"/>
      <c r="K112" s="119"/>
      <c r="L112" s="119"/>
      <c r="M112" s="119"/>
      <c r="N112" s="119"/>
      <c r="O112" s="119"/>
      <c r="P112" s="119"/>
      <c r="Q112" s="162"/>
      <c r="R112" s="163" t="str">
        <f>IFERROR(__xludf.DUMMYFUNCTION("""COMPUTED_VALUE"""),"")</f>
        <v/>
      </c>
      <c r="S112" s="164" t="str">
        <f>IFERROR(__xludf.DUMMYFUNCTION("""COMPUTED_VALUE"""),"")</f>
        <v/>
      </c>
      <c r="T112" s="176"/>
      <c r="U112" s="176"/>
      <c r="V112" s="98"/>
      <c r="W112" s="98"/>
      <c r="X112" s="98"/>
      <c r="Y112" s="98"/>
      <c r="Z112" s="150" t="str">
        <f>IFERROR(__xludf.DUMMYFUNCTION("""COMPUTED_VALUE"""),"30 de diciembre")</f>
        <v>30 de diciembre</v>
      </c>
      <c r="AA112" s="151">
        <f>IFERROR(__xludf.DUMMYFUNCTION("""COMPUTED_VALUE"""),45995.0)</f>
        <v>45995</v>
      </c>
      <c r="AB112" s="182" t="str">
        <f>IFERROR(__xludf.DUMMYFUNCTION("""COMPUTED_VALUE"""),"Durante el tercer monitoreo no se materializo el riesgo. Se anexa acta de actualización de procedimientos en el SIG. 
Hoja de verificación de historias clínicas veterinarias y diligenciamiento de formatos anexos en el enlace https://docs.google.com/spread"&amp;"sheets/d/1vhuallo6OfzLoVVntgVpBlgX9DxeSKBmdw_H5T2wOKk/edit?usp=sharing
Se adjuntan estudios de conveniencia de los profesionales de apoyo del centro clínico vigentes
Se realizó solicitud la aprobación y publicación del manual de limpieza y desinfección en"&amp;" la pagina del SIG. 
")</f>
        <v>Durante el tercer monitoreo no se materializo el riesgo. Se anexa acta de actualización de procedimientos en el SIG. 
Hoja de verificación de historias clínicas veterinarias y diligenciamiento de formatos anexos en el enlace https://docs.google.com/spreadsheets/d/1vhuallo6OfzLoVVntgVpBlgX9DxeSKBmdw_H5T2wOKk/edit?usp=sharing
Se adjuntan estudios de conveniencia de los profesionales de apoyo del centro clínico vigentes
Se realizó solicitud la aprobación y publicación del manual de limpieza y desinfección en la pagina del SIG. 
</v>
      </c>
      <c r="AC112" s="152" t="str">
        <f>IFERROR(__xludf.DUMMYFUNCTION("""COMPUTED_VALUE"""),"Centro clinico veterinario")</f>
        <v>Centro clinico veterinario</v>
      </c>
      <c r="AD112" s="153" t="str">
        <f>IFERROR(__xludf.DUMMYFUNCTION("""COMPUTED_VALUE"""),"Evidencia")</f>
        <v>Evidencia</v>
      </c>
      <c r="AE112" s="150" t="str">
        <f>IFERROR(__xludf.DUMMYFUNCTION("""COMPUTED_VALUE"""),"Si")</f>
        <v>Si</v>
      </c>
      <c r="AF112" s="152" t="str">
        <f>IFERROR(__xludf.DUMMYFUNCTION("""COMPUTED_VALUE"""),"Ejecutada")</f>
        <v>Ejecutada</v>
      </c>
      <c r="AG112" s="32" t="str">
        <f>IFERROR(__xludf.DUMMYFUNCTION("""COMPUTED_VALUE"""),"-Durante el presente monitoreo no se materializó el riesgo. Se verificó la actualización de procedimientos en el SIG, así como la aplicación de la hoja de verificación de historias clínicas veterinarias y formatos asociados.
-Adicionalmente, se constató l"&amp;"a disponibilidad de los estudios de conveniencia vigentes de los profesionales de apoyo del Centro Clínico y la gestión para la aprobación y publicación del Manual de Limpieza y Desinfección en el SIG, lo cual contribuye al fortalecimiento de los controle"&amp;"s definidos.
-Se recomienda continuar garantizando la actualización y publicación oportuna de los documentos en el SIG para mantener la trazabilidad y el control del proceso.")</f>
        <v>-Durante el presente monitoreo no se materializó el riesgo. Se verificó la actualización de procedimientos en el SIG, así como la aplicación de la hoja de verificación de historias clínicas veterinarias y formatos asociados.
-Adicionalmente, se constató la disponibilidad de los estudios de conveniencia vigentes de los profesionales de apoyo del Centro Clínico y la gestión para la aprobación y publicación del Manual de Limpieza y Desinfección en el SIG, lo cual contribuye al fortalecimiento de los controles definidos.
-Se recomienda continuar garantizando la actualización y publicación oportuna de los documentos en el SIG para mantener la trazabilidad y el control del proceso.</v>
      </c>
      <c r="AH112" s="150" t="str">
        <f>IFERROR(__xludf.DUMMYFUNCTION("""COMPUTED_VALUE"""),"31 de diciembre")</f>
        <v>31 de diciembre</v>
      </c>
      <c r="AI112" s="32" t="str">
        <f>IFERROR(__xludf.DUMMYFUNCTION("""COMPUTED_VALUE"""),"Si")</f>
        <v>Si</v>
      </c>
      <c r="AJ112" s="32" t="str">
        <f>IFERROR(__xludf.DUMMYFUNCTION("""COMPUTED_VALUE"""),"Si")</f>
        <v>Si</v>
      </c>
      <c r="AK112" s="32" t="str">
        <f>IFERROR(__xludf.DUMMYFUNCTION("""COMPUTED_VALUE"""),"Si")</f>
        <v>Si</v>
      </c>
      <c r="AL112" s="32" t="str">
        <f>IFERROR(__xludf.DUMMYFUNCTION("""COMPUTED_VALUE"""),"Si")</f>
        <v>Si</v>
      </c>
      <c r="AM112" s="32" t="str">
        <f>IFERROR(__xludf.DUMMYFUNCTION("""COMPUTED_VALUE"""),"Si")</f>
        <v>Si</v>
      </c>
      <c r="AN112" s="32" t="str">
        <f>IFERROR(__xludf.DUMMYFUNCTION("""COMPUTED_VALUE"""),"Si")</f>
        <v>Si</v>
      </c>
      <c r="AO112" s="32" t="str">
        <f>IFERROR(__xludf.DUMMYFUNCTION("""COMPUTED_VALUE"""),"No")</f>
        <v>No</v>
      </c>
      <c r="AP112" s="32" t="str">
        <f>IFERROR(__xludf.DUMMYFUNCTION("""COMPUTED_VALUE"""),"No aplica")</f>
        <v>No aplica</v>
      </c>
      <c r="AQ112" s="32" t="str">
        <f>IFERROR(__xludf.DUMMYFUNCTION("""COMPUTED_VALUE"""),"No aplica")</f>
        <v>No aplica</v>
      </c>
      <c r="AR112" s="32" t="str">
        <f>IFERROR(__xludf.DUMMYFUNCTION("""COMPUTED_VALUE"""),"No aplica")</f>
        <v>No aplica</v>
      </c>
      <c r="AS112" s="150" t="str">
        <f>IFERROR(__xludf.DUMMYFUNCTION("""COMPUTED_VALUE"""),"Se riteran las recomendaciones generadas en la evaluación del primer cuatrimestre:
Fortalecer la descripción del riesgo, considerando la metodología de la Guía para la Administración del Riesgo y el diseño de controles en entidades públicas Versión 6, que"&amp;" propone los elementos para la descripción del riesgo, como son: 
Impacto: las consecuencias que puede ocasionar a la organización la materialización del riesgo.
Causa inmediata: circunstancias o situaciones más evidentes sobre las cuales se presenta el r"&amp;"iesgo, las mismas no constituyen la causa principal o base para que se presente el riesgo.
Causa raíz: es la causa principal o básica, corresponden a las razones por la cuales se puede presentar el riesgo, son la base para la definición de controles en la"&amp;" etapa de valoración del riesgo. Se debe tener en cuenta que para un mismo riesgo pueden existir más de una causa o subcausas que pueden ser analizadas. 
*Fortalecer la descripción de los controles conforme a la metodología propuesta en la Guía para la A"&amp;"dministración del Riesgo y el diseño de controles en entidades públicas Versión 6, que propone los elementos que debe contemplar el diseño del control, como son: 
Responsable de ejecutar el control: identifica el cargo del servidor que ejecuta el control,"&amp;" en caso de que sean controles automáticos se identificará el sistema que realiza la actividad. 
Acción: se determina mediante verbos que indican la acción que deben realizar como parte del control. 
Complemento: corresponde a los detalles que permiten id"&amp;"entificar claramente el objeto del control.
")</f>
        <v>Se riteran las recomendaciones generadas en la evaluación del primer cuatrimestre:
Fortalecer la descripción del riesgo, considerando la metodología de la Guía para la Administración del Riesgo y el diseño de controles en entidades públicas Versión 6, que propone los elementos para la descripción del riesgo, como son: 
Impacto: las consecuencias que puede ocasionar a la organización la materialización del riesgo.
Causa inmediata: circunstancias o situaciones más evidentes sobre las cuales se presenta el riesgo, las mismas no constituyen la causa principal o base para que se presente el riesgo.
Causa raíz: es la causa principal o básica, corresponden a las razones por la cuales se puede presentar el riesgo, son la base para la definición de controles en la etapa de valoración del riesgo. Se debe tener en cuenta que para un mismo riesgo pueden existir más de una causa o subcausas que pueden ser analizadas. 
*Fortalecer la descripción de los controles conforme a la metodología propuesta en la Guía para la Administración del Riesgo y el diseño de controles en entidades públicas Versión 6, que propone los elementos que debe contemplar el diseño del control, como son: 
Responsable de ejecutar el control: identifica el cargo del servidor que ejecuta el control, en caso de que sean controles automáticos se identificará el sistema que realiza la actividad. 
Acción: se determina mediante verbos que indican la acción que deben realizar como parte del control. 
Complemento: corresponde a los detalles que permiten identificar claramente el objeto del control.
</v>
      </c>
      <c r="AT112" s="139"/>
    </row>
    <row r="113">
      <c r="A113" s="86"/>
      <c r="B113" s="73"/>
      <c r="C113" s="73"/>
      <c r="D113" s="144" t="str">
        <f>IFERROR(__xludf.DUMMYFUNCTION("""COMPUTED_VALUE"""),"Afectación reputacional y economica por el incumplimiento de los procedimientos y normatividad interna aplicable a la Unidad Rural Barcelona (Granja), debido a la desactualizacion de los controles y de los requisitos institucionales.")</f>
        <v>Afectación reputacional y economica por el incumplimiento de los procedimientos y normatividad interna aplicable a la Unidad Rural Barcelona (Granja), debido a la desactualizacion de los controles y de los requisitos institucionales.</v>
      </c>
      <c r="E113" s="144" t="str">
        <f>IFERROR(__xludf.DUMMYFUNCTION("""COMPUTED_VALUE"""),"Unidad Rural Barcelona - Granja")</f>
        <v>Unidad Rural Barcelona - Granja</v>
      </c>
      <c r="F113" s="144" t="str">
        <f>IFERROR(__xludf.DUMMYFUNCTION("""COMPUTED_VALUE"""),"Gestión")</f>
        <v>Gestión</v>
      </c>
      <c r="G113" s="144" t="str">
        <f>IFERROR(__xludf.DUMMYFUNCTION("""COMPUTED_VALUE"""),"- Desactualizacion de los controles.
- Requisitos institucionales desactualizados.")</f>
        <v>- Desactualizacion de los controles.
- Requisitos institucionales desactualizados.</v>
      </c>
      <c r="H113" s="144" t="str">
        <f>IFERROR(__xludf.DUMMYFUNCTION("""COMPUTED_VALUE"""),"-Ejecucion de las actividades de la granja omitiendo actividades y criterios importantes para garantizar la trazabilidad de los proyectos de aula.
-Posibilidad de inadecuado manejo de los recursos por debilidades en los controles. 
-Incumplimiento de la n"&amp;"ormatividad interna.
-Hallazgos en auditorias.
-Insatisfaccion de los usuarios.")</f>
        <v>-Ejecucion de las actividades de la granja omitiendo actividades y criterios importantes para garantizar la trazabilidad de los proyectos de aula.
-Posibilidad de inadecuado manejo de los recursos por debilidades en los controles. 
-Incumplimiento de la normatividad interna.
-Hallazgos en auditorias.
-Insatisfaccion de los usuarios.</v>
      </c>
      <c r="I113" s="145" t="str">
        <f>IFERROR(__xludf.DUMMYFUNCTION("""COMPUTED_VALUE"""),"GAA_05")</f>
        <v>GAA_05</v>
      </c>
      <c r="J113" s="145" t="str">
        <f>IFERROR(__xludf.DUMMYFUNCTION("""COMPUTED_VALUE"""),"Alta")</f>
        <v>Alta</v>
      </c>
      <c r="K113" s="145" t="str">
        <f>IFERROR(__xludf.DUMMYFUNCTION("""COMPUTED_VALUE"""),"Menor")</f>
        <v>Menor</v>
      </c>
      <c r="L113" s="145" t="str">
        <f>IFERROR(__xludf.DUMMYFUNCTION("""COMPUTED_VALUE"""),"Alta")</f>
        <v>Alta</v>
      </c>
      <c r="M113" s="144" t="str">
        <f>IFERROR(__xludf.DUMMYFUNCTION("""COMPUTED_VALUE"""),"- Procedimiento para la asignación de áreas y apoyo en labores de proyectos académicos productivos-PD-GAA-52, Procedimiento para la venta de productos de la granja de la universidad de los Llanos - PD-GAA-53: y normatividad interna    ")</f>
        <v>- Procedimiento para la asignación de áreas y apoyo en labores de proyectos académicos productivos-PD-GAA-52, Procedimiento para la venta de productos de la granja de la universidad de los Llanos - PD-GAA-53: y normatividad interna    </v>
      </c>
      <c r="N113" s="145" t="str">
        <f>IFERROR(__xludf.DUMMYFUNCTION("""COMPUTED_VALUE"""),"Media")</f>
        <v>Media</v>
      </c>
      <c r="O113" s="145" t="str">
        <f>IFERROR(__xludf.DUMMYFUNCTION("""COMPUTED_VALUE"""),"Menor")</f>
        <v>Menor</v>
      </c>
      <c r="P113" s="145" t="str">
        <f>IFERROR(__xludf.DUMMYFUNCTION("""COMPUTED_VALUE"""),"Media")</f>
        <v>Media</v>
      </c>
      <c r="Q113" s="178" t="str">
        <f>IFERROR(__xludf.DUMMYFUNCTION("""COMPUTED_VALUE"""),"Reducir")</f>
        <v>Reducir</v>
      </c>
      <c r="R113" s="158" t="str">
        <f>IFERROR(__xludf.DUMMYFUNCTION("""COMPUTED_VALUE"""),"Actualizar los procedimientos y el normograma de la Unidad Rural Barcelona (Granja). ")</f>
        <v>Actualizar los procedimientos y el normograma de la Unidad Rural Barcelona (Granja). </v>
      </c>
      <c r="S113" s="159">
        <f>IFERROR(__xludf.DUMMYFUNCTION("""COMPUTED_VALUE"""),45869.0)</f>
        <v>45869</v>
      </c>
      <c r="T113" s="170" t="str">
        <f>IFERROR(__xludf.DUMMYFUNCTION("""COMPUTED_VALUE"""),"Coordinador Unidades Rurales")</f>
        <v>Coordinador Unidades Rurales</v>
      </c>
      <c r="U113" s="170" t="str">
        <f>IFERROR(__xludf.DUMMYFUNCTION("""COMPUTED_VALUE"""),"Acta de aprobacion de los procedimientos y normograma actualizado")</f>
        <v>Acta de aprobacion de los procedimientos y normograma actualizado</v>
      </c>
      <c r="V113" s="167" t="str">
        <f>IFERROR(__xludf.DUMMYFUNCTION("""COMPUTED_VALUE"""),"Solicitar a los docentes responsables de los proyectos de aula los informes y soportes de la trazabilidad de las actividades.")</f>
        <v>Solicitar a los docentes responsables de los proyectos de aula los informes y soportes de la trazabilidad de las actividades.</v>
      </c>
      <c r="W113" s="167" t="str">
        <f>IFERROR(__xludf.DUMMYFUNCTION("""COMPUTED_VALUE"""),"Correo electronico")</f>
        <v>Correo electronico</v>
      </c>
      <c r="X113" s="169" t="str">
        <f>IFERROR(__xludf.DUMMYFUNCTION("""COMPUTED_VALUE"""),"Coordinador Unidades Rurales")</f>
        <v>Coordinador Unidades Rurales</v>
      </c>
      <c r="Y113" s="169" t="str">
        <f>IFERROR(__xludf.DUMMYFUNCTION("""COMPUTED_VALUE"""),"Al final del periodo academico")</f>
        <v>Al final del periodo academico</v>
      </c>
      <c r="Z113" s="150" t="str">
        <f>IFERROR(__xludf.DUMMYFUNCTION("""COMPUTED_VALUE"""),"30 de abril")</f>
        <v>30 de abril</v>
      </c>
      <c r="AA113" s="205">
        <f>IFERROR(__xludf.DUMMYFUNCTION("""COMPUTED_VALUE"""),45777.0)</f>
        <v>45777</v>
      </c>
      <c r="AB113" s="150" t="str">
        <f>IFERROR(__xludf.DUMMYFUNCTION("""COMPUTED_VALUE"""),"Durante este primer monitoreo No materializó el riesgo. 
Actividades relacionadas con los controles: 
Para este primer reporte de monitoreo, se informa que la Granja se encuentra en fase de revisión y actualización del procedimiento para la asignación á"&amp;"reas y apoyo en labores de proyectos académico productivos (PD-GAA-52), asi como con el procedimiento para la venta de productos de la granja de la universidad de los Llanos (PD-GAA-53), esto con el fin de actualizar los procedimientos y la normatividad, "&amp;"para posteriormente implementar y divulgar con los docentes, a fin de evitar la materialización del riesgo, se espera contar con esta actualización para el proximo monitoreo.
Acciones de tratamiento: 
Durante este primer monitoreo, se informa que nos e"&amp;"ncontramos elaborando la proyección del nuevo procedimiento el cual será actualizado en conjunto con el normograma, por lo pronto se ha informado a la decanatura la necesidad de actualizar esta información. 
")</f>
        <v>Durante este primer monitoreo No materializó el riesgo. 
Actividades relacionadas con los controles: 
Para este primer reporte de monitoreo, se informa que la Granja se encuentra en fase de revisión y actualización del procedimiento para la asignación áreas y apoyo en labores de proyectos académico productivos (PD-GAA-52), asi como con el procedimiento para la venta de productos de la granja de la universidad de los Llanos (PD-GAA-53), esto con el fin de actualizar los procedimientos y la normatividad, para posteriormente implementar y divulgar con los docentes, a fin de evitar la materialización del riesgo, se espera contar con esta actualización para el proximo monitoreo.
Acciones de tratamiento: 
Durante este primer monitoreo, se informa que nos encontramos elaborando la proyección del nuevo procedimiento el cual será actualizado en conjunto con el normograma, por lo pronto se ha informado a la decanatura la necesidad de actualizar esta información. 
</v>
      </c>
      <c r="AC113" s="152" t="str">
        <f>IFERROR(__xludf.DUMMYFUNCTION("""COMPUTED_VALUE"""),"Coordinador Unidades Rurales")</f>
        <v>Coordinador Unidades Rurales</v>
      </c>
      <c r="AD113" s="153" t="str">
        <f>IFERROR(__xludf.DUMMYFUNCTION("""COMPUTED_VALUE"""),"Evidencia")</f>
        <v>Evidencia</v>
      </c>
      <c r="AE113" s="150" t="str">
        <f>IFERROR(__xludf.DUMMYFUNCTION("""COMPUTED_VALUE"""),"Si")</f>
        <v>Si</v>
      </c>
      <c r="AF113" s="150" t="str">
        <f>IFERROR(__xludf.DUMMYFUNCTION("""COMPUTED_VALUE"""),"En proceso")</f>
        <v>En proceso</v>
      </c>
      <c r="AG113" s="32" t="str">
        <f>IFERROR(__xludf.DUMMYFUNCTION("""COMPUTED_VALUE"""),"Materialización del riesgo: Durante este primer monitoreo NO se materializó el riesgo.
Controles: Los controles previstos (revisión y actualización de los procedimientos PD-GAA-52 y PD-GAA-53) se encuentran en fase de elaboración. No se evidencian aún co"&amp;"ntroles activos que permitan mitigar el riesgo de forma efectiva.
Acciones asociadas al tratamiento: Se evidencia que se está trabajando en la proyección del nuevo procedimiento y que se ha informado la necesidad de actualización a la decanatura. Sin emb"&amp;"argo, el procedimiento aún no ha sido implementado ni actualizado formalmente.
")</f>
        <v>Materialización del riesgo: Durante este primer monitoreo NO se materializó el riesgo.
Controles: Los controles previstos (revisión y actualización de los procedimientos PD-GAA-52 y PD-GAA-53) se encuentran en fase de elaboración. No se evidencian aún controles activos que permitan mitigar el riesgo de forma efectiva.
Acciones asociadas al tratamiento: Se evidencia que se está trabajando en la proyección del nuevo procedimiento y que se ha informado la necesidad de actualización a la decanatura. Sin embargo, el procedimiento aún no ha sido implementado ni actualizado formalmente.
</v>
      </c>
      <c r="AH113" s="150" t="str">
        <f>IFERROR(__xludf.DUMMYFUNCTION("""COMPUTED_VALUE"""),"30 de abril")</f>
        <v>30 de abril</v>
      </c>
      <c r="AI113" s="32" t="str">
        <f>IFERROR(__xludf.DUMMYFUNCTION("""COMPUTED_VALUE"""),"No")</f>
        <v>No</v>
      </c>
      <c r="AJ113" s="32" t="str">
        <f>IFERROR(__xludf.DUMMYFUNCTION("""COMPUTED_VALUE"""),"No")</f>
        <v>No</v>
      </c>
      <c r="AK113" s="32" t="str">
        <f>IFERROR(__xludf.DUMMYFUNCTION("""COMPUTED_VALUE"""),"No")</f>
        <v>No</v>
      </c>
      <c r="AL113" s="32" t="str">
        <f>IFERROR(__xludf.DUMMYFUNCTION("""COMPUTED_VALUE"""),"No")</f>
        <v>No</v>
      </c>
      <c r="AM113" s="32" t="str">
        <f>IFERROR(__xludf.DUMMYFUNCTION("""COMPUTED_VALUE"""),"No")</f>
        <v>No</v>
      </c>
      <c r="AN113" s="32" t="str">
        <f>IFERROR(__xludf.DUMMYFUNCTION("""COMPUTED_VALUE"""),"Si")</f>
        <v>Si</v>
      </c>
      <c r="AO113" s="32" t="str">
        <f>IFERROR(__xludf.DUMMYFUNCTION("""COMPUTED_VALUE"""),"No")</f>
        <v>No</v>
      </c>
      <c r="AP113" s="32" t="str">
        <f>IFERROR(__xludf.DUMMYFUNCTION("""COMPUTED_VALUE"""),"No aplica")</f>
        <v>No aplica</v>
      </c>
      <c r="AQ113" s="32" t="str">
        <f>IFERROR(__xludf.DUMMYFUNCTION("""COMPUTED_VALUE"""),"No aplica")</f>
        <v>No aplica</v>
      </c>
      <c r="AR113" s="32" t="str">
        <f>IFERROR(__xludf.DUMMYFUNCTION("""COMPUTED_VALUE"""),"No aplica")</f>
        <v>No aplica</v>
      </c>
      <c r="AS113" s="150" t="str">
        <f>IFERROR(__xludf.DUMMYFUNCTION("""COMPUTED_VALUE"""),"Hallazgo:
El proceso no reportó monitoreo a la ejecución de los controles establecidos para el presente riesgo como tampoco aportó evidencia de la ejecución de los mismos.
Recomendaciones:
*Fortalecer la descripción de los controles conforme a la metodol"&amp;"ogía propuesta en la Guía para la Administración del Riesgo y el diseño de controles en entidades públicas Versión 6, que propone los elementos que debe contemplar el diseño del control, como son: 
Responsable de ejecutar el control: identifica el cargo d"&amp;"el servidor que ejecuta el control, en caso de que sean controles automáticos se identificará el sistema que realiza la actividad. 
Acción: se determina mediante verbos que indican la acción que deben realizar como parte del control. 
Complemento: corresp"&amp;"onde a los detalles que permiten identificar claramente el objeto del control.
")</f>
        <v>Hallazgo:
El proceso no reportó monitoreo a la ejecución de los controles establecidos para el presente riesgo como tampoco aportó evidencia de la ejecución de los mismos.
Recomendaciones:
*Fortalecer la descripción de los controles conforme a la metodología propuesta en la Guía para la Administración del Riesgo y el diseño de controles en entidades públicas Versión 6, que propone los elementos que debe contemplar el diseño del control, como son: 
Responsable de ejecutar el control: identifica el cargo del servidor que ejecuta el control, en caso de que sean controles automáticos se identificará el sistema que realiza la actividad. 
Acción: se determina mediante verbos que indican la acción que deben realizar como parte del control. 
Complemento: corresponde a los detalles que permiten identificar claramente el objeto del control.
</v>
      </c>
      <c r="AT113" s="139"/>
    </row>
    <row r="114">
      <c r="A114" s="86"/>
      <c r="B114" s="73"/>
      <c r="C114" s="73"/>
      <c r="D114" s="156"/>
      <c r="E114" s="156"/>
      <c r="F114" s="156"/>
      <c r="G114" s="156"/>
      <c r="H114" s="156"/>
      <c r="I114" s="156"/>
      <c r="J114" s="156"/>
      <c r="K114" s="156"/>
      <c r="L114" s="156"/>
      <c r="M114" s="156"/>
      <c r="N114" s="156"/>
      <c r="O114" s="156"/>
      <c r="P114" s="156"/>
      <c r="Q114" s="157"/>
      <c r="R114" s="158" t="str">
        <f>IFERROR(__xludf.DUMMYFUNCTION("""COMPUTED_VALUE"""),"Divulgar los procedimientos actualizados.")</f>
        <v>Divulgar los procedimientos actualizados.</v>
      </c>
      <c r="S114" s="159">
        <f>IFERROR(__xludf.DUMMYFUNCTION("""COMPUTED_VALUE"""),45869.0)</f>
        <v>45869</v>
      </c>
      <c r="T114" s="170" t="str">
        <f>IFERROR(__xludf.DUMMYFUNCTION("""COMPUTED_VALUE"""),"Coordinador Unidades Rurales")</f>
        <v>Coordinador Unidades Rurales</v>
      </c>
      <c r="U114" s="170" t="str">
        <f>IFERROR(__xludf.DUMMYFUNCTION("""COMPUTED_VALUE"""),"Correo electronico")</f>
        <v>Correo electronico</v>
      </c>
      <c r="V114" s="94"/>
      <c r="W114" s="94"/>
      <c r="X114" s="94"/>
      <c r="Y114" s="94"/>
      <c r="Z114" s="150" t="str">
        <f>IFERROR(__xludf.DUMMYFUNCTION("""COMPUTED_VALUE"""),"30 de agosto")</f>
        <v>30 de agosto</v>
      </c>
      <c r="AA114" s="32"/>
      <c r="AB114" s="150"/>
      <c r="AC114" s="152"/>
      <c r="AD114" s="153" t="str">
        <f>IFERROR(__xludf.DUMMYFUNCTION("""COMPUTED_VALUE"""),"Evidencia")</f>
        <v>Evidencia</v>
      </c>
      <c r="AE114" s="150" t="str">
        <f>IFERROR(__xludf.DUMMYFUNCTION("""COMPUTED_VALUE"""),"No")</f>
        <v>No</v>
      </c>
      <c r="AF114" s="152" t="str">
        <f>IFERROR(__xludf.DUMMYFUNCTION("""COMPUTED_VALUE"""),"Pendiente")</f>
        <v>Pendiente</v>
      </c>
      <c r="AG114" s="32" t="str">
        <f>IFERROR(__xludf.DUMMYFUNCTION("""COMPUTED_VALUE"""),"No se reporta avance sobre acciones de control y de tratamiento del riesgo, se recomienda generarlas en el proximo monitoreo. ")</f>
        <v>No se reporta avance sobre acciones de control y de tratamiento del riesgo, se recomienda generarlas en el proximo monitoreo. </v>
      </c>
      <c r="AH114" s="150" t="str">
        <f>IFERROR(__xludf.DUMMYFUNCTION("""COMPUTED_VALUE"""),"31 de agosto")</f>
        <v>31 de agosto</v>
      </c>
      <c r="AI114" s="32" t="str">
        <f>IFERROR(__xludf.DUMMYFUNCTION("""COMPUTED_VALUE"""),"No")</f>
        <v>No</v>
      </c>
      <c r="AJ114" s="32" t="str">
        <f>IFERROR(__xludf.DUMMYFUNCTION("""COMPUTED_VALUE"""),"No")</f>
        <v>No</v>
      </c>
      <c r="AK114" s="32" t="str">
        <f>IFERROR(__xludf.DUMMYFUNCTION("""COMPUTED_VALUE"""),"No")</f>
        <v>No</v>
      </c>
      <c r="AL114" s="32" t="str">
        <f>IFERROR(__xludf.DUMMYFUNCTION("""COMPUTED_VALUE"""),"No")</f>
        <v>No</v>
      </c>
      <c r="AM114" s="32" t="str">
        <f>IFERROR(__xludf.DUMMYFUNCTION("""COMPUTED_VALUE"""),"No")</f>
        <v>No</v>
      </c>
      <c r="AN114" s="32" t="str">
        <f>IFERROR(__xludf.DUMMYFUNCTION("""COMPUTED_VALUE"""),"Si")</f>
        <v>Si</v>
      </c>
      <c r="AO114" s="32" t="str">
        <f>IFERROR(__xludf.DUMMYFUNCTION("""COMPUTED_VALUE"""),"No")</f>
        <v>No</v>
      </c>
      <c r="AP114" s="32" t="str">
        <f>IFERROR(__xludf.DUMMYFUNCTION("""COMPUTED_VALUE"""),"No aplica")</f>
        <v>No aplica</v>
      </c>
      <c r="AQ114" s="32" t="str">
        <f>IFERROR(__xludf.DUMMYFUNCTION("""COMPUTED_VALUE"""),"No aplica")</f>
        <v>No aplica</v>
      </c>
      <c r="AR114" s="32" t="str">
        <f>IFERROR(__xludf.DUMMYFUNCTION("""COMPUTED_VALUE"""),"No aplica")</f>
        <v>No aplica</v>
      </c>
      <c r="AS114" s="150" t="str">
        <f>IFERROR(__xludf.DUMMYFUNCTION("""COMPUTED_VALUE"""),"Hallazgo recurrente:
El proceso no reportó monitoreo a la ejecución de los controles establecidos para el presente riesgo como tampoco aportó evidencia de la ejecución de los mismos.
Se reiteran recomendaciones generadas en la evaluación del primer cuatr"&amp;"imestre:
*Fortalecer la descripción de los controles conforme a la metodología propuesta en la Guía para la Administración del Riesgo y el diseño de controles en entidades públicas Versión 6, que propone los elementos que debe contemplar el diseño del con"&amp;"trol, como son: 
Responsable de ejecutar el control: identifica el cargo del servidor que ejecuta el control, en caso de que sean controles automáticos se identificará el sistema que realiza la actividad. 
Acción: se determina mediante verbos que indican "&amp;"la acción que deben realizar como parte del control. 
Complemento: corresponde a los detalles que permiten identificar claramente el objeto del control.
")</f>
        <v>Hallazgo recurrente:
El proceso no reportó monitoreo a la ejecución de los controles establecidos para el presente riesgo como tampoco aportó evidencia de la ejecución de los mismos.
Se reiteran recomendaciones generadas en la evaluación del primer cuatrimestre:
*Fortalecer la descripción de los controles conforme a la metodología propuesta en la Guía para la Administración del Riesgo y el diseño de controles en entidades públicas Versión 6, que propone los elementos que debe contemplar el diseño del control, como son: 
Responsable de ejecutar el control: identifica el cargo del servidor que ejecuta el control, en caso de que sean controles automáticos se identificará el sistema que realiza la actividad. 
Acción: se determina mediante verbos que indican la acción que deben realizar como parte del control. 
Complemento: corresponde a los detalles que permiten identificar claramente el objeto del control.
</v>
      </c>
      <c r="AT114" s="139"/>
    </row>
    <row r="115">
      <c r="A115" s="86"/>
      <c r="B115" s="38"/>
      <c r="C115" s="38"/>
      <c r="D115" s="119"/>
      <c r="E115" s="119"/>
      <c r="F115" s="119"/>
      <c r="G115" s="119"/>
      <c r="H115" s="119"/>
      <c r="I115" s="119"/>
      <c r="J115" s="119"/>
      <c r="K115" s="119"/>
      <c r="L115" s="119"/>
      <c r="M115" s="119"/>
      <c r="N115" s="119"/>
      <c r="O115" s="119"/>
      <c r="P115" s="119"/>
      <c r="Q115" s="162"/>
      <c r="R115" s="163" t="str">
        <f>IFERROR(__xludf.DUMMYFUNCTION("""COMPUTED_VALUE"""),"Actualizar la normatividad interna de la Unidad Rural Barcelona (Granja) asociadas al Comite de Ventas y Comité de Centro Agrario de Producción.")</f>
        <v>Actualizar la normatividad interna de la Unidad Rural Barcelona (Granja) asociadas al Comite de Ventas y Comité de Centro Agrario de Producción.</v>
      </c>
      <c r="S115" s="164">
        <f>IFERROR(__xludf.DUMMYFUNCTION("""COMPUTED_VALUE"""),46011.0)</f>
        <v>46011</v>
      </c>
      <c r="T115" s="176" t="str">
        <f>IFERROR(__xludf.DUMMYFUNCTION("""COMPUTED_VALUE"""),"Coordinador Unidades Rurales")</f>
        <v>Coordinador Unidades Rurales</v>
      </c>
      <c r="U115" s="176" t="str">
        <f>IFERROR(__xludf.DUMMYFUNCTION("""COMPUTED_VALUE"""),"Normatividad interna actualizada")</f>
        <v>Normatividad interna actualizada</v>
      </c>
      <c r="V115" s="98"/>
      <c r="W115" s="98"/>
      <c r="X115" s="98"/>
      <c r="Y115" s="98"/>
      <c r="Z115" s="150" t="str">
        <f>IFERROR(__xludf.DUMMYFUNCTION("""COMPUTED_VALUE"""),"30 de diciembre")</f>
        <v>30 de diciembre</v>
      </c>
      <c r="AA115" s="32"/>
      <c r="AB115" s="150" t="str">
        <f>IFERROR(__xludf.DUMMYFUNCTION("""COMPUTED_VALUE"""),"Durante esta periodo no se materilizo el riesgo. Sin embargo se siguen haciendo los controles necesarios.
Se cuenta con un archivo en exel de los proyectos de aula  registrados en la Granja Barcelona, durante el periodo de 2023 a 2025, y las solicitudes p"&amp;"ara el 2026.
Tambien, se ha trabajado en la actualización de los procedimientos con el apoyo de pasantes y en la modificación del Acuerdo Superior No. 006 de 2005, el cual fue enviado a la Facultad de Ciencias Agropecuarias y Recursos Naturales para su re"&amp;"spectiva proceso.
Igualmente se lleva como control el registro de las ventas en el formato Relación Mensual Ventas de Productos de la Granja de la Universidad de los Llanos. cod. FO-GAA-81
")</f>
        <v>Durante esta periodo no se materilizo el riesgo. Sin embargo se siguen haciendo los controles necesarios.
Se cuenta con un archivo en exel de los proyectos de aula  registrados en la Granja Barcelona, durante el periodo de 2023 a 2025, y las solicitudes para el 2026.
Tambien, se ha trabajado en la actualización de los procedimientos con el apoyo de pasantes y en la modificación del Acuerdo Superior No. 006 de 2005, el cual fue enviado a la Facultad de Ciencias Agropecuarias y Recursos Naturales para su respectiva proceso.
Igualmente se lleva como control el registro de las ventas en el formato Relación Mensual Ventas de Productos de la Granja de la Universidad de los Llanos. cod. FO-GAA-81
</v>
      </c>
      <c r="AC115" s="152" t="str">
        <f>IFERROR(__xludf.DUMMYFUNCTION("""COMPUTED_VALUE"""),"Coordinador Unidades Rurales")</f>
        <v>Coordinador Unidades Rurales</v>
      </c>
      <c r="AD115" s="153" t="str">
        <f>IFERROR(__xludf.DUMMYFUNCTION("""COMPUTED_VALUE"""),"Evidencia")</f>
        <v>Evidencia</v>
      </c>
      <c r="AE115" s="150" t="str">
        <f>IFERROR(__xludf.DUMMYFUNCTION("""COMPUTED_VALUE"""),"Si")</f>
        <v>Si</v>
      </c>
      <c r="AF115" s="152" t="str">
        <f>IFERROR(__xludf.DUMMYFUNCTION("""COMPUTED_VALUE"""),"En proceso")</f>
        <v>En proceso</v>
      </c>
      <c r="AG115" s="32" t="str">
        <f>IFERROR(__xludf.DUMMYFUNCTION("""COMPUTED_VALUE"""),"-Durante el período evaluado no se materializó el riesgo y se continuó con la aplicación de los controles definidos.
-Se cuenta con un registro consolidado en Excel de los proyectos de aula desarrollados en la Granja Barcelona (2023–2025) y de las solicit"&amp;"udes proyectadas para la vigencia 2026.
-Asimismo, se evidenció el avance en la actualización de procedimientos, actividad que se encuentra en proceso, con el apoyo de pasantes, al igual que la gestión para la modificación del Acuerdo Superior N.° 006 de "&amp;"2005, actualmente en trámite ante la Facultad de Ciencias Agropecuarias y Recursos Naturales.
-De igual forma, se mantiene como control el registro mensual de ventas de productos de la Granja, mediante el formato FO-GAA-81.
-Algunas evidencias asociadas "&amp;"a estas acciones se encuentran en etapa de elaboración, por cuanto las actividades continúan en desarrollo.                                                                                                         -Se recomienda continuar con la ejecución d"&amp;"e las acciones previstas y consolidar progresivamente los soportes documentales, a fin de fortalecer la trazabilidad y el seguimiento en próximos monitoreos.")</f>
        <v>-Durante el período evaluado no se materializó el riesgo y se continuó con la aplicación de los controles definidos.
-Se cuenta con un registro consolidado en Excel de los proyectos de aula desarrollados en la Granja Barcelona (2023–2025) y de las solicitudes proyectadas para la vigencia 2026.
-Asimismo, se evidenció el avance en la actualización de procedimientos, actividad que se encuentra en proceso, con el apoyo de pasantes, al igual que la gestión para la modificación del Acuerdo Superior N.° 006 de 2005, actualmente en trámite ante la Facultad de Ciencias Agropecuarias y Recursos Naturales.
-De igual forma, se mantiene como control el registro mensual de ventas de productos de la Granja, mediante el formato FO-GAA-81.
-Algunas evidencias asociadas a estas acciones se encuentran en etapa de elaboración, por cuanto las actividades continúan en desarrollo.                                                                                                         -Se recomienda continuar con la ejecución de las acciones previstas y consolidar progresivamente los soportes documentales, a fin de fortalecer la trazabilidad y el seguimiento en próximos monitoreos.</v>
      </c>
      <c r="AH115" s="150" t="str">
        <f>IFERROR(__xludf.DUMMYFUNCTION("""COMPUTED_VALUE"""),"31 de diciembre")</f>
        <v>31 de diciembre</v>
      </c>
      <c r="AI115" s="32" t="str">
        <f>IFERROR(__xludf.DUMMYFUNCTION("""COMPUTED_VALUE"""),"Si")</f>
        <v>Si</v>
      </c>
      <c r="AJ115" s="32" t="str">
        <f>IFERROR(__xludf.DUMMYFUNCTION("""COMPUTED_VALUE"""),"Si")</f>
        <v>Si</v>
      </c>
      <c r="AK115" s="32" t="str">
        <f>IFERROR(__xludf.DUMMYFUNCTION("""COMPUTED_VALUE"""),"Si")</f>
        <v>Si</v>
      </c>
      <c r="AL115" s="32" t="str">
        <f>IFERROR(__xludf.DUMMYFUNCTION("""COMPUTED_VALUE"""),"Si")</f>
        <v>Si</v>
      </c>
      <c r="AM115" s="32" t="str">
        <f>IFERROR(__xludf.DUMMYFUNCTION("""COMPUTED_VALUE"""),"Parcial")</f>
        <v>Parcial</v>
      </c>
      <c r="AN115" s="32" t="str">
        <f>IFERROR(__xludf.DUMMYFUNCTION("""COMPUTED_VALUE"""),"No")</f>
        <v>No</v>
      </c>
      <c r="AO115" s="32" t="str">
        <f>IFERROR(__xludf.DUMMYFUNCTION("""COMPUTED_VALUE"""),"No")</f>
        <v>No</v>
      </c>
      <c r="AP115" s="32" t="str">
        <f>IFERROR(__xludf.DUMMYFUNCTION("""COMPUTED_VALUE"""),"No aplica")</f>
        <v>No aplica</v>
      </c>
      <c r="AQ115" s="32" t="str">
        <f>IFERROR(__xludf.DUMMYFUNCTION("""COMPUTED_VALUE"""),"No aplica")</f>
        <v>No aplica</v>
      </c>
      <c r="AR115" s="32" t="str">
        <f>IFERROR(__xludf.DUMMYFUNCTION("""COMPUTED_VALUE"""),"No aplica")</f>
        <v>No aplica</v>
      </c>
      <c r="AS115" s="150" t="str">
        <f>IFERROR(__xludf.DUMMYFUNCTION("""COMPUTED_VALUE"""),"Se reiteran recomendaciones generadas en la evaluación del primer y segundo  cuatrimestre:
*Fortalecer la descripción de los controles conforme a la metodología propuesta en la Guía para la Administración del Riesgo y el diseño de controles en entidades p"&amp;"úblicas Versión 6, que propone los elementos que debe contemplar el diseño del control, como son: 
Responsable de ejecutar el control: identifica el cargo del servidor que ejecuta el control, en caso de que sean controles automáticos se identificará el si"&amp;"stema que realiza la actividad. 
Acción: se determina mediante verbos que indican la acción que deben realizar como parte del control. 
Complemento: corresponde a los detalles que permiten identificar claramente el objeto del control.
Adicionalmente se r"&amp;"ecomienda fortalecer la calidady sufiencia de la evidencia aportada como resultado de la ejecución de los controles.
")</f>
        <v>Se reiteran recomendaciones generadas en la evaluación del primer y segundo  cuatrimestre:
*Fortalecer la descripción de los controles conforme a la metodología propuesta en la Guía para la Administración del Riesgo y el diseño de controles en entidades públicas Versión 6, que propone los elementos que debe contemplar el diseño del control, como son: 
Responsable de ejecutar el control: identifica el cargo del servidor que ejecuta el control, en caso de que sean controles automáticos se identificará el sistema que realiza la actividad. 
Acción: se determina mediante verbos que indican la acción que deben realizar como parte del control. 
Complemento: corresponde a los detalles que permiten identificar claramente el objeto del control.
Adicionalmente se recomienda fortalecer la calidady sufiencia de la evidencia aportada como resultado de la ejecución de los controles.
</v>
      </c>
      <c r="AT115" s="139"/>
    </row>
    <row r="116">
      <c r="A116" s="86"/>
      <c r="B116" s="140" t="s">
        <v>229</v>
      </c>
      <c r="C116" s="141" t="str">
        <f>IFERROR(__xludf.DUMMYFUNCTION("IMPORTRANGE(""https://docs.google.com/spreadsheets/d/1qj3DMnvAUbpIIUCJRl4h_bOnKt1VeHFMhGA28RNyhPc/edit?gid=1637401468#gid=1637401468"",""Matriz_riesgos!C11:AS16"")"),"Gestionar, planificar y evaluar los recursos nuevos y actuales que conforman la infraestructura tecnológica de la Universidad, para responder a los requerimientos internos y externos, velando por la disponibilidad, autenticación, integridad y confidencial"&amp;"idad de la información y el resguardo de los recursos computacionales a
nivel de hardware y software. ")</f>
        <v>Gestionar, planificar y evaluar los recursos nuevos y actuales que conforman la infraestructura tecnológica de la Universidad, para responder a los requerimientos internos y externos, velando por la disponibilidad, autenticación, integridad y confidencialidad de la información y el resguardo de los recursos computacionales a
nivel de hardware y software. </v>
      </c>
      <c r="D116" s="144" t="str">
        <f>IFERROR(__xludf.DUMMYFUNCTION("""COMPUTED_VALUE"""),"Afectación económica y reputacional debido a la alteración de la información contenida en la base de datos del SIAU, para beneficio propio o de un tercero.")</f>
        <v>Afectación económica y reputacional debido a la alteración de la información contenida en la base de datos del SIAU, para beneficio propio o de un tercero.</v>
      </c>
      <c r="E116" s="144" t="str">
        <f>IFERROR(__xludf.DUMMYFUNCTION("""COMPUTED_VALUE"""),"Oficina de sistemas")</f>
        <v>Oficina de sistemas</v>
      </c>
      <c r="F116" s="144" t="str">
        <f>IFERROR(__xludf.DUMMYFUNCTION("""COMPUTED_VALUE"""),"Corrupción")</f>
        <v>Corrupción</v>
      </c>
      <c r="G116" s="144" t="str">
        <f>IFERROR(__xludf.DUMMYFUNCTION("""COMPUTED_VALUE"""),"- Ausencia de roles y responsabilidades definidos para la administración de la base de datos
- Debilidades en la aplicación de medidas de seguridad implementadas en el SIAU
- Ataques informáticos al SIAU")</f>
        <v>- Ausencia de roles y responsabilidades definidos para la administración de la base de datos
- Debilidades en la aplicación de medidas de seguridad implementadas en el SIAU
- Ataques informáticos al SIAU</v>
      </c>
      <c r="H116" s="144" t="str">
        <f>IFERROR(__xludf.DUMMYFUNCTION("""COMPUTED_VALUE"""),"1. Intervención de entes de control
2. Afectación a los usuarios
3. Sanciones económicas o legales a la Universidad")</f>
        <v>1. Intervención de entes de control
2. Afectación a los usuarios
3. Sanciones económicas o legales a la Universidad</v>
      </c>
      <c r="I116" s="145" t="str">
        <f>IFERROR(__xludf.DUMMYFUNCTION("""COMPUTED_VALUE"""),"GRT_01")</f>
        <v>GRT_01</v>
      </c>
      <c r="J116" s="145" t="str">
        <f>IFERROR(__xludf.DUMMYFUNCTION("""COMPUTED_VALUE"""),"Alta")</f>
        <v>Alta</v>
      </c>
      <c r="K116" s="145" t="str">
        <f>IFERROR(__xludf.DUMMYFUNCTION("""COMPUTED_VALUE"""),"Mayor")</f>
        <v>Mayor</v>
      </c>
      <c r="L116" s="145" t="str">
        <f>IFERROR(__xludf.DUMMYFUNCTION("""COMPUTED_VALUE"""),"Extrema")</f>
        <v>Extrema</v>
      </c>
      <c r="M116" s="144" t="str">
        <f>IFERROR(__xludf.DUMMYFUNCTION("""COMPUTED_VALUE"""),"- El Administrador de la Base de Datos (DBA) realiza periódicamente verificación de los logs generados por el motor de la Base de Datos (DB), con el fin detectar cambios en los registros de la BD
- El DBA asigna privilegios de acceso a la DB de acuerdo a "&amp;"las labores asignadas a los desarrolladores
- El jefe de la oficina de sistemas entrega mediante acta las credenciales de acceso a la BD de producción a cada uno de los desarrolladores, las cuales de ajustan al lineamiento de actualización de contraseña c"&amp;"ada 90 días. - El DBA programas la realización de backups a la BD de dos maneras: full diario e incremental cada 2 horas. - El DBA realiza cada fin de semana mantenimiento a la BD mediante la actualización de los índices y las estadísticas.")</f>
        <v>- El Administrador de la Base de Datos (DBA) realiza periódicamente verificación de los logs generados por el motor de la Base de Datos (DB), con el fin detectar cambios en los registros de la BD
- El DBA asigna privilegios de acceso a la DB de acuerdo a las labores asignadas a los desarrolladores
- El jefe de la oficina de sistemas entrega mediante acta las credenciales de acceso a la BD de producción a cada uno de los desarrolladores, las cuales de ajustan al lineamiento de actualización de contraseña cada 90 días. - El DBA programas la realización de backups a la BD de dos maneras: full diario e incremental cada 2 horas. - El DBA realiza cada fin de semana mantenimiento a la BD mediante la actualización de los índices y las estadísticas.</v>
      </c>
      <c r="N116" s="145" t="str">
        <f>IFERROR(__xludf.DUMMYFUNCTION("""COMPUTED_VALUE"""),"Muy baja")</f>
        <v>Muy baja</v>
      </c>
      <c r="O116" s="145" t="str">
        <f>IFERROR(__xludf.DUMMYFUNCTION("""COMPUTED_VALUE"""),"Mayor")</f>
        <v>Mayor</v>
      </c>
      <c r="P116" s="145" t="str">
        <f>IFERROR(__xludf.DUMMYFUNCTION("""COMPUTED_VALUE"""),"Alta")</f>
        <v>Alta</v>
      </c>
      <c r="Q116" s="178" t="str">
        <f>IFERROR(__xludf.DUMMYFUNCTION("""COMPUTED_VALUE"""),"Reducir")</f>
        <v>Reducir</v>
      </c>
      <c r="R116" s="158" t="str">
        <f>IFERROR(__xludf.DUMMYFUNCTION("""COMPUTED_VALUE"""),"Migrar a la nube el aplicativo y la DB del SIAU")</f>
        <v>Migrar a la nube el aplicativo y la DB del SIAU</v>
      </c>
      <c r="S116" s="159">
        <f>IFERROR(__xludf.DUMMYFUNCTION("""COMPUTED_VALUE"""),45838.0)</f>
        <v>45838</v>
      </c>
      <c r="T116" s="159" t="str">
        <f>IFERROR(__xludf.DUMMYFUNCTION("""COMPUTED_VALUE"""),"Jefe de la oficina de Sistemas")</f>
        <v>Jefe de la oficina de Sistemas</v>
      </c>
      <c r="U116" s="159" t="str">
        <f>IFERROR(__xludf.DUMMYFUNCTION("""COMPUTED_VALUE"""),"Registro fotográfico de la migración")</f>
        <v>Registro fotográfico de la migración</v>
      </c>
      <c r="V116" s="167" t="str">
        <f>IFERROR(__xludf.DUMMYFUNCTION("""COMPUTED_VALUE"""),"- Restaurar backups en caso de verificar que se realizaron cambios indebidos en la base de datos.
- Establecer las acciones necesarias en caso de incumplimiento de los lineamientos establecidos en las políticas y en los procedimientos de seguridad de la i"&amp;"nformación.")</f>
        <v>- Restaurar backups en caso de verificar que se realizaron cambios indebidos en la base de datos.
- Establecer las acciones necesarias en caso de incumplimiento de los lineamientos establecidos en las políticas y en los procedimientos de seguridad de la información.</v>
      </c>
      <c r="W116" s="167" t="str">
        <f>IFERROR(__xludf.DUMMYFUNCTION("""COMPUTED_VALUE"""),"Registro de restauración de la base de datos
Registros de las acciones establecidas de acuerdo al caso presentado")</f>
        <v>Registro de restauración de la base de datos
Registros de las acciones establecidas de acuerdo al caso presentado</v>
      </c>
      <c r="X116" s="169" t="str">
        <f>IFERROR(__xludf.DUMMYFUNCTION("""COMPUTED_VALUE"""),"Administrador de la base de datos
Jefe de Oficina de Sistemas")</f>
        <v>Administrador de la base de datos
Jefe de Oficina de Sistemas</v>
      </c>
      <c r="Y116" s="169" t="str">
        <f>IFERROR(__xludf.DUMMYFUNCTION("""COMPUTED_VALUE"""),"Inmediato
2 semanas")</f>
        <v>Inmediato
2 semanas</v>
      </c>
      <c r="Z116" s="150" t="str">
        <f>IFERROR(__xludf.DUMMYFUNCTION("""COMPUTED_VALUE"""),"30 de abril")</f>
        <v>30 de abril</v>
      </c>
      <c r="AA116" s="172">
        <f>IFERROR(__xludf.DUMMYFUNCTION("""COMPUTED_VALUE"""),45757.0)</f>
        <v>45757</v>
      </c>
      <c r="AB116" s="150" t="str">
        <f>IFERROR(__xludf.DUMMYFUNCTION("""COMPUTED_VALUE"""),"
Durante el período de monitoreo no se presentó materialización del riesgo, sin embargo se aplican los controles para prevenir su materialización.
Acciones asociadas a la aplicación de controles del riesgo:
-Se hizo firmar acta de entrega usuario y cont"&amp;"raseña a los ingenieros con permisos de acceso a la base de datos productiva.
-Se verifica realización de backups diario e incremental a la base de datos.
-Se realiza mantenimiento programado a la base de datos.
Acción de control propuesta:
-Se definió u"&amp;"na hoja de ruta con las actividades necesarias para el proceso de migración de la base de datos a la nube, las cuales se encuentran actualmente en ejecución.
")</f>
        <v>
Durante el período de monitoreo no se presentó materialización del riesgo, sin embargo se aplican los controles para prevenir su materialización.
Acciones asociadas a la aplicación de controles del riesgo:
-Se hizo firmar acta de entrega usuario y contraseña a los ingenieros con permisos de acceso a la base de datos productiva.
-Se verifica realización de backups diario e incremental a la base de datos.
-Se realiza mantenimiento programado a la base de datos.
Acción de control propuesta:
-Se definió una hoja de ruta con las actividades necesarias para el proceso de migración de la base de datos a la nube, las cuales se encuentran actualmente en ejecución.
</v>
      </c>
      <c r="AC116" s="152" t="str">
        <f>IFERROR(__xludf.DUMMYFUNCTION("""COMPUTED_VALUE"""),"Administrador de base de datos, Jefe oficina de sistemas")</f>
        <v>Administrador de base de datos, Jefe oficina de sistemas</v>
      </c>
      <c r="AD116" s="153" t="str">
        <f>IFERROR(__xludf.DUMMYFUNCTION("""COMPUTED_VALUE"""),"Evidencia")</f>
        <v>Evidencia</v>
      </c>
      <c r="AE116" s="150" t="str">
        <f>IFERROR(__xludf.DUMMYFUNCTION("""COMPUTED_VALUE"""),"Si")</f>
        <v>Si</v>
      </c>
      <c r="AF116" s="150" t="str">
        <f>IFERROR(__xludf.DUMMYFUNCTION("""COMPUTED_VALUE"""),"En proceso")</f>
        <v>En proceso</v>
      </c>
      <c r="AG116" s="32" t="str">
        <f>IFERROR(__xludf.DUMMYFUNCTION("""COMPUTED_VALUE"""),"Con base en la información reportada por la dependencia, se confirma que no se ha presentado materialización del riesgo durante el período evaluado, lo cual refleja una gestión adecuada hasta la fecha.
Respecto a los controles establecidos, se evidencia "&amp;"que la dependencia ha mantenido la ejecución de las actividades previstas, tales como:
Entrega controlada de credenciales de acceso a la base de datos productiva.
Verificación diaria de backups y realización de mantenimientos programados.
No obstante, "&amp;"se sugiere complementar el reporte incluyendo la totalidad de los controles definidos en la matriz, como la verificación de logs por parte del DBA, la actualización periódica de contraseñas y la ejecución de backups incrementales cada 2 horas, con el fin "&amp;"de garantizar un seguimiento integral.
En cuanto a la acción de mejora, se informa que se encuentra en ejecución la hoja de ruta para la migración a la nube del aplicativo y la base de datos del SIAU. Esta acción coincide con lo establecido en la matriz "&amp;"de tratamiento del riesgo, con fecha estimada de finalización al 06/30/2025. Se recomienda incluir evidencia parcial del avance (ej., cronograma, actas, registros fotográficos) en los próximos seguimientos para fortalecer la trazabilidad del proceso.")</f>
        <v>Con base en la información reportada por la dependencia, se confirma que no se ha presentado materialización del riesgo durante el período evaluado, lo cual refleja una gestión adecuada hasta la fecha.
Respecto a los controles establecidos, se evidencia que la dependencia ha mantenido la ejecución de las actividades previstas, tales como:
Entrega controlada de credenciales de acceso a la base de datos productiva.
Verificación diaria de backups y realización de mantenimientos programados.
No obstante, se sugiere complementar el reporte incluyendo la totalidad de los controles definidos en la matriz, como la verificación de logs por parte del DBA, la actualización periódica de contraseñas y la ejecución de backups incrementales cada 2 horas, con el fin de garantizar un seguimiento integral.
En cuanto a la acción de mejora, se informa que se encuentra en ejecución la hoja de ruta para la migración a la nube del aplicativo y la base de datos del SIAU. Esta acción coincide con lo establecido en la matriz de tratamiento del riesgo, con fecha estimada de finalización al 06/30/2025. Se recomienda incluir evidencia parcial del avance (ej., cronograma, actas, registros fotográficos) en los próximos seguimientos para fortalecer la trazabilidad del proceso.</v>
      </c>
      <c r="AH116" s="150" t="str">
        <f>IFERROR(__xludf.DUMMYFUNCTION("""COMPUTED_VALUE"""),"30 de abril")</f>
        <v>30 de abril</v>
      </c>
      <c r="AI116" s="32" t="str">
        <f>IFERROR(__xludf.DUMMYFUNCTION("""COMPUTED_VALUE"""),"Si")</f>
        <v>Si</v>
      </c>
      <c r="AJ116" s="32" t="str">
        <f>IFERROR(__xludf.DUMMYFUNCTION("""COMPUTED_VALUE"""),"Si")</f>
        <v>Si</v>
      </c>
      <c r="AK116" s="32" t="str">
        <f>IFERROR(__xludf.DUMMYFUNCTION("""COMPUTED_VALUE"""),"Si")</f>
        <v>Si</v>
      </c>
      <c r="AL116" s="32" t="str">
        <f>IFERROR(__xludf.DUMMYFUNCTION("""COMPUTED_VALUE"""),"Si")</f>
        <v>Si</v>
      </c>
      <c r="AM116" s="32" t="str">
        <f>IFERROR(__xludf.DUMMYFUNCTION("""COMPUTED_VALUE"""),"Parcial")</f>
        <v>Parcial</v>
      </c>
      <c r="AN116" s="32" t="str">
        <f>IFERROR(__xludf.DUMMYFUNCTION("""COMPUTED_VALUE"""),"Si")</f>
        <v>Si</v>
      </c>
      <c r="AO116" s="32" t="str">
        <f>IFERROR(__xludf.DUMMYFUNCTION("""COMPUTED_VALUE"""),"Si")</f>
        <v>Si</v>
      </c>
      <c r="AP116" s="32" t="str">
        <f>IFERROR(__xludf.DUMMYFUNCTION("""COMPUTED_VALUE"""),"No")</f>
        <v>No</v>
      </c>
      <c r="AQ116" s="32" t="str">
        <f>IFERROR(__xludf.DUMMYFUNCTION("""COMPUTED_VALUE"""),"No aplica")</f>
        <v>No aplica</v>
      </c>
      <c r="AR116" s="32" t="str">
        <f>IFERROR(__xludf.DUMMYFUNCTION("""COMPUTED_VALUE"""),"No aplica")</f>
        <v>No aplica</v>
      </c>
      <c r="AS116" s="150" t="str">
        <f>IFERROR(__xludf.DUMMYFUNCTION("""COMPUTED_VALUE"""),"Recomendaciones:
*En concordancia con el resultado del monitoreo realizado por la Segunda Lìnea de Defensa, se recomienda fortalecer el reporte incluyendo la totalidad de los controles. Se requiere que la evidencia sea competente, es decir con calidad en "&amp;"relación a su relevancia y confiabilidad y suficiente en términos de cantidad y completitud, que permita demostrar de manera íntegra el hecho.
")</f>
        <v>Recomendaciones:
*En concordancia con el resultado del monitoreo realizado por la Segunda Lìnea de Defensa, se recomienda fortalecer el reporte incluyendo la totalidad de los controles. Se requiere que la evidencia sea competente, es decir con calidad en relación a su relevancia y confiabilidad y suficiente en términos de cantidad y completitud, que permita demostrar de manera íntegra el hecho.
</v>
      </c>
      <c r="AT116" s="139"/>
    </row>
    <row r="117">
      <c r="A117" s="86"/>
      <c r="B117" s="73"/>
      <c r="C117" s="73"/>
      <c r="D117" s="156"/>
      <c r="E117" s="156"/>
      <c r="F117" s="156"/>
      <c r="G117" s="156"/>
      <c r="H117" s="156"/>
      <c r="I117" s="156"/>
      <c r="J117" s="156"/>
      <c r="K117" s="156"/>
      <c r="L117" s="156"/>
      <c r="M117" s="156"/>
      <c r="N117" s="156"/>
      <c r="O117" s="156"/>
      <c r="P117" s="156"/>
      <c r="Q117" s="157"/>
      <c r="R117" s="158" t="str">
        <f>IFERROR(__xludf.DUMMYFUNCTION("""COMPUTED_VALUE"""),"")</f>
        <v/>
      </c>
      <c r="S117" s="159" t="str">
        <f>IFERROR(__xludf.DUMMYFUNCTION("""COMPUTED_VALUE"""),"")</f>
        <v/>
      </c>
      <c r="T117" s="170"/>
      <c r="U117" s="170"/>
      <c r="V117" s="94"/>
      <c r="W117" s="94"/>
      <c r="X117" s="94"/>
      <c r="Y117" s="94"/>
      <c r="Z117" s="150" t="str">
        <f>IFERROR(__xludf.DUMMYFUNCTION("""COMPUTED_VALUE"""),"30 de agosto")</f>
        <v>30 de agosto</v>
      </c>
      <c r="AA117" s="32"/>
      <c r="AB117" s="150" t="str">
        <f>IFERROR(__xludf.DUMMYFUNCTION("""COMPUTED_VALUE"""),"
Durante el período de monitoreo no se presentó materialización del riesgo, sin embargo se aplican los controles para prevenir su materialización.
Acciones asociadas a la aplicación de controles del riesgo:
-Se hizo firmar acta de entrega usuario y contr"&amp;"aseña de acceso a la base de datos productiva, a un nuevo integrante del equipo de desarrollo.
-Se ejecuta realización de backups a la base de datos y se verifica su integridad.
Acción de control propuesta:
-Se realizó migración,  automatización y optimi"&amp;"zación del ambiente productivo del  SIAU en la nube.")</f>
        <v>
Durante el período de monitoreo no se presentó materialización del riesgo, sin embargo se aplican los controles para prevenir su materialización.
Acciones asociadas a la aplicación de controles del riesgo:
-Se hizo firmar acta de entrega usuario y contraseña de acceso a la base de datos productiva, a un nuevo integrante del equipo de desarrollo.
-Se ejecuta realización de backups a la base de datos y se verifica su integridad.
Acción de control propuesta:
-Se realizó migración,  automatización y optimización del ambiente productivo del  SIAU en la nube.</v>
      </c>
      <c r="AC117" s="152"/>
      <c r="AD117" s="153" t="str">
        <f>IFERROR(__xludf.DUMMYFUNCTION("""COMPUTED_VALUE"""),"Evidencia")</f>
        <v>Evidencia</v>
      </c>
      <c r="AE117" s="150" t="str">
        <f>IFERROR(__xludf.DUMMYFUNCTION("""COMPUTED_VALUE"""),"No")</f>
        <v>No</v>
      </c>
      <c r="AF117" s="152" t="str">
        <f>IFERROR(__xludf.DUMMYFUNCTION("""COMPUTED_VALUE"""),"Pendiente")</f>
        <v>Pendiente</v>
      </c>
      <c r="AG117" s="32" t="str">
        <f>IFERROR(__xludf.DUMMYFUNCTION("""COMPUTED_VALUE"""),"Durante este monitoreo no se evidencia reporte de acciones de tratamiento, controles ni materialización del riesgo, se sugiere que se reporte el avance en el proximo monitoreo. ")</f>
        <v>Durante este monitoreo no se evidencia reporte de acciones de tratamiento, controles ni materialización del riesgo, se sugiere que se reporte el avance en el proximo monitoreo. </v>
      </c>
      <c r="AH117" s="150" t="str">
        <f>IFERROR(__xludf.DUMMYFUNCTION("""COMPUTED_VALUE"""),"31 de agosto")</f>
        <v>31 de agosto</v>
      </c>
      <c r="AI117" s="32" t="str">
        <f>IFERROR(__xludf.DUMMYFUNCTION("""COMPUTED_VALUE"""),"Si")</f>
        <v>Si</v>
      </c>
      <c r="AJ117" s="32" t="str">
        <f>IFERROR(__xludf.DUMMYFUNCTION("""COMPUTED_VALUE"""),"Si")</f>
        <v>Si</v>
      </c>
      <c r="AK117" s="32" t="str">
        <f>IFERROR(__xludf.DUMMYFUNCTION("""COMPUTED_VALUE"""),"Si")</f>
        <v>Si</v>
      </c>
      <c r="AL117" s="32" t="str">
        <f>IFERROR(__xludf.DUMMYFUNCTION("""COMPUTED_VALUE"""),"Si")</f>
        <v>Si</v>
      </c>
      <c r="AM117" s="32" t="str">
        <f>IFERROR(__xludf.DUMMYFUNCTION("""COMPUTED_VALUE"""),"Si")</f>
        <v>Si</v>
      </c>
      <c r="AN117" s="32" t="str">
        <f>IFERROR(__xludf.DUMMYFUNCTION("""COMPUTED_VALUE"""),"Si")</f>
        <v>Si</v>
      </c>
      <c r="AO117" s="32" t="str">
        <f>IFERROR(__xludf.DUMMYFUNCTION("""COMPUTED_VALUE"""),"Si")</f>
        <v>Si</v>
      </c>
      <c r="AP117" s="32" t="str">
        <f>IFERROR(__xludf.DUMMYFUNCTION("""COMPUTED_VALUE"""),"No")</f>
        <v>No</v>
      </c>
      <c r="AQ117" s="32" t="str">
        <f>IFERROR(__xludf.DUMMYFUNCTION("""COMPUTED_VALUE"""),"No aplica")</f>
        <v>No aplica</v>
      </c>
      <c r="AR117" s="32" t="str">
        <f>IFERROR(__xludf.DUMMYFUNCTION("""COMPUTED_VALUE"""),"No aplica")</f>
        <v>No aplica</v>
      </c>
      <c r="AS117" s="150" t="str">
        <f>IFERROR(__xludf.DUMMYFUNCTION("""COMPUTED_VALUE"""),"Recomendaciones:
*Fortalecer el reporte incluyendo la totalidad de los controles. ")</f>
        <v>Recomendaciones:
*Fortalecer el reporte incluyendo la totalidad de los controles. </v>
      </c>
      <c r="AT117" s="139"/>
    </row>
    <row r="118">
      <c r="A118" s="86"/>
      <c r="B118" s="73"/>
      <c r="C118" s="73"/>
      <c r="D118" s="119"/>
      <c r="E118" s="119"/>
      <c r="F118" s="119"/>
      <c r="G118" s="119"/>
      <c r="H118" s="119"/>
      <c r="I118" s="119"/>
      <c r="J118" s="119"/>
      <c r="K118" s="119"/>
      <c r="L118" s="119"/>
      <c r="M118" s="119"/>
      <c r="N118" s="119"/>
      <c r="O118" s="119"/>
      <c r="P118" s="119"/>
      <c r="Q118" s="162"/>
      <c r="R118" s="163" t="str">
        <f>IFERROR(__xludf.DUMMYFUNCTION("""COMPUTED_VALUE"""),"")</f>
        <v/>
      </c>
      <c r="S118" s="164" t="str">
        <f>IFERROR(__xludf.DUMMYFUNCTION("""COMPUTED_VALUE"""),"")</f>
        <v/>
      </c>
      <c r="T118" s="176"/>
      <c r="U118" s="176"/>
      <c r="V118" s="98"/>
      <c r="W118" s="98"/>
      <c r="X118" s="98"/>
      <c r="Y118" s="98"/>
      <c r="Z118" s="150" t="str">
        <f>IFERROR(__xludf.DUMMYFUNCTION("""COMPUTED_VALUE"""),"30 de diciembre")</f>
        <v>30 de diciembre</v>
      </c>
      <c r="AA118" s="32" t="str">
        <f>IFERROR(__xludf.DUMMYFUNCTION("""COMPUTED_VALUE"""),"Diciembre")</f>
        <v>Diciembre</v>
      </c>
      <c r="AB118" s="150" t="str">
        <f>IFERROR(__xludf.DUMMYFUNCTION("""COMPUTED_VALUE"""),"Durante el período de monitoreo no se presentó materialización del riesgo, sin embargo se aplican los controles para prevenir su materialización.
Acciones asociadas a la aplicación de controles del riesgo:
-Se realizó entrega de usuario y contraseña para"&amp;" la base de datos de prueba a los pasantes que están desarrollando un proyecto en el SIAU para la Facultad de Ciencias de la Salud. (Se carga evidencia)
-Se verifica realización de backups diario e incremental a la base de datos. (Se carga evidencia)
-Se "&amp;"verifica realización del mantenimiento programado a la base de datos mediante la actualización de los índices y estadísticas. (Se carga evidencia)
Acción de control propuesta:
-Se verificó que la base de datos del SIAU se encuentra alojada en la nube tal "&amp;"como se habia programado. (Se carga evidencia)
")</f>
        <v>Durante el período de monitoreo no se presentó materialización del riesgo, sin embargo se aplican los controles para prevenir su materialización.
Acciones asociadas a la aplicación de controles del riesgo:
-Se realizó entrega de usuario y contraseña para la base de datos de prueba a los pasantes que están desarrollando un proyecto en el SIAU para la Facultad de Ciencias de la Salud. (Se carga evidencia)
-Se verifica realización de backups diario e incremental a la base de datos. (Se carga evidencia)
-Se verifica realización del mantenimiento programado a la base de datos mediante la actualización de los índices y estadísticas. (Se carga evidencia)
Acción de control propuesta:
-Se verificó que la base de datos del SIAU se encuentra alojada en la nube tal como se habia programado. (Se carga evidencia)
</v>
      </c>
      <c r="AC118" s="152"/>
      <c r="AD118" s="153" t="str">
        <f>IFERROR(__xludf.DUMMYFUNCTION("""COMPUTED_VALUE"""),"Evidencia")</f>
        <v>Evidencia</v>
      </c>
      <c r="AE118" s="150" t="str">
        <f>IFERROR(__xludf.DUMMYFUNCTION("""COMPUTED_VALUE"""),"Si")</f>
        <v>Si</v>
      </c>
      <c r="AF118" s="152" t="str">
        <f>IFERROR(__xludf.DUMMYFUNCTION("""COMPUTED_VALUE"""),"Ejecutada")</f>
        <v>Ejecutada</v>
      </c>
      <c r="AG118" s="32" t="str">
        <f>IFERROR(__xludf.DUMMYFUNCTION("""COMPUTED_VALUE"""),"-Durante el período de monitoreo no se presentó materialización del riesgo. Los controles implementados se mantienen activos y contribuyen a prevenir posibles afectaciones.                       -Se evidenció la aplicación de los controles previstos para "&amp;"la mitigación del riesgo, según lo reportado:
-Se realizó la entrega de usuario y contraseña para la base de datos de prueba a los pasantes vinculados al proyecto en el SIAU de la Facultad de Ciencias de la Salud. La evidencia correspondiente fue cargada."&amp;"
-Se verificó la ejecución de backups diarios e incrementales de la base de datos, conforme a las prácticas de seguridad definidas.
-Se confirmó la ejecución del mantenimiento a la base de datos, incluyendo la actualización de índices y estadísticas.
-Se "&amp;"verificó que la base de datos del SIAU se encuentra alojada en la nube, tal como estaba programado.                                                                                                                                                            "&amp;"  -Se sugiere mantener la misma práctica de registro y organización de la evidencia de los controles, ya que esto facilita la verificación y asegura la trazabilidad de las acciones realizadas.")</f>
        <v>-Durante el período de monitoreo no se presentó materialización del riesgo. Los controles implementados se mantienen activos y contribuyen a prevenir posibles afectaciones.                       -Se evidenció la aplicación de los controles previstos para la mitigación del riesgo, según lo reportado:
-Se realizó la entrega de usuario y contraseña para la base de datos de prueba a los pasantes vinculados al proyecto en el SIAU de la Facultad de Ciencias de la Salud. La evidencia correspondiente fue cargada.
-Se verificó la ejecución de backups diarios e incrementales de la base de datos, conforme a las prácticas de seguridad definidas.
-Se confirmó la ejecución del mantenimiento a la base de datos, incluyendo la actualización de índices y estadísticas.
-Se verificó que la base de datos del SIAU se encuentra alojada en la nube, tal como estaba programado.                                                                                                                                                              -Se sugiere mantener la misma práctica de registro y organización de la evidencia de los controles, ya que esto facilita la verificación y asegura la trazabilidad de las acciones realizadas.</v>
      </c>
      <c r="AH118" s="150" t="str">
        <f>IFERROR(__xludf.DUMMYFUNCTION("""COMPUTED_VALUE"""),"31 de diciembre")</f>
        <v>31 de diciembre</v>
      </c>
      <c r="AI118" s="32" t="str">
        <f>IFERROR(__xludf.DUMMYFUNCTION("""COMPUTED_VALUE"""),"Si")</f>
        <v>Si</v>
      </c>
      <c r="AJ118" s="32" t="str">
        <f>IFERROR(__xludf.DUMMYFUNCTION("""COMPUTED_VALUE"""),"Si")</f>
        <v>Si</v>
      </c>
      <c r="AK118" s="32" t="str">
        <f>IFERROR(__xludf.DUMMYFUNCTION("""COMPUTED_VALUE"""),"Si")</f>
        <v>Si</v>
      </c>
      <c r="AL118" s="32" t="str">
        <f>IFERROR(__xludf.DUMMYFUNCTION("""COMPUTED_VALUE"""),"Si")</f>
        <v>Si</v>
      </c>
      <c r="AM118" s="32" t="str">
        <f>IFERROR(__xludf.DUMMYFUNCTION("""COMPUTED_VALUE"""),"Si")</f>
        <v>Si</v>
      </c>
      <c r="AN118" s="32" t="str">
        <f>IFERROR(__xludf.DUMMYFUNCTION("""COMPUTED_VALUE"""),"Si")</f>
        <v>Si</v>
      </c>
      <c r="AO118" s="32" t="str">
        <f>IFERROR(__xludf.DUMMYFUNCTION("""COMPUTED_VALUE"""),"Si")</f>
        <v>Si</v>
      </c>
      <c r="AP118" s="32" t="str">
        <f>IFERROR(__xludf.DUMMYFUNCTION("""COMPUTED_VALUE"""),"No")</f>
        <v>No</v>
      </c>
      <c r="AQ118" s="32" t="str">
        <f>IFERROR(__xludf.DUMMYFUNCTION("""COMPUTED_VALUE"""),"No aplica")</f>
        <v>No aplica</v>
      </c>
      <c r="AR118" s="32" t="str">
        <f>IFERROR(__xludf.DUMMYFUNCTION("""COMPUTED_VALUE"""),"No aplica")</f>
        <v>No aplica</v>
      </c>
      <c r="AS118" s="150" t="str">
        <f>IFERROR(__xludf.DUMMYFUNCTION("""COMPUTED_VALUE"""),"Ninguna")</f>
        <v>Ninguna</v>
      </c>
      <c r="AT118" s="139"/>
    </row>
    <row r="119">
      <c r="A119" s="86"/>
      <c r="B119" s="73"/>
      <c r="C119" s="73"/>
      <c r="D119" s="144" t="str">
        <f>IFERROR(__xludf.DUMMYFUNCTION("""COMPUTED_VALUE"""),"Afectación económica y reputacional por falta de disponibilidad de los servicios tecnológicos gestionados por la Oficina de Sistemas debido a fallas eléctricas, errores humanos, ataques informáticos, fallos tecnológicos, entre otros.")</f>
        <v>Afectación económica y reputacional por falta de disponibilidad de los servicios tecnológicos gestionados por la Oficina de Sistemas debido a fallas eléctricas, errores humanos, ataques informáticos, fallos tecnológicos, entre otros.</v>
      </c>
      <c r="E119" s="144" t="str">
        <f>IFERROR(__xludf.DUMMYFUNCTION("""COMPUTED_VALUE"""),"Oficina de sistemas")</f>
        <v>Oficina de sistemas</v>
      </c>
      <c r="F119" s="144" t="str">
        <f>IFERROR(__xludf.DUMMYFUNCTION("""COMPUTED_VALUE"""),"Tecnológico")</f>
        <v>Tecnológico</v>
      </c>
      <c r="G119" s="144" t="str">
        <f>IFERROR(__xludf.DUMMYFUNCTION("""COMPUTED_VALUE"""),"- Fallos en la red eléctrica
- Falta de soporte, mantenimiento u obsolescencia de la infraestructura tecnológica que soporta los servicios gestionados por la Oficina de Sistemas
- Ataques informáticos (cibernéticos)
- Fallos en la conectividad a internet")</f>
        <v>- Fallos en la red eléctrica
- Falta de soporte, mantenimiento u obsolescencia de la infraestructura tecnológica que soporta los servicios gestionados por la Oficina de Sistemas
- Ataques informáticos (cibernéticos)
- Fallos en la conectividad a internet</v>
      </c>
      <c r="H119" s="144" t="str">
        <f>IFERROR(__xludf.DUMMYFUNCTION("""COMPUTED_VALUE"""),"1. No disponibilidad de la información
2. Retraso en la prestación de los servicios
3. Sanciones legales o disciplinarias
4. Pérdida reputacional por quejas de los grupos de valor")</f>
        <v>1. No disponibilidad de la información
2. Retraso en la prestación de los servicios
3. Sanciones legales o disciplinarias
4. Pérdida reputacional por quejas de los grupos de valor</v>
      </c>
      <c r="I119" s="145" t="str">
        <f>IFERROR(__xludf.DUMMYFUNCTION("""COMPUTED_VALUE"""),"GRT_02")</f>
        <v>GRT_02</v>
      </c>
      <c r="J119" s="145" t="str">
        <f>IFERROR(__xludf.DUMMYFUNCTION("""COMPUTED_VALUE"""),"Media")</f>
        <v>Media</v>
      </c>
      <c r="K119" s="145" t="str">
        <f>IFERROR(__xludf.DUMMYFUNCTION("""COMPUTED_VALUE"""),"Moderado")</f>
        <v>Moderado</v>
      </c>
      <c r="L119" s="145" t="str">
        <f>IFERROR(__xludf.DUMMYFUNCTION("""COMPUTED_VALUE"""),"Alta")</f>
        <v>Alta</v>
      </c>
      <c r="M119" s="144" t="str">
        <f>IFERROR(__xludf.DUMMYFUNCTION("""COMPUTED_VALUE"""),"- El personal de la oficina de Sistemas trasladó los servidores que alojan los servicios de mayor uso a la Sede San Antonio, además, los conectó a la UPS con el fin de garantizar su funcionamiento en caso de fallos en el servicios de electricidad.
- Desde"&amp;" la oficina de Sistemas se implementa el uso de software antivirus, que además de proteger los end point, protege las cuentas de correo electrónico institucional de los docentes, administrativos, CPS y unidades acaemico administrativas con el propósito de"&amp;" prevenir y mitigar la propagación de software malicioso dentro de la red de la Universidad 
- El personal de la oficina de Sistemas sensibiliza a la comunidad universitaria en temas de seguridad digital, con el fin de evitar amenazas informáticas.
- El s"&amp;"ervicio de internet contratado incluye canales de backup, que garantizan la disponiblidad de la conectividad a internet, en caso de que el canal principal presente fallos. - Se tiene configurado Firewall en los servidores de la Universidad, con el fin evi"&amp;"tar accesos externos.")</f>
        <v>- El personal de la oficina de Sistemas trasladó los servidores que alojan los servicios de mayor uso a la Sede San Antonio, además, los conectó a la UPS con el fin de garantizar su funcionamiento en caso de fallos en el servicios de electricidad.
- Desde la oficina de Sistemas se implementa el uso de software antivirus, que además de proteger los end point, protege las cuentas de correo electrónico institucional de los docentes, administrativos, CPS y unidades acaemico administrativas con el propósito de prevenir y mitigar la propagación de software malicioso dentro de la red de la Universidad 
- El personal de la oficina de Sistemas sensibiliza a la comunidad universitaria en temas de seguridad digital, con el fin de evitar amenazas informáticas.
- El servicio de internet contratado incluye canales de backup, que garantizan la disponiblidad de la conectividad a internet, en caso de que el canal principal presente fallos. - Se tiene configurado Firewall en los servidores de la Universidad, con el fin evitar accesos externos.</v>
      </c>
      <c r="N119" s="145" t="str">
        <f>IFERROR(__xludf.DUMMYFUNCTION("""COMPUTED_VALUE"""),"Muy baja")</f>
        <v>Muy baja</v>
      </c>
      <c r="O119" s="145" t="str">
        <f>IFERROR(__xludf.DUMMYFUNCTION("""COMPUTED_VALUE"""),"Menor")</f>
        <v>Menor</v>
      </c>
      <c r="P119" s="145" t="str">
        <f>IFERROR(__xludf.DUMMYFUNCTION("""COMPUTED_VALUE"""),"Baja")</f>
        <v>Baja</v>
      </c>
      <c r="Q119" s="178" t="str">
        <f>IFERROR(__xludf.DUMMYFUNCTION("""COMPUTED_VALUE"""),"Aceptar")</f>
        <v>Aceptar</v>
      </c>
      <c r="R119" s="158" t="str">
        <f>IFERROR(__xludf.DUMMYFUNCTION("""COMPUTED_VALUE"""),"No se establecen acciones de tratamiento, sin embargo, se monitoreal el riesgo")</f>
        <v>No se establecen acciones de tratamiento, sin embargo, se monitoreal el riesgo</v>
      </c>
      <c r="S119" s="159" t="str">
        <f>IFERROR(__xludf.DUMMYFUNCTION("""COMPUTED_VALUE"""),"-")</f>
        <v>-</v>
      </c>
      <c r="T119" s="170" t="str">
        <f>IFERROR(__xludf.DUMMYFUNCTION("""COMPUTED_VALUE"""),"-")</f>
        <v>-</v>
      </c>
      <c r="U119" s="170" t="str">
        <f>IFERROR(__xludf.DUMMYFUNCTION("""COMPUTED_VALUE"""),"-")</f>
        <v>-</v>
      </c>
      <c r="V119" s="167" t="str">
        <f>IFERROR(__xludf.DUMMYFUNCTION("""COMPUTED_VALUE"""),"- Gestionar recursos para adquisición, renovación y mantenimiento de infraestructura tecnológica.
- Poner en funcionamiento un sistema de respaldo eléctrico cuando la UPS cumpla con la capacidad de tiempo de respaldo.
- Restaurar los sistemas de informaci"&amp;"ón a partir de los backups disponibles.
- Solicitar soporte al proveedor de internet y de ser necesario aplicar los Acuerdos de Niveles de Servicio (ANS) establecidos en el contrato.")</f>
        <v>- Gestionar recursos para adquisición, renovación y mantenimiento de infraestructura tecnológica.
- Poner en funcionamiento un sistema de respaldo eléctrico cuando la UPS cumpla con la capacidad de tiempo de respaldo.
- Restaurar los sistemas de información a partir de los backups disponibles.
- Solicitar soporte al proveedor de internet y de ser necesario aplicar los Acuerdos de Niveles de Servicio (ANS) establecidos en el contrato.</v>
      </c>
      <c r="W119" s="167" t="str">
        <f>IFERROR(__xludf.DUMMYFUNCTION("""COMPUTED_VALUE"""),"- Solicitud a la Oficina de Planeación y Vicerrectoría de Recursos.
- Solicitud al eléctrico de la Universidad.
-Solicitud de restauración de la información al Administrador de Base de datos
-Reporte del incidente al Proveedor del servicio de Internet")</f>
        <v>- Solicitud a la Oficina de Planeación y Vicerrectoría de Recursos.
- Solicitud al eléctrico de la Universidad.
-Solicitud de restauración de la información al Administrador de Base de datos
-Reporte del incidente al Proveedor del servicio de Internet</v>
      </c>
      <c r="X119" s="169" t="str">
        <f>IFERROR(__xludf.DUMMYFUNCTION("""COMPUTED_VALUE"""),"- Jefe Oficina Sistemas.
- Jefe de Servicios Generales.")</f>
        <v>- Jefe Oficina Sistemas.
- Jefe de Servicios Generales.</v>
      </c>
      <c r="Y119" s="169" t="str">
        <f>IFERROR(__xludf.DUMMYFUNCTION("""COMPUTED_VALUE"""),"- 15 días
- 1 hora")</f>
        <v>- 15 días
- 1 hora</v>
      </c>
      <c r="Z119" s="150" t="str">
        <f>IFERROR(__xludf.DUMMYFUNCTION("""COMPUTED_VALUE"""),"30 de abril")</f>
        <v>30 de abril</v>
      </c>
      <c r="AA119" s="172">
        <f>IFERROR(__xludf.DUMMYFUNCTION("""COMPUTED_VALUE"""),45767.0)</f>
        <v>45767</v>
      </c>
      <c r="AB119" s="150" t="str">
        <f>IFERROR(__xludf.DUMMYFUNCTION("""COMPUTED_VALUE"""),"Durante el período de monitoreo se presentó materialización del riesgo por causa de fallos en la conectividad a internet y se aplicaron las medidas de contigencia para el tratamiento del mismo.
Acciones asociadas a la aplicación de controles del riesgo:
"&amp;"-En la herramienta de antivirus se configuraron unas políticas de seguridad para la detección de correos de phishing, spam, y que contienen malware o ransomware, con esto se evita que lleguen a la bandeja de los correos electrónicos de los usuarios, y en "&amp;"los casos de correos sospechosos reportados por los usuarios se hace el respectivo análisis para detectar si es correo seguro o malicioso.
-Se realizó sensibilización y notificaciones de alerta de correos maliciosos a la comunidad universitaria.
Acciones"&amp;" asociadas al tratamiento del riesgo:
- Se realizó reporte de fallo en el servicio de internet al proveedor, aplicando los ANS establecidos en el contrato, para revisión y restablecimiento del servicio, al aceptar el riesgo no se reportan dentro de la mat"&amp;"riz solo se atienden controles. 
")</f>
        <v>Durante el período de monitoreo se presentó materialización del riesgo por causa de fallos en la conectividad a internet y se aplicaron las medidas de contigencia para el tratamiento del mismo.
Acciones asociadas a la aplicación de controles del riesgo:
-En la herramienta de antivirus se configuraron unas políticas de seguridad para la detección de correos de phishing, spam, y que contienen malware o ransomware, con esto se evita que lleguen a la bandeja de los correos electrónicos de los usuarios, y en los casos de correos sospechosos reportados por los usuarios se hace el respectivo análisis para detectar si es correo seguro o malicioso.
-Se realizó sensibilización y notificaciones de alerta de correos maliciosos a la comunidad universitaria.
Acciones asociadas al tratamiento del riesgo:
- Se realizó reporte de fallo en el servicio de internet al proveedor, aplicando los ANS establecidos en el contrato, para revisión y restablecimiento del servicio, al aceptar el riesgo no se reportan dentro de la matriz solo se atienden controles. 
</v>
      </c>
      <c r="AC119" s="152" t="str">
        <f>IFERROR(__xludf.DUMMYFUNCTION("""COMPUTED_VALUE"""),"Jefe oficina de sistemas")</f>
        <v>Jefe oficina de sistemas</v>
      </c>
      <c r="AD119" s="153" t="str">
        <f>IFERROR(__xludf.DUMMYFUNCTION("""COMPUTED_VALUE"""),"Evidencia")</f>
        <v>Evidencia</v>
      </c>
      <c r="AE119" s="150" t="str">
        <f>IFERROR(__xludf.DUMMYFUNCTION("""COMPUTED_VALUE"""),"Si")</f>
        <v>Si</v>
      </c>
      <c r="AF119" s="150" t="str">
        <f>IFERROR(__xludf.DUMMYFUNCTION("""COMPUTED_VALUE"""),"En proceso")</f>
        <v>En proceso</v>
      </c>
      <c r="AG119" s="32" t="str">
        <f>IFERROR(__xludf.DUMMYFUNCTION("""COMPUTED_VALUE"""),"Durante el período de monitoreo se presentó la materialización del riesgo, atribuida a fallos en la conectividad a internet. La dependencia activó oportunamente las medidas de contingencia establecidas, lo que permitió la gestión adecuada del incidente.
"&amp;"En cuanto a los controles definidos, se reporta la implementación de políticas de seguridad en la herramienta antivirus para la detección y bloqueo de correos electrónicos maliciosos, así como el análisis de casos sospechosos reportados por los usuarios. "&amp;"Además, se llevaron a cabo acciones de sensibilización y notificación de alertas sobre correos maliciosos dirigidas a la comunidad universitaria, lo cual fortalece el componente preventivo.
Aunque el riesgo ha sido aceptado y por tanto no contempla accio"&amp;"nes específicas de tratamiento en la matriz, se destaca que, ante la ocurrencia del evento, se ejecutó el reporte correspondiente al proveedor del servicio de internet, conforme a los Acuerdos de Nivel de Servicio (ANS) establecidos contractualmente, para"&amp;" garantizar la revisión y restablecimiento del servicio.
Se considera adecuada la gestión realizada. No obstante, se recomienda en futuras actualizaciones del reporte mencionar brevemente otros controles definidos en la matriz (como firewall, respaldo de"&amp;" conectividad, conexión a UPS, etc.) en caso de haber sido activados durante el incidente, para fortalecer la trazabilidad del control operativo aplicado.")</f>
        <v>Durante el período de monitoreo se presentó la materialización del riesgo, atribuida a fallos en la conectividad a internet. La dependencia activó oportunamente las medidas de contingencia establecidas, lo que permitió la gestión adecuada del incidente.
En cuanto a los controles definidos, se reporta la implementación de políticas de seguridad en la herramienta antivirus para la detección y bloqueo de correos electrónicos maliciosos, así como el análisis de casos sospechosos reportados por los usuarios. Además, se llevaron a cabo acciones de sensibilización y notificación de alertas sobre correos maliciosos dirigidas a la comunidad universitaria, lo cual fortalece el componente preventivo.
Aunque el riesgo ha sido aceptado y por tanto no contempla acciones específicas de tratamiento en la matriz, se destaca que, ante la ocurrencia del evento, se ejecutó el reporte correspondiente al proveedor del servicio de internet, conforme a los Acuerdos de Nivel de Servicio (ANS) establecidos contractualmente, para garantizar la revisión y restablecimiento del servicio.
Se considera adecuada la gestión realizada. No obstante, se recomienda en futuras actualizaciones del reporte mencionar brevemente otros controles definidos en la matriz (como firewall, respaldo de conectividad, conexión a UPS, etc.) en caso de haber sido activados durante el incidente, para fortalecer la trazabilidad del control operativo aplicado.</v>
      </c>
      <c r="AH119" s="150" t="str">
        <f>IFERROR(__xludf.DUMMYFUNCTION("""COMPUTED_VALUE"""),"30 de abril")</f>
        <v>30 de abril</v>
      </c>
      <c r="AI119" s="32" t="str">
        <f>IFERROR(__xludf.DUMMYFUNCTION("""COMPUTED_VALUE"""),"Si")</f>
        <v>Si</v>
      </c>
      <c r="AJ119" s="32" t="str">
        <f>IFERROR(__xludf.DUMMYFUNCTION("""COMPUTED_VALUE"""),"Si")</f>
        <v>Si</v>
      </c>
      <c r="AK119" s="32" t="str">
        <f>IFERROR(__xludf.DUMMYFUNCTION("""COMPUTED_VALUE"""),"Si")</f>
        <v>Si</v>
      </c>
      <c r="AL119" s="32" t="str">
        <f>IFERROR(__xludf.DUMMYFUNCTION("""COMPUTED_VALUE"""),"Si")</f>
        <v>Si</v>
      </c>
      <c r="AM119" s="32" t="str">
        <f>IFERROR(__xludf.DUMMYFUNCTION("""COMPUTED_VALUE"""),"Parcial")</f>
        <v>Parcial</v>
      </c>
      <c r="AN119" s="32" t="str">
        <f>IFERROR(__xludf.DUMMYFUNCTION("""COMPUTED_VALUE"""),"No")</f>
        <v>No</v>
      </c>
      <c r="AO119" s="32" t="str">
        <f>IFERROR(__xludf.DUMMYFUNCTION("""COMPUTED_VALUE"""),"No aplica")</f>
        <v>No aplica</v>
      </c>
      <c r="AP119" s="32" t="str">
        <f>IFERROR(__xludf.DUMMYFUNCTION("""COMPUTED_VALUE"""),"No aplica")</f>
        <v>No aplica</v>
      </c>
      <c r="AQ119" s="32" t="str">
        <f>IFERROR(__xludf.DUMMYFUNCTION("""COMPUTED_VALUE"""),"No aplica")</f>
        <v>No aplica</v>
      </c>
      <c r="AR119" s="32" t="str">
        <f>IFERROR(__xludf.DUMMYFUNCTION("""COMPUTED_VALUE"""),"No aplica")</f>
        <v>No aplica</v>
      </c>
      <c r="AS119" s="150" t="str">
        <f>IFERROR(__xludf.DUMMYFUNCTION("""COMPUTED_VALUE"""),"Recomendaciones:
*Realizar nueva valoración del riesgo y reevaluar los controles establecidos, teniendo en cuenta la materialización del mismo. De igual manera plantear acciones asociadas al tratamiento que permitan fortalecer la efectividad de los contro"&amp;"les.
*Relacionar de manera clara el plazo de ejecuciòn de las acciones de contingencias, considerando que se proponen 4 acciones y sólo 2 fechas.
*En concordancia con el resultado del monitoreo realizado por la Segunda Lìnea de Defensa, se recomienda fort"&amp;"alecer el reporte incluyendo la totalidad de los controles. Se requiere que la evidencia sea competente, es decir con calidad en relación a su relevancia y confiabilidad y suficiente en términos de cantidad y completitud, que permita demostrar de manera í"&amp;"ntegra el hecho.")</f>
        <v>Recomendaciones:
*Realizar nueva valoración del riesgo y reevaluar los controles establecidos, teniendo en cuenta la materialización del mismo. De igual manera plantear acciones asociadas al tratamiento que permitan fortalecer la efectividad de los controles.
*Relacionar de manera clara el plazo de ejecuciòn de las acciones de contingencias, considerando que se proponen 4 acciones y sólo 2 fechas.
*En concordancia con el resultado del monitoreo realizado por la Segunda Lìnea de Defensa, se recomienda fortalecer el reporte incluyendo la totalidad de los controles. Se requiere que la evidencia sea competente, es decir con calidad en relación a su relevancia y confiabilidad y suficiente en términos de cantidad y completitud, que permita demostrar de manera íntegra el hecho.</v>
      </c>
      <c r="AT119" s="139"/>
    </row>
    <row r="120">
      <c r="A120" s="86"/>
      <c r="B120" s="73"/>
      <c r="C120" s="73"/>
      <c r="D120" s="156"/>
      <c r="E120" s="156"/>
      <c r="F120" s="156"/>
      <c r="G120" s="156"/>
      <c r="H120" s="156"/>
      <c r="I120" s="156"/>
      <c r="J120" s="156"/>
      <c r="K120" s="156"/>
      <c r="L120" s="156"/>
      <c r="M120" s="156"/>
      <c r="N120" s="156"/>
      <c r="O120" s="156"/>
      <c r="P120" s="156"/>
      <c r="Q120" s="157"/>
      <c r="R120" s="158" t="str">
        <f>IFERROR(__xludf.DUMMYFUNCTION("""COMPUTED_VALUE"""),"")</f>
        <v/>
      </c>
      <c r="S120" s="159" t="str">
        <f>IFERROR(__xludf.DUMMYFUNCTION("""COMPUTED_VALUE"""),"")</f>
        <v/>
      </c>
      <c r="T120" s="170"/>
      <c r="U120" s="170"/>
      <c r="V120" s="94"/>
      <c r="W120" s="94"/>
      <c r="X120" s="94"/>
      <c r="Y120" s="94"/>
      <c r="Z120" s="150" t="str">
        <f>IFERROR(__xludf.DUMMYFUNCTION("""COMPUTED_VALUE"""),"30 de agosto")</f>
        <v>30 de agosto</v>
      </c>
      <c r="AA120" s="183">
        <f>IFERROR(__xludf.DUMMYFUNCTION("""COMPUTED_VALUE"""),45870.0)</f>
        <v>45870</v>
      </c>
      <c r="AB120" s="150" t="str">
        <f>IFERROR(__xludf.DUMMYFUNCTION("""COMPUTED_VALUE"""),"Durante el período de monitoreo no se presentó materialización del riesgo, sin embargo se aplican los controles para prevenir su materialización.
Acciones asociadas a la aplicación de controles del riesgo:
-Se realizó sensibilización y notificaciones de "&amp;"seguridad digital entre la comunidad universitaria.
Acciones asociadas al tratamiento del riesgo:
-Se realizó la gestión ante la Oficina de Vicerrecursos para la renovación de la licencia de software antivirus para la vigencia 2025-2026
")</f>
        <v>Durante el período de monitoreo no se presentó materialización del riesgo, sin embargo se aplican los controles para prevenir su materialización.
Acciones asociadas a la aplicación de controles del riesgo:
-Se realizó sensibilización y notificaciones de seguridad digital entre la comunidad universitaria.
Acciones asociadas al tratamiento del riesgo:
-Se realizó la gestión ante la Oficina de Vicerrecursos para la renovación de la licencia de software antivirus para la vigencia 2025-2026
</v>
      </c>
      <c r="AC120" s="152" t="str">
        <f>IFERROR(__xludf.DUMMYFUNCTION("""COMPUTED_VALUE"""),"Jefe oficina de sistemas")</f>
        <v>Jefe oficina de sistemas</v>
      </c>
      <c r="AD120" s="153" t="str">
        <f>IFERROR(__xludf.DUMMYFUNCTION("""COMPUTED_VALUE"""),"Evidencia")</f>
        <v>Evidencia</v>
      </c>
      <c r="AE120" s="150" t="str">
        <f>IFERROR(__xludf.DUMMYFUNCTION("""COMPUTED_VALUE"""),"Si")</f>
        <v>Si</v>
      </c>
      <c r="AF120" s="152" t="str">
        <f>IFERROR(__xludf.DUMMYFUNCTION("""COMPUTED_VALUE"""),"En proceso")</f>
        <v>En proceso</v>
      </c>
      <c r="AG120" s="32" t="str">
        <f>IFERROR(__xludf.DUMMYFUNCTION("""COMPUTED_VALUE"""),"Durante el periodo de monitoreo no se evidenció materialización del riesgo. No obstante, se continuó con la aplicación de los controles establecidos con el fin de prevenir posibles eventos adversos.
Acciones asociadas a la aplicación de controles del rie"&amp;"sgo:
Se realizaron actividades de sensibilización y notificación de seguridad digital dirigidas a la comunidad universitaria.
Acciones asociadas al tratamiento del riesgo:
Se gestionó ante la Oficina de Vicerrecursos la renovación de la licencia de sof"&amp;"tware antivirus correspondiente a la vigencia 2025-2026.")</f>
        <v>Durante el periodo de monitoreo no se evidenció materialización del riesgo. No obstante, se continuó con la aplicación de los controles establecidos con el fin de prevenir posibles eventos adversos.
Acciones asociadas a la aplicación de controles del riesgo:
Se realizaron actividades de sensibilización y notificación de seguridad digital dirigidas a la comunidad universitaria.
Acciones asociadas al tratamiento del riesgo:
Se gestionó ante la Oficina de Vicerrecursos la renovación de la licencia de software antivirus correspondiente a la vigencia 2025-2026.</v>
      </c>
      <c r="AH120" s="150" t="str">
        <f>IFERROR(__xludf.DUMMYFUNCTION("""COMPUTED_VALUE"""),"31 de agosto")</f>
        <v>31 de agosto</v>
      </c>
      <c r="AI120" s="32" t="str">
        <f>IFERROR(__xludf.DUMMYFUNCTION("""COMPUTED_VALUE"""),"Si")</f>
        <v>Si</v>
      </c>
      <c r="AJ120" s="32" t="str">
        <f>IFERROR(__xludf.DUMMYFUNCTION("""COMPUTED_VALUE"""),"Si")</f>
        <v>Si</v>
      </c>
      <c r="AK120" s="32" t="str">
        <f>IFERROR(__xludf.DUMMYFUNCTION("""COMPUTED_VALUE"""),"Si")</f>
        <v>Si</v>
      </c>
      <c r="AL120" s="32" t="str">
        <f>IFERROR(__xludf.DUMMYFUNCTION("""COMPUTED_VALUE"""),"Si")</f>
        <v>Si</v>
      </c>
      <c r="AM120" s="32" t="str">
        <f>IFERROR(__xludf.DUMMYFUNCTION("""COMPUTED_VALUE"""),"Si")</f>
        <v>Si</v>
      </c>
      <c r="AN120" s="32" t="str">
        <f>IFERROR(__xludf.DUMMYFUNCTION("""COMPUTED_VALUE"""),"No")</f>
        <v>No</v>
      </c>
      <c r="AO120" s="32" t="str">
        <f>IFERROR(__xludf.DUMMYFUNCTION("""COMPUTED_VALUE"""),"No aplica")</f>
        <v>No aplica</v>
      </c>
      <c r="AP120" s="32" t="str">
        <f>IFERROR(__xludf.DUMMYFUNCTION("""COMPUTED_VALUE"""),"No aplica")</f>
        <v>No aplica</v>
      </c>
      <c r="AQ120" s="32" t="str">
        <f>IFERROR(__xludf.DUMMYFUNCTION("""COMPUTED_VALUE"""),"No aplica")</f>
        <v>No aplica</v>
      </c>
      <c r="AR120" s="32" t="str">
        <f>IFERROR(__xludf.DUMMYFUNCTION("""COMPUTED_VALUE"""),"No aplica")</f>
        <v>No aplica</v>
      </c>
      <c r="AS120" s="150" t="str">
        <f>IFERROR(__xludf.DUMMYFUNCTION("""COMPUTED_VALUE"""),"Recomendaciones:
*Fortalecer el reporte incluyendo la totalidad de los controles. ")</f>
        <v>Recomendaciones:
*Fortalecer el reporte incluyendo la totalidad de los controles. </v>
      </c>
      <c r="AT120" s="139"/>
    </row>
    <row r="121">
      <c r="A121" s="86"/>
      <c r="B121" s="38"/>
      <c r="C121" s="38"/>
      <c r="D121" s="119"/>
      <c r="E121" s="119"/>
      <c r="F121" s="119"/>
      <c r="G121" s="119"/>
      <c r="H121" s="119"/>
      <c r="I121" s="119"/>
      <c r="J121" s="119"/>
      <c r="K121" s="119"/>
      <c r="L121" s="119"/>
      <c r="M121" s="119"/>
      <c r="N121" s="119"/>
      <c r="O121" s="119"/>
      <c r="P121" s="119"/>
      <c r="Q121" s="162"/>
      <c r="R121" s="163" t="str">
        <f>IFERROR(__xludf.DUMMYFUNCTION("""COMPUTED_VALUE"""),"")</f>
        <v/>
      </c>
      <c r="S121" s="164" t="str">
        <f>IFERROR(__xludf.DUMMYFUNCTION("""COMPUTED_VALUE"""),"")</f>
        <v/>
      </c>
      <c r="T121" s="176"/>
      <c r="U121" s="176"/>
      <c r="V121" s="98"/>
      <c r="W121" s="98"/>
      <c r="X121" s="98"/>
      <c r="Y121" s="98"/>
      <c r="Z121" s="150" t="str">
        <f>IFERROR(__xludf.DUMMYFUNCTION("""COMPUTED_VALUE"""),"30 de diciembre")</f>
        <v>30 de diciembre</v>
      </c>
      <c r="AA121" s="183">
        <f>IFERROR(__xludf.DUMMYFUNCTION("""COMPUTED_VALUE"""),45992.0)</f>
        <v>45992</v>
      </c>
      <c r="AB121" s="150" t="str">
        <f>IFERROR(__xludf.DUMMYFUNCTION("""COMPUTED_VALUE"""),"Acciones asociadas a la aplicación de controles del riesgo:
-Se realizó el proceso para renovación de la licencia de software antivirus para el perído septiembre 2025 a septiembre 2026.
-Se realizó instalación de la herramienta antivirus en el servidor do"&amp;"nde se aloja la página web de la Universidad con el fin de realizar un escaneo para detección y eliminación de posibles archivos maliciosos, vulnerabilidades explotables, códigos sospechosos y cualquier amenaza que pudiera comprometer la integridad, dispo"&amp;"nibilidad o confidencialidad del servicio web institucional.
-Se realizó sensibilización en seguridad de la información a la comunidad universitaria mediante piezas gráficas vía correo electrónico y se realizó sensibilización con las secretarias de 3 de l"&amp;"as 5 Facultades de la Universidad.
-Se mantiene la configuración del Firewall provista por el proveedor de internet para garantizar la protección perimetral, filtrar el tráfico no autorizado y mitigar posibles amenazas externas hacia la infraestructura in"&amp;"stitucional.
Acciones asociadas al tratamiento del riesgo:
-Se presentó materialización parcial del riesgo por fallos en la conectividad a internet, y se realizó reporte de fallo en el servicio de internet al proveedor, aplicando los ANS establecidos en "&amp;"el contrato, para revisión y restablecimiento del servicio.
")</f>
        <v>Acciones asociadas a la aplicación de controles del riesgo:
-Se realizó el proceso para renovación de la licencia de software antivirus para el perído septiembre 2025 a septiembre 2026.
-Se realizó instalación de la herramienta antivirus en el servidor donde se aloja la página web de la Universidad con el fin de realizar un escaneo para detección y eliminación de posibles archivos maliciosos, vulnerabilidades explotables, códigos sospechosos y cualquier amenaza que pudiera comprometer la integridad, disponibilidad o confidencialidad del servicio web institucional.
-Se realizó sensibilización en seguridad de la información a la comunidad universitaria mediante piezas gráficas vía correo electrónico y se realizó sensibilización con las secretarias de 3 de las 5 Facultades de la Universidad.
-Se mantiene la configuración del Firewall provista por el proveedor de internet para garantizar la protección perimetral, filtrar el tráfico no autorizado y mitigar posibles amenazas externas hacia la infraestructura institucional.
Acciones asociadas al tratamiento del riesgo:
-Se presentó materialización parcial del riesgo por fallos en la conectividad a internet, y se realizó reporte de fallo en el servicio de internet al proveedor, aplicando los ANS establecidos en el contrato, para revisión y restablecimiento del servicio.
</v>
      </c>
      <c r="AC121" s="152" t="str">
        <f>IFERROR(__xludf.DUMMYFUNCTION("""COMPUTED_VALUE"""),"Jefe oficina de sistemas")</f>
        <v>Jefe oficina de sistemas</v>
      </c>
      <c r="AD121" s="153" t="str">
        <f>IFERROR(__xludf.DUMMYFUNCTION("""COMPUTED_VALUE"""),"Evidencia")</f>
        <v>Evidencia</v>
      </c>
      <c r="AE121" s="150" t="str">
        <f>IFERROR(__xludf.DUMMYFUNCTION("""COMPUTED_VALUE"""),"Si")</f>
        <v>Si</v>
      </c>
      <c r="AF121" s="152" t="str">
        <f>IFERROR(__xludf.DUMMYFUNCTION("""COMPUTED_VALUE"""),"Ejecutada")</f>
        <v>Ejecutada</v>
      </c>
      <c r="AG121" s="32" t="str">
        <f>IFERROR(__xludf.DUMMYFUNCTION("""COMPUTED_VALUE"""),"-Durante el periodo de monitoreo se presentó afectación por fallos de conectividad a internet, lo cual impacta parcialmente el riesgo asociado. Sin embargo, se aplicaron los controles y acciones de respuesta establecidos.                                  "&amp;"                                                                                                                    -Se evidencia la implementación de los controles previstos para la mitigación del riesgo:
-Renovación de antivirus:
Se realizó el proceso d"&amp;"e renovación de la licencia del software antivirus para el período septiembre 2025 - septiembre 2026.
-Protección del servidor web:
Se instaló la herramienta antivirus en el servidor donde se aloja la página web institucional, efectuando escaneos para la "&amp;"detección y eliminación de posibles amenazas o vulnerabilidades.
-Sensibilización en seguridad de la información:
Se adelantaron acciones pedagógicas mediante piezas gráficas enviadas por correo electrónico y sesiones de sensibilización con secretarías de"&amp;" tres de las cinco facultades.
-Firewall perimetral:
Se mantuvo activa la configuración del firewall provisto por el proveedor de internet, garantizando protección perimetral y filtrado de tráfico no autorizado.                                            "&amp;"                                                                                                                                                                                                                         -Acciones asociadas al tratamiento del"&amp;" riesgo                                                                                                                                                                                                     
Se presentó materialización parcial del riesgo deb"&amp;"ido a fallos en la conectividad a internet.
-Ante la situación, se realizó el reporte al proveedor, activando los Acuerdos de Nivel de Servicio (ANS) establecidos en el contrato para la revisión y restablecimiento del servicio.                           "&amp;"                                                                                                                                                                                                        -Los controles implementados resultan adecuados y oport"&amp;"unos; sin embargo, la falla externa del servicio de internet incidió parcialmente en el riesgo.
-Aunque los controles internos se ejecutaron correctamente, existe una dependencia del proveedor externo para garantizar la estabilidad del servicio.          "&amp;"                                                                                                                                                                                                                                                         -Se su"&amp;"giere mantener el seguimiento activo al proveedor frente a los ANS y continuar registrando cualquier incidente de conectividad, de manera que se facilite la trazabilidad y el análisis de posibles mejoras en el servicio.")</f>
        <v>-Durante el periodo de monitoreo se presentó afectación por fallos de conectividad a internet, lo cual impacta parcialmente el riesgo asociado. Sin embargo, se aplicaron los controles y acciones de respuesta establecidos.                                                                                                                                                      -Se evidencia la implementación de los controles previstos para la mitigación del riesgo:
-Renovación de antivirus:
Se realizó el proceso de renovación de la licencia del software antivirus para el período septiembre 2025 - septiembre 2026.
-Protección del servidor web:
Se instaló la herramienta antivirus en el servidor donde se aloja la página web institucional, efectuando escaneos para la detección y eliminación de posibles amenazas o vulnerabilidades.
-Sensibilización en seguridad de la información:
Se adelantaron acciones pedagógicas mediante piezas gráficas enviadas por correo electrónico y sesiones de sensibilización con secretarías de tres de las cinco facultades.
-Firewall perimetral:
Se mantuvo activa la configuración del firewall provisto por el proveedor de internet, garantizando protección perimetral y filtrado de tráfico no autorizado.                                                                                                                                                                                                                                                                     -Acciones asociadas al tratamiento del riesgo                                                                                                                                                                                                     
Se presentó materialización parcial del riesgo debido a fallos en la conectividad a internet.
-Ante la situación, se realizó el reporte al proveedor, activando los Acuerdos de Nivel de Servicio (ANS) establecidos en el contrato para la revisión y restablecimiento del servicio.                                                                                                                                                                                                                                   -Los controles implementados resultan adecuados y oportunos; sin embargo, la falla externa del servicio de internet incidió parcialmente en el riesgo.
-Aunque los controles internos se ejecutaron correctamente, existe una dependencia del proveedor externo para garantizar la estabilidad del servicio.                                                                                                                                                                                                                                                                   -Se sugiere mantener el seguimiento activo al proveedor frente a los ANS y continuar registrando cualquier incidente de conectividad, de manera que se facilite la trazabilidad y el análisis de posibles mejoras en el servicio.</v>
      </c>
      <c r="AH121" s="150" t="str">
        <f>IFERROR(__xludf.DUMMYFUNCTION("""COMPUTED_VALUE"""),"31 de diciembre")</f>
        <v>31 de diciembre</v>
      </c>
      <c r="AI121" s="32" t="str">
        <f>IFERROR(__xludf.DUMMYFUNCTION("""COMPUTED_VALUE"""),"Si")</f>
        <v>Si</v>
      </c>
      <c r="AJ121" s="32" t="str">
        <f>IFERROR(__xludf.DUMMYFUNCTION("""COMPUTED_VALUE"""),"Si")</f>
        <v>Si</v>
      </c>
      <c r="AK121" s="32" t="str">
        <f>IFERROR(__xludf.DUMMYFUNCTION("""COMPUTED_VALUE"""),"Si")</f>
        <v>Si</v>
      </c>
      <c r="AL121" s="32" t="str">
        <f>IFERROR(__xludf.DUMMYFUNCTION("""COMPUTED_VALUE"""),"Si")</f>
        <v>Si</v>
      </c>
      <c r="AM121" s="32" t="str">
        <f>IFERROR(__xludf.DUMMYFUNCTION("""COMPUTED_VALUE"""),"Si")</f>
        <v>Si</v>
      </c>
      <c r="AN121" s="32" t="str">
        <f>IFERROR(__xludf.DUMMYFUNCTION("""COMPUTED_VALUE"""),"No")</f>
        <v>No</v>
      </c>
      <c r="AO121" s="32" t="str">
        <f>IFERROR(__xludf.DUMMYFUNCTION("""COMPUTED_VALUE"""),"No aplica")</f>
        <v>No aplica</v>
      </c>
      <c r="AP121" s="32" t="str">
        <f>IFERROR(__xludf.DUMMYFUNCTION("""COMPUTED_VALUE"""),"No aplica")</f>
        <v>No aplica</v>
      </c>
      <c r="AQ121" s="32" t="str">
        <f>IFERROR(__xludf.DUMMYFUNCTION("""COMPUTED_VALUE"""),"No aplica")</f>
        <v>No aplica</v>
      </c>
      <c r="AR121" s="32" t="str">
        <f>IFERROR(__xludf.DUMMYFUNCTION("""COMPUTED_VALUE"""),"No aplica")</f>
        <v>No aplica</v>
      </c>
      <c r="AS121" s="150" t="str">
        <f>IFERROR(__xludf.DUMMYFUNCTION("""COMPUTED_VALUE"""),"Ninguna")</f>
        <v>Ninguna</v>
      </c>
      <c r="AT121" s="139"/>
    </row>
    <row r="122">
      <c r="A122" s="86"/>
      <c r="B122" s="140" t="s">
        <v>230</v>
      </c>
      <c r="C122" s="141" t="str">
        <f>IFERROR(__xludf.DUMMYFUNCTION("IMPORTRANGE(""https://docs.google.com/spreadsheets/d/1V1ZdVL7UzDOyXsSh9bfVFEq2xySGoxLYx-Ebdm9drLY/edit?gid=26717045#gid=26717045"",""Matriz_riesgos!C11:AS16"")"),"Establecer las actividades técnicas y administrativas tendientes a la planificación, organización, administración, control y disposición final de la documentación producida y recibida por la Universidad de los Llanos, asegurando su conservación para la co"&amp;"nsulta y servicio de la administración y partes interesadas, tanto de los documentos físicos como electrónicos. ")</f>
        <v>Establecer las actividades técnicas y administrativas tendientes a la planificación, organización, administración, control y disposición final de la documentación producida y recibida por la Universidad de los Llanos, asegurando su conservación para la consulta y servicio de la administración y partes interesadas, tanto de los documentos físicos como electrónicos. </v>
      </c>
      <c r="D122" s="144" t="str">
        <f>IFERROR(__xludf.DUMMYFUNCTION("""COMPUTED_VALUE"""),"Afectación económica o reputacional por pérdida de la información o documentación física o electrónica, debido a fallas en la aplicación de controles")</f>
        <v>Afectación económica o reputacional por pérdida de la información o documentación física o electrónica, debido a fallas en la aplicación de controles</v>
      </c>
      <c r="E122" s="144" t="str">
        <f>IFERROR(__xludf.DUMMYFUNCTION("""COMPUTED_VALUE"""),"Oficina de correspondencia y archivo")</f>
        <v>Oficina de correspondencia y archivo</v>
      </c>
      <c r="F122" s="144" t="str">
        <f>IFERROR(__xludf.DUMMYFUNCTION("""COMPUTED_VALUE"""),"Gestión")</f>
        <v>Gestión</v>
      </c>
      <c r="G122" s="144" t="str">
        <f>IFERROR(__xludf.DUMMYFUNCTION("""COMPUTED_VALUE"""),"- Acceso no controlados a la información física o electrónica
- Traslados documentales no controlados
- Depósitos insuficientes, en malas condiciones o sin mantenimiento adecuado
- Eliminaciones documentales no controladas o autorizadas")</f>
        <v>- Acceso no controlados a la información física o electrónica
- Traslados documentales no controlados
- Depósitos insuficientes, en malas condiciones o sin mantenimiento adecuado
- Eliminaciones documentales no controladas o autorizadas</v>
      </c>
      <c r="H122" s="144" t="str">
        <f>IFERROR(__xludf.DUMMYFUNCTION("""COMPUTED_VALUE"""),"1. Pérdida de documentos escenciales de la Institución
2. Falta de transparencia Institucional
3. Falta de integridad la información de la Institución
4. Intervención de órganos de control
5. Pérdida de demandas y litigios
6. Falta de evidencias documenta"&amp;"les
7. Detrimentro patrimonial
8. Afectación a derechos ciudadanos")</f>
        <v>1. Pérdida de documentos escenciales de la Institución
2. Falta de transparencia Institucional
3. Falta de integridad la información de la Institución
4. Intervención de órganos de control
5. Pérdida de demandas y litigios
6. Falta de evidencias documentales
7. Detrimentro patrimonial
8. Afectación a derechos ciudadanos</v>
      </c>
      <c r="I122" s="145" t="str">
        <f>IFERROR(__xludf.DUMMYFUNCTION("""COMPUTED_VALUE"""),"GDO_01")</f>
        <v>GDO_01</v>
      </c>
      <c r="J122" s="145" t="str">
        <f>IFERROR(__xludf.DUMMYFUNCTION("""COMPUTED_VALUE"""),"Media")</f>
        <v>Media</v>
      </c>
      <c r="K122" s="145" t="str">
        <f>IFERROR(__xludf.DUMMYFUNCTION("""COMPUTED_VALUE"""),"Moderado")</f>
        <v>Moderado</v>
      </c>
      <c r="L122" s="145" t="str">
        <f>IFERROR(__xludf.DUMMYFUNCTION("""COMPUTED_VALUE"""),"Alta")</f>
        <v>Alta</v>
      </c>
      <c r="M122" s="144" t="str">
        <f>IFERROR(__xludf.DUMMYFUNCTION("""COMPUTED_VALUE"""),"- El jefe de archivo, programa las eliminaciones documentales de acuerdo al procedimiento de eliminación documental (PD-GDO-03)
- El jefe de archivo, programa las transferencias documentales de acuerdo al procedimiento para transferencias documentales (PD"&amp;"-GDO-04)
- El jefe de archivo pone a disposición de las dependencias el procedimiento para la organización de los archivos de gestión (PD-GDO-02), conforme a las disposiciones legales vigentes - El jefe de archivo solicita y verifica periódicamente los in"&amp;"ventarios documentales (FO-GDO-04) de las dependencias - El jefe de archivo elabora, comunica y ejecuta el Plan de conservación documental")</f>
        <v>- El jefe de archivo, programa las eliminaciones documentales de acuerdo al procedimiento de eliminación documental (PD-GDO-03)
- El jefe de archivo, programa las transferencias documentales de acuerdo al procedimiento para transferencias documentales (PD-GDO-04)
- El jefe de archivo pone a disposición de las dependencias el procedimiento para la organización de los archivos de gestión (PD-GDO-02), conforme a las disposiciones legales vigentes - El jefe de archivo solicita y verifica periódicamente los inventarios documentales (FO-GDO-04) de las dependencias - El jefe de archivo elabora, comunica y ejecuta el Plan de conservación documental</v>
      </c>
      <c r="N122" s="145" t="str">
        <f>IFERROR(__xludf.DUMMYFUNCTION("""COMPUTED_VALUE"""),"Muy baja")</f>
        <v>Muy baja</v>
      </c>
      <c r="O122" s="145" t="str">
        <f>IFERROR(__xludf.DUMMYFUNCTION("""COMPUTED_VALUE"""),"Moderado")</f>
        <v>Moderado</v>
      </c>
      <c r="P122" s="145" t="str">
        <f>IFERROR(__xludf.DUMMYFUNCTION("""COMPUTED_VALUE"""),"Media")</f>
        <v>Media</v>
      </c>
      <c r="Q122" s="178" t="str">
        <f>IFERROR(__xludf.DUMMYFUNCTION("""COMPUTED_VALUE"""),"Reducir")</f>
        <v>Reducir</v>
      </c>
      <c r="R122" s="158" t="str">
        <f>IFERROR(__xludf.DUMMYFUNCTION("""COMPUTED_VALUE"""),"Realizar visitas de archivo a las unidades académico administrativas, con el fin de sensibilizar a los funcionarios y contratistas sobre la gestión documental")</f>
        <v>Realizar visitas de archivo a las unidades académico administrativas, con el fin de sensibilizar a los funcionarios y contratistas sobre la gestión documental</v>
      </c>
      <c r="S122" s="159">
        <f>IFERROR(__xludf.DUMMYFUNCTION("""COMPUTED_VALUE"""),46006.0)</f>
        <v>46006</v>
      </c>
      <c r="T122" s="159" t="str">
        <f>IFERROR(__xludf.DUMMYFUNCTION("""COMPUTED_VALUE"""),"Jefe de la Oficina de Correspondencia y Archivo")</f>
        <v>Jefe de la Oficina de Correspondencia y Archivo</v>
      </c>
      <c r="U122" s="159" t="str">
        <f>IFERROR(__xludf.DUMMYFUNCTION("""COMPUTED_VALUE"""),"Actas de visita a las unidades académico administrativas")</f>
        <v>Actas de visita a las unidades académico administrativas</v>
      </c>
      <c r="V122" s="167" t="str">
        <f>IFERROR(__xludf.DUMMYFUNCTION("""COMPUTED_VALUE"""),"Informar al Comité de gestión y desempeño y a la oficina de Control Interno de Gestión, para que se tomen las medidas al respecto")</f>
        <v>Informar al Comité de gestión y desempeño y a la oficina de Control Interno de Gestión, para que se tomen las medidas al respecto</v>
      </c>
      <c r="W122" s="167" t="str">
        <f>IFERROR(__xludf.DUMMYFUNCTION("""COMPUTED_VALUE"""),"- Actas de comité
- Comunicación electrónica al jefe de la dependencia donde se detecta la materialización del riesgo
- Comunicación electrónica a la Oficina de Control Interno de Gestión")</f>
        <v>- Actas de comité
- Comunicación electrónica al jefe de la dependencia donde se detecta la materialización del riesgo
- Comunicación electrónica a la Oficina de Control Interno de Gestión</v>
      </c>
      <c r="X122" s="169" t="str">
        <f>IFERROR(__xludf.DUMMYFUNCTION("""COMPUTED_VALUE"""),"Jefe de la Oficina de Archivo")</f>
        <v>Jefe de la Oficina de Archivo</v>
      </c>
      <c r="Y122" s="169" t="str">
        <f>IFERROR(__xludf.DUMMYFUNCTION("""COMPUTED_VALUE"""),"15 días hábiles")</f>
        <v>15 días hábiles</v>
      </c>
      <c r="Z122" s="150" t="str">
        <f>IFERROR(__xludf.DUMMYFUNCTION("""COMPUTED_VALUE"""),"30 de abril")</f>
        <v>30 de abril</v>
      </c>
      <c r="AA122" s="151">
        <f>IFERROR(__xludf.DUMMYFUNCTION("""COMPUTED_VALUE"""),45807.0)</f>
        <v>45807</v>
      </c>
      <c r="AB122" s="150" t="str">
        <f>IFERROR(__xludf.DUMMYFUNCTION("""COMPUTED_VALUE"""),"Durante este primer periodo de monitoreo NO se materializó el riesgo. 
Acciones asociadas a los controles:
1-  Desde la jefatura de archivo, se continuaron atendiendo los procesos de eliminación que venían haciendo trámite desde el año 2023, así como lo"&amp;"s identificados en las visitas de archivo durante el primer periodo académico de 2024, aprobados en el Comité Institucional de Gestión y Desempeño según Acta 03 de 2024 (anexa),  para el segundo periodo académico de 2024 mediante la circular 03 de 2024 (a"&amp;"nexa) se están tramitando eliminaciones documentales, atendiendo en todos los casos el procedimiento de eliminación documental (PD-GDO-03). Las eliminaciones de II PA de 2024, están pendientes de ser aprobadas en el próximo Comité Institucional de Gestión"&amp;" del Desempeño.
2- El jefe de archivo, programa las transferencias documentales de acuerdo al procedimiento para transferencias documentales (PD-GDO-04).  De acuerdo a las necesidades identificadas en las visitas de archivo, algunas dependencias están org"&amp;"anizando los documentos para recibirles transferencia, en el año 2024 se recibió transferencia del ICAO y se espera continuar recibiendo algunas transferencias pequeñas, de acuerdo a la disponibilidad de espacio en el Archivo Central.
3-  Con fecha 03/05/"&amp;"2024, la jefatura de Archivo, con el apoyo de la Coordinación SIG actualizó el procedimiento para la organización de los archivos de gestión (PD-GDO-02), conforme a las disposiciones legales vigentes.
4-  Periódicamente, desde la jefatura de archivo se re"&amp;"quieren los inventarios documentales (FO-GDO-04) de las dependencias. En el año 2024, se emitieron dos (2) circulares para cada uno de los periodos académico, la verificación se hace en las visitas de archivo que se han hecho en el  2024 y en 2025 (Anexo "&amp;"evidencia) de acuerdo a nuestra capacidad administrativa.
5- Desde la Jefatura de Archivo se elabora, comunica y ejecuta el Plan de conservación documental, el cual se encuentra publicado en el siguiente link: https://www.unillanos.edu.co/docus/PLAN%20DE%"&amp;"20CONSERVACI%C3%93N%20DOCUMENTAL%20PCD%20versi%C3%B3n%202025.pdf
Acciones asociadas a tratamiento del riesgo:
En el mes de febrero de 2025 se emitió la Circular 01 de 2025,  por lo cual se han estado realizarando visitas de asesoría, capacitación y se"&amp;"guimiento a las en las diferentes dependencias académico –  administrativas de la Universidad de los Llanos; con el fin de asegurar el cumplimiento de la Ley General de Archivos (Ley 594 de 2000), entre otros se tratarán temas como: marco normativo, organ"&amp;"ización de archivos tanto físicos como electrónicos, diligenciamiento de formatos (FUID - Formato Único de Inventario Documental, rótulos de carpetas y cajas), manejo de la correspondencia externa e interna y atención al ciudadano. ")</f>
        <v>Durante este primer periodo de monitoreo NO se materializó el riesgo. 
Acciones asociadas a los controles:
1-  Desde la jefatura de archivo, se continuaron atendiendo los procesos de eliminación que venían haciendo trámite desde el año 2023, así como los identificados en las visitas de archivo durante el primer periodo académico de 2024, aprobados en el Comité Institucional de Gestión y Desempeño según Acta 03 de 2024 (anexa),  para el segundo periodo académico de 2024 mediante la circular 03 de 2024 (anexa) se están tramitando eliminaciones documentales, atendiendo en todos los casos el procedimiento de eliminación documental (PD-GDO-03). Las eliminaciones de II PA de 2024, están pendientes de ser aprobadas en el próximo Comité Institucional de Gestión del Desempeño.
2- El jefe de archivo, programa las transferencias documentales de acuerdo al procedimiento para transferencias documentales (PD-GDO-04).  De acuerdo a las necesidades identificadas en las visitas de archivo, algunas dependencias están organizando los documentos para recibirles transferencia, en el año 2024 se recibió transferencia del ICAO y se espera continuar recibiendo algunas transferencias pequeñas, de acuerdo a la disponibilidad de espacio en el Archivo Central.
3-  Con fecha 03/05/2024, la jefatura de Archivo, con el apoyo de la Coordinación SIG actualizó el procedimiento para la organización de los archivos de gestión (PD-GDO-02), conforme a las disposiciones legales vigentes.
4-  Periódicamente, desde la jefatura de archivo se requieren los inventarios documentales (FO-GDO-04) de las dependencias. En el año 2024, se emitieron dos (2) circulares para cada uno de los periodos académico, la verificación se hace en las visitas de archivo que se han hecho en el  2024 y en 2025 (Anexo evidencia) de acuerdo a nuestra capacidad administrativa.
5- Desde la Jefatura de Archivo se elabora, comunica y ejecuta el Plan de conservación documental, el cual se encuentra publicado en el siguiente link: https://www.unillanos.edu.co/docus/PLAN%20DE%20CONSERVACI%C3%93N%20DOCUMENTAL%20PCD%20versi%C3%B3n%202025.pdf
Acciones asociadas a tratamiento del riesgo:
En el mes de febrero de 2025 se emitió la Circular 01 de 2025,  por lo cual se han estado realizarando visitas de asesoría, capacitación y seguimiento a las en las diferentes dependencias académico –  administrativas de la Universidad de los Llanos; con el fin de asegurar el cumplimiento de la Ley General de Archivos (Ley 594 de 2000), entre otros se tratarán temas como: marco normativo, organización de archivos tanto físicos como electrónicos, diligenciamiento de formatos (FUID - Formato Único de Inventario Documental, rótulos de carpetas y cajas), manejo de la correspondencia externa e interna y atención al ciudadano. </v>
      </c>
      <c r="AC122" s="152" t="str">
        <f>IFERROR(__xludf.DUMMYFUNCTION("""COMPUTED_VALUE"""),"Oficina de Archivo")</f>
        <v>Oficina de Archivo</v>
      </c>
      <c r="AD122" s="153" t="str">
        <f>IFERROR(__xludf.DUMMYFUNCTION("""COMPUTED_VALUE"""),"Evidencia")</f>
        <v>Evidencia</v>
      </c>
      <c r="AE122" s="150" t="str">
        <f>IFERROR(__xludf.DUMMYFUNCTION("""COMPUTED_VALUE"""),"Si")</f>
        <v>Si</v>
      </c>
      <c r="AF122" s="150" t="str">
        <f>IFERROR(__xludf.DUMMYFUNCTION("""COMPUTED_VALUE"""),"En proceso")</f>
        <v>En proceso</v>
      </c>
      <c r="AG122" s="32" t="str">
        <f>IFERROR(__xludf.DUMMYFUNCTION("""COMPUTED_VALUE"""),"Durante el primer período de monitoreo no se reportó materialización del riesgo, evidenciando una gestión adecuada en materia archivística.
Respecto a los controles establecidos en la matriz, la dependencia reporta su aplicación de forma consistente, inc"&amp;"luyendo:
- La programación de eliminaciones documentales conforme al procedimiento PD-GDO-03.
- La programación de transferencias documentales según el PD-GDO-04, con recepción de documentos durante el periodo.
- La actualización del procedimiento para l"&amp;"a organización de archivos de gestión (PD-GDO-02), cumpliendo con normativa vigente.
- La solicitud y verificación periódica de inventarios documentales (FO-GDO-04), respaldada por circulares y visitas realizadas.
- La ejecución del Plan de Conservación D"&amp;"ocumental, publicado y comunicado a las dependencias.
Todas estas acciones corresponden de forma directa a los controles establecidos en la matriz, lo que demuestra coherencia entre la planificación y la implementación operativa.
En cuanto a las accione"&amp;"s de tratamiento del riesgo, se destaca la emisión de la Circular 01 de 2025 y el desarrollo de visitas de asesoría, capacitación y seguimiento a las dependencias, fortaleciendo el cumplimiento normativo y fomentando buenas prácticas archivísticas.
Se va"&amp;"lora positivamente la trazabilidad reportada y se sugiere mantener la documentación de soporte (actas, registros de asistencia, mejoras derivadas de las visitas) para fortalecer la evidencia en futuros seguimientos y auditorías.")</f>
        <v>Durante el primer período de monitoreo no se reportó materialización del riesgo, evidenciando una gestión adecuada en materia archivística.
Respecto a los controles establecidos en la matriz, la dependencia reporta su aplicación de forma consistente, incluyendo:
- La programación de eliminaciones documentales conforme al procedimiento PD-GDO-03.
- La programación de transferencias documentales según el PD-GDO-04, con recepción de documentos durante el periodo.
- La actualización del procedimiento para la organización de archivos de gestión (PD-GDO-02), cumpliendo con normativa vigente.
- La solicitud y verificación periódica de inventarios documentales (FO-GDO-04), respaldada por circulares y visitas realizadas.
- La ejecución del Plan de Conservación Documental, publicado y comunicado a las dependencias.
Todas estas acciones corresponden de forma directa a los controles establecidos en la matriz, lo que demuestra coherencia entre la planificación y la implementación operativa.
En cuanto a las acciones de tratamiento del riesgo, se destaca la emisión de la Circular 01 de 2025 y el desarrollo de visitas de asesoría, capacitación y seguimiento a las dependencias, fortaleciendo el cumplimiento normativo y fomentando buenas prácticas archivísticas.
Se valora positivamente la trazabilidad reportada y se sugiere mantener la documentación de soporte (actas, registros de asistencia, mejoras derivadas de las visitas) para fortalecer la evidencia en futuros seguimientos y auditorías.</v>
      </c>
      <c r="AH122" s="150" t="str">
        <f>IFERROR(__xludf.DUMMYFUNCTION("""COMPUTED_VALUE"""),"30 de abril")</f>
        <v>30 de abril</v>
      </c>
      <c r="AI122" s="32" t="str">
        <f>IFERROR(__xludf.DUMMYFUNCTION("""COMPUTED_VALUE"""),"Si")</f>
        <v>Si</v>
      </c>
      <c r="AJ122" s="32" t="str">
        <f>IFERROR(__xludf.DUMMYFUNCTION("""COMPUTED_VALUE"""),"Si")</f>
        <v>Si</v>
      </c>
      <c r="AK122" s="32" t="str">
        <f>IFERROR(__xludf.DUMMYFUNCTION("""COMPUTED_VALUE"""),"Si")</f>
        <v>Si</v>
      </c>
      <c r="AL122" s="32" t="str">
        <f>IFERROR(__xludf.DUMMYFUNCTION("""COMPUTED_VALUE"""),"Si")</f>
        <v>Si</v>
      </c>
      <c r="AM122" s="32" t="str">
        <f>IFERROR(__xludf.DUMMYFUNCTION("""COMPUTED_VALUE"""),"Si")</f>
        <v>Si</v>
      </c>
      <c r="AN122" s="32" t="str">
        <f>IFERROR(__xludf.DUMMYFUNCTION("""COMPUTED_VALUE"""),"Si")</f>
        <v>Si</v>
      </c>
      <c r="AO122" s="32" t="str">
        <f>IFERROR(__xludf.DUMMYFUNCTION("""COMPUTED_VALUE"""),"Si")</f>
        <v>Si</v>
      </c>
      <c r="AP122" s="32" t="str">
        <f>IFERROR(__xludf.DUMMYFUNCTION("""COMPUTED_VALUE"""),"No aplica")</f>
        <v>No aplica</v>
      </c>
      <c r="AQ122" s="32" t="str">
        <f>IFERROR(__xludf.DUMMYFUNCTION("""COMPUTED_VALUE"""),"No aplica")</f>
        <v>No aplica</v>
      </c>
      <c r="AR122" s="32" t="str">
        <f>IFERROR(__xludf.DUMMYFUNCTION("""COMPUTED_VALUE"""),"No aplica")</f>
        <v>No aplica</v>
      </c>
      <c r="AS122" s="150" t="str">
        <f>IFERROR(__xludf.DUMMYFUNCTION("""COMPUTED_VALUE"""),"Recomendaciones:
Fortalecer la descripción del riesgo, considerando la metodología de la Guía para la Administración del Riesgo y el diseño de controles en entidades públicas Versión 6, que propone los elementos para la descripción del riesgo, como son: 
"&amp;"Impacto: las consecuencias que puede ocasionar a la organización la materialización del riesgo.
Causa inmediata: circunstancias o situaciones más evidentes sobre las cuales se presenta el riesgo, las mismas no constituyen la causa principal o base para qu"&amp;"e se presente el riesgo.
Causa raíz: es la causa principal o básica, corresponden a las razones por la cuales se puede presentar el riesgo, son la base para la definición de controles en la etapa de valoración del riesgo. Se debe tener en cuenta que para "&amp;"un mismo riesgo pueden existir más de una causa o subcausas que pueden ser analizadas.
")</f>
        <v>Recomendaciones:
Fortalecer la descripción del riesgo, considerando la metodología de la Guía para la Administración del Riesgo y el diseño de controles en entidades públicas Versión 6, que propone los elementos para la descripción del riesgo, como son: 
Impacto: las consecuencias que puede ocasionar a la organización la materialización del riesgo.
Causa inmediata: circunstancias o situaciones más evidentes sobre las cuales se presenta el riesgo, las mismas no constituyen la causa principal o base para que se presente el riesgo.
Causa raíz: es la causa principal o básica, corresponden a las razones por la cuales se puede presentar el riesgo, son la base para la definición de controles en la etapa de valoración del riesgo. Se debe tener en cuenta que para un mismo riesgo pueden existir más de una causa o subcausas que pueden ser analizadas.
</v>
      </c>
      <c r="AT122" s="139"/>
    </row>
    <row r="123">
      <c r="A123" s="86"/>
      <c r="B123" s="73"/>
      <c r="C123" s="73"/>
      <c r="D123" s="156"/>
      <c r="E123" s="156"/>
      <c r="F123" s="156"/>
      <c r="G123" s="156"/>
      <c r="H123" s="156"/>
      <c r="I123" s="156"/>
      <c r="J123" s="156"/>
      <c r="K123" s="156"/>
      <c r="L123" s="156"/>
      <c r="M123" s="156"/>
      <c r="N123" s="156"/>
      <c r="O123" s="156"/>
      <c r="P123" s="156"/>
      <c r="Q123" s="157"/>
      <c r="R123" s="158" t="str">
        <f>IFERROR(__xludf.DUMMYFUNCTION("""COMPUTED_VALUE"""),"")</f>
        <v/>
      </c>
      <c r="S123" s="159" t="str">
        <f>IFERROR(__xludf.DUMMYFUNCTION("""COMPUTED_VALUE"""),"")</f>
        <v/>
      </c>
      <c r="T123" s="170"/>
      <c r="U123" s="170"/>
      <c r="V123" s="94"/>
      <c r="W123" s="94"/>
      <c r="X123" s="94"/>
      <c r="Y123" s="94"/>
      <c r="Z123" s="150" t="str">
        <f>IFERROR(__xludf.DUMMYFUNCTION("""COMPUTED_VALUE"""),"30 de agosto")</f>
        <v>30 de agosto</v>
      </c>
      <c r="AA123" s="151">
        <f>IFERROR(__xludf.DUMMYFUNCTION("""COMPUTED_VALUE"""),45899.0)</f>
        <v>45899</v>
      </c>
      <c r="AB123" s="150" t="str">
        <f>IFERROR(__xludf.DUMMYFUNCTION("""COMPUTED_VALUE"""),"Durante este segundo monitoreo no se materializó el riesgo. Se continuó con la aplicación de los controles establecidos, a saber:
C1: Programación de eliminaciones documentales de acuerdo al procedimiento de eliminación documental (PD-GDO-03).
C2: Progr"&amp;"amación de transferencias documentales de acuerdo al procedimiento para transferencias documentales (PD-GDO-04).
C3: Socialización del procedimiento para la organización de los archivos de gestión (PD-GDO-02) a las dependencias, conforme a las disposicio"&amp;"nes legales vigentes.
C4: Solicitud y verificación periódica de inventarios documentales (FO-GDO-04) de las dependencias.
C5: Elaboración, comunicación y ejecución del Plan de conservación documental.
Respecto a las acciones de tratamiento, se tiene pr"&amp;"ogramada la realización de visitas de archivo a las unidades académico administrativas, con el fin de sensibilizar a los funcionarios y contratistas sobre la gestión documental. La fecha establecida para la culminación de esta actividad es el 15 de diciem"&amp;"bre de 2025.
Como evidencia de avance, se encuentran disponibles en la carpeta del proceso los siguientes documentos:
Carpeta Acciones de control (27/08/2025).
Carpeta Actas de visita archivo 2025 (29/08/2025).
Carpeta Capacitaciones 2025 (26/08/2025)"&amp;".
De esta manera, se evidencia el cumplimiento de los controles definidos y el desarrollo de actividades que fortalecen la gestión documental de la Universidad.")</f>
        <v>Durante este segundo monitoreo no se materializó el riesgo. Se continuó con la aplicación de los controles establecidos, a saber:
C1: Programación de eliminaciones documentales de acuerdo al procedimiento de eliminación documental (PD-GDO-03).
C2: Programación de transferencias documentales de acuerdo al procedimiento para transferencias documentales (PD-GDO-04).
C3: Socialización del procedimiento para la organización de los archivos de gestión (PD-GDO-02) a las dependencias, conforme a las disposiciones legales vigentes.
C4: Solicitud y verificación periódica de inventarios documentales (FO-GDO-04) de las dependencias.
C5: Elaboración, comunicación y ejecución del Plan de conservación documental.
Respecto a las acciones de tratamiento, se tiene programada la realización de visitas de archivo a las unidades académico administrativas, con el fin de sensibilizar a los funcionarios y contratistas sobre la gestión documental. La fecha establecida para la culminación de esta actividad es el 15 de diciembre de 2025.
Como evidencia de avance, se encuentran disponibles en la carpeta del proceso los siguientes documentos:
Carpeta Acciones de control (27/08/2025).
Carpeta Actas de visita archivo 2025 (29/08/2025).
Carpeta Capacitaciones 2025 (26/08/2025).
De esta manera, se evidencia el cumplimiento de los controles definidos y el desarrollo de actividades que fortalecen la gestión documental de la Universidad.</v>
      </c>
      <c r="AC123" s="152" t="str">
        <f>IFERROR(__xludf.DUMMYFUNCTION("""COMPUTED_VALUE"""),"Oficina de Archivo")</f>
        <v>Oficina de Archivo</v>
      </c>
      <c r="AD123" s="153" t="str">
        <f>IFERROR(__xludf.DUMMYFUNCTION("""COMPUTED_VALUE"""),"Evidencia")</f>
        <v>Evidencia</v>
      </c>
      <c r="AE123" s="150" t="str">
        <f>IFERROR(__xludf.DUMMYFUNCTION("""COMPUTED_VALUE"""),"Si")</f>
        <v>Si</v>
      </c>
      <c r="AF123" s="152" t="str">
        <f>IFERROR(__xludf.DUMMYFUNCTION("""COMPUTED_VALUE"""),"En proceso")</f>
        <v>En proceso</v>
      </c>
      <c r="AG123" s="32" t="str">
        <f>IFERROR(__xludf.DUMMYFUNCTION("""COMPUTED_VALUE"""),"Durante este segundo monitoreo no se materializó el riesgo.
Controles implementados:
C1: Programación de eliminaciones documentales de acuerdo al procedimiento PD-GDO-03.
C2: Programación de transferencias documentales conforme al procedimiento PD-GDO-"&amp;"04.
C3: Socialización del procedimiento para la organización de los archivos de gestión (PD-GDO-02), en cumplimiento de las disposiciones legales vigentes.
C4: Solicitud y verificación periódica de inventarios documentales (FO-GDO-04) de las dependencia"&amp;"s.
C5: Elaboración, comunicación y ejecución del Plan de conservación documental.
Acciones de tratamiento:
Se encuentra programada la realización de visitas de archivo a las unidades académico-administrativas, con el fin de sensibilizar a los funcionari"&amp;"os y contratistas sobre la adecuada gestión documental. La fecha límite establecida para su ejecución es el 15 de diciembre de 2025.")</f>
        <v>Durante este segundo monitoreo no se materializó el riesgo.
Controles implementados:
C1: Programación de eliminaciones documentales de acuerdo al procedimiento PD-GDO-03.
C2: Programación de transferencias documentales conforme al procedimiento PD-GDO-04.
C3: Socialización del procedimiento para la organización de los archivos de gestión (PD-GDO-02), en cumplimiento de las disposiciones legales vigentes.
C4: Solicitud y verificación periódica de inventarios documentales (FO-GDO-04) de las dependencias.
C5: Elaboración, comunicación y ejecución del Plan de conservación documental.
Acciones de tratamiento:
Se encuentra programada la realización de visitas de archivo a las unidades académico-administrativas, con el fin de sensibilizar a los funcionarios y contratistas sobre la adecuada gestión documental. La fecha límite establecida para su ejecución es el 15 de diciembre de 2025.</v>
      </c>
      <c r="AH123" s="150" t="str">
        <f>IFERROR(__xludf.DUMMYFUNCTION("""COMPUTED_VALUE"""),"31 de agosto")</f>
        <v>31 de agosto</v>
      </c>
      <c r="AI123" s="32" t="str">
        <f>IFERROR(__xludf.DUMMYFUNCTION("""COMPUTED_VALUE"""),"Si")</f>
        <v>Si</v>
      </c>
      <c r="AJ123" s="32" t="str">
        <f>IFERROR(__xludf.DUMMYFUNCTION("""COMPUTED_VALUE"""),"Si")</f>
        <v>Si</v>
      </c>
      <c r="AK123" s="32" t="str">
        <f>IFERROR(__xludf.DUMMYFUNCTION("""COMPUTED_VALUE"""),"Si")</f>
        <v>Si</v>
      </c>
      <c r="AL123" s="32" t="str">
        <f>IFERROR(__xludf.DUMMYFUNCTION("""COMPUTED_VALUE"""),"Si")</f>
        <v>Si</v>
      </c>
      <c r="AM123" s="32" t="str">
        <f>IFERROR(__xludf.DUMMYFUNCTION("""COMPUTED_VALUE"""),"Si")</f>
        <v>Si</v>
      </c>
      <c r="AN123" s="32" t="str">
        <f>IFERROR(__xludf.DUMMYFUNCTION("""COMPUTED_VALUE"""),"Si")</f>
        <v>Si</v>
      </c>
      <c r="AO123" s="32" t="str">
        <f>IFERROR(__xludf.DUMMYFUNCTION("""COMPUTED_VALUE"""),"Si")</f>
        <v>Si</v>
      </c>
      <c r="AP123" s="32" t="str">
        <f>IFERROR(__xludf.DUMMYFUNCTION("""COMPUTED_VALUE"""),"No aplica")</f>
        <v>No aplica</v>
      </c>
      <c r="AQ123" s="32" t="str">
        <f>IFERROR(__xludf.DUMMYFUNCTION("""COMPUTED_VALUE"""),"No aplica")</f>
        <v>No aplica</v>
      </c>
      <c r="AR123" s="32" t="str">
        <f>IFERROR(__xludf.DUMMYFUNCTION("""COMPUTED_VALUE"""),"No aplica")</f>
        <v>No aplica</v>
      </c>
      <c r="AS123" s="150" t="str">
        <f>IFERROR(__xludf.DUMMYFUNCTION("""COMPUTED_VALUE"""),"Se reitera recomendación generada en la evaluación del primer cuatrimestre:
Fortalecer la descripción del riesgo, considerando la metodología de la Guía para la Administración del Riesgo y el diseño de controles en entidades públicas Versión 6, que propon"&amp;"e los elementos para la descripción del riesgo, como son: 
Impacto: las consecuencias que puede ocasionar a la organización la materialización del riesgo.
Causa inmediata: circunstancias o situaciones más evidentes sobre las cuales se presenta el riesgo, "&amp;"las mismas no constituyen la causa principal o base para que se presente el riesgo.
Causa raíz: es la causa principal o básica, corresponden a las razones por la cuales se puede presentar el riesgo, son la base para la definición de controles en la etapa "&amp;"de valoración del riesgo. Se debe tener en cuenta que para un mismo riesgo pueden existir más de una causa o subcausas que pueden ser analizadas.
")</f>
        <v>Se reitera recomendación generada en la evaluación del primer cuatrimestre:
Fortalecer la descripción del riesgo, considerando la metodología de la Guía para la Administración del Riesgo y el diseño de controles en entidades públicas Versión 6, que propone los elementos para la descripción del riesgo, como son: 
Impacto: las consecuencias que puede ocasionar a la organización la materialización del riesgo.
Causa inmediata: circunstancias o situaciones más evidentes sobre las cuales se presenta el riesgo, las mismas no constituyen la causa principal o base para que se presente el riesgo.
Causa raíz: es la causa principal o básica, corresponden a las razones por la cuales se puede presentar el riesgo, son la base para la definición de controles en la etapa de valoración del riesgo. Se debe tener en cuenta que para un mismo riesgo pueden existir más de una causa o subcausas que pueden ser analizadas.
</v>
      </c>
      <c r="AT123" s="139"/>
    </row>
    <row r="124">
      <c r="A124" s="86"/>
      <c r="B124" s="73"/>
      <c r="C124" s="73"/>
      <c r="D124" s="119"/>
      <c r="E124" s="119"/>
      <c r="F124" s="119"/>
      <c r="G124" s="119"/>
      <c r="H124" s="119"/>
      <c r="I124" s="119"/>
      <c r="J124" s="119"/>
      <c r="K124" s="119"/>
      <c r="L124" s="119"/>
      <c r="M124" s="119"/>
      <c r="N124" s="119"/>
      <c r="O124" s="119"/>
      <c r="P124" s="119"/>
      <c r="Q124" s="162"/>
      <c r="R124" s="163" t="str">
        <f>IFERROR(__xludf.DUMMYFUNCTION("""COMPUTED_VALUE"""),"")</f>
        <v/>
      </c>
      <c r="S124" s="164" t="str">
        <f>IFERROR(__xludf.DUMMYFUNCTION("""COMPUTED_VALUE"""),"")</f>
        <v/>
      </c>
      <c r="T124" s="176"/>
      <c r="U124" s="176"/>
      <c r="V124" s="98"/>
      <c r="W124" s="98"/>
      <c r="X124" s="98"/>
      <c r="Y124" s="98"/>
      <c r="Z124" s="150" t="str">
        <f>IFERROR(__xludf.DUMMYFUNCTION("""COMPUTED_VALUE"""),"30 de diciembre")</f>
        <v>30 de diciembre</v>
      </c>
      <c r="AA124" s="151">
        <f>IFERROR(__xludf.DUMMYFUNCTION("""COMPUTED_VALUE"""),45993.0)</f>
        <v>45993</v>
      </c>
      <c r="AB124" s="182" t="str">
        <f>IFERROR(__xludf.DUMMYFUNCTION("""COMPUTED_VALUE"""),"""Durante el  tercer monitoreo no se materializó el riesgo. Se continuó con la aplicación de los controles establecidos, a saber:
C1: Programación de eliminaciones documentales de acuerdo al procedimiento de eliminación documental (PD-GDO-03)., Adelantad"&amp;"a con Circular 03 de 2025
C2: Programación de transferencias documentales de acuerdo al procedimiento para transferencias documentales (PD-GDO-04). Se recibió Transferencia a Lic. Prodcución Agropecuaria y a División de Servicios Administrativos, teniend"&amp;"o en cuenta la limitada capacidad de recepción del Archivo Central.
C3: Socialización del procedimiento para la organización de los archivos de gestión (PD-GDO-02) a las dependencias, conforme a las disposiciones legales vigentes. Se adelantaron procesos"&amp;" de Eliminación de Archivos con el objetivo de descongestionar las áreas y espacios destinados al archivo en las distintas dependencias académicas y administrativas para la correcta aplicación de la Tabla de Retención Documental y propender por la organiz"&amp;"ación de los archivos de gestión.. Circular 03 de 2025
C4: Solicitud y verificación periódica de inventarios documentales (FO-GDO-04) de las dependencias.   Antes de Finalizar el Primer Periodo Académico de 2025 y Antes de finalizar el Segundo Periodo Ac"&amp;"adémico de 2025 se emitieron las circulares 02 y 04 de 2025, solicitando los inventarios documentales actualizados a las diferentes dependencias académico - administrativas. 
C5: Elaboración, comunicación y ejecución del Plan de conservación documental. "&amp;" Se impartió capacitación en Sistema Integrado de Conservación, componente del Plan de Conservación Documental  https://www.unillanos.edu.co/index.php/sistema-integrado-de-conservacion-sic
Respecto a las acciones de tratamiento, se realizaron visitas de "&amp;"archivo a las unidades académico administrativas, con el fin de sensibilizar a los funcionarios y contratistas sobre la gestión documental, en las visitas se detectaron las necesidades de eliminación y de transferencia por parte de algunas dependencias, p"&amp;"or lo cual se emitió la Circular 03 de 2025 y se recibieron solicitudes de eliminación, lo cual a la fecha se continúa revisando para consolidar el total de solicitudes a nivel institucional y se recibieron transferencias documentales de dos (2) dependenc"&amp;"ias: Lic. Progrucción Agropecuaria y División Servicios Administrativos..
Como evidencia de avance, se encuentran disponibles en la carpeta del proceso los siguientes documentos:
Carpeta Acciones de control 
Carpeta Acciones Asociadas al tratamiento de"&amp;"l Riesgo.
De esta manera, se evidencia el cumplimiento de los controles definidos y el desarrollo de actividades que fortalecen la gestión documental de la Universidad.")</f>
        <v>"Durante el  tercer monitoreo no se materializó el riesgo. Se continuó con la aplicación de los controles establecidos, a saber:
C1: Programación de eliminaciones documentales de acuerdo al procedimiento de eliminación documental (PD-GDO-03)., Adelantada con Circular 03 de 2025
C2: Programación de transferencias documentales de acuerdo al procedimiento para transferencias documentales (PD-GDO-04). Se recibió Transferencia a Lic. Prodcución Agropecuaria y a División de Servicios Administrativos, teniendo en cuenta la limitada capacidad de recepción del Archivo Central.
C3: Socialización del procedimiento para la organización de los archivos de gestión (PD-GDO-02) a las dependencias, conforme a las disposiciones legales vigentes. Se adelantaron procesos de Eliminación de Archivos con el objetivo de descongestionar las áreas y espacios destinados al archivo en las distintas dependencias académicas y administrativas para la correcta aplicación de la Tabla de Retención Documental y propender por la organización de los archivos de gestión.. Circular 03 de 2025
C4: Solicitud y verificación periódica de inventarios documentales (FO-GDO-04) de las dependencias.   Antes de Finalizar el Primer Periodo Académico de 2025 y Antes de finalizar el Segundo Periodo Académico de 2025 se emitieron las circulares 02 y 04 de 2025, solicitando los inventarios documentales actualizados a las diferentes dependencias académico - administrativas. 
C5: Elaboración, comunicación y ejecución del Plan de conservación documental.  Se impartió capacitación en Sistema Integrado de Conservación, componente del Plan de Conservación Documental  https://www.unillanos.edu.co/index.php/sistema-integrado-de-conservacion-sic
Respecto a las acciones de tratamiento, se realizaron visitas de archivo a las unidades académico administrativas, con el fin de sensibilizar a los funcionarios y contratistas sobre la gestión documental, en las visitas se detectaron las necesidades de eliminación y de transferencia por parte de algunas dependencias, por lo cual se emitió la Circular 03 de 2025 y se recibieron solicitudes de eliminación, lo cual a la fecha se continúa revisando para consolidar el total de solicitudes a nivel institucional y se recibieron transferencias documentales de dos (2) dependencias: Lic. Progrucción Agropecuaria y División Servicios Administrativos..
Como evidencia de avance, se encuentran disponibles en la carpeta del proceso los siguientes documentos:
Carpeta Acciones de control 
Carpeta Acciones Asociadas al tratamiento del Riesgo.
De esta manera, se evidencia el cumplimiento de los controles definidos y el desarrollo de actividades que fortalecen la gestión documental de la Universidad.</v>
      </c>
      <c r="AC124" s="152" t="str">
        <f>IFERROR(__xludf.DUMMYFUNCTION("""COMPUTED_VALUE"""),"Oficina de Archivo")</f>
        <v>Oficina de Archivo</v>
      </c>
      <c r="AD124" s="153" t="str">
        <f>IFERROR(__xludf.DUMMYFUNCTION("""COMPUTED_VALUE"""),"Evidencia")</f>
        <v>Evidencia</v>
      </c>
      <c r="AE124" s="150" t="str">
        <f>IFERROR(__xludf.DUMMYFUNCTION("""COMPUTED_VALUE"""),"Si")</f>
        <v>Si</v>
      </c>
      <c r="AF124" s="152" t="str">
        <f>IFERROR(__xludf.DUMMYFUNCTION("""COMPUTED_VALUE"""),"Ejecutada")</f>
        <v>Ejecutada</v>
      </c>
      <c r="AG124" s="32" t="str">
        <f>IFERROR(__xludf.DUMMYFUNCTION("""COMPUTED_VALUE"""),"-Durante el presente monitoreo de 2025 NO se materializó el riesgo                                                                                                                                                                      - Durante el periodo ev"&amp;"aluado se continuó con la aplicación de los controles establecidos, evidenciándose su adecuada implementación:
C1. Eliminación documental:
Programación adelantada conforme al procedimiento PD-GDO-03, formalizada mediante la Circular 03 de 2025.
C2. Tran"&amp;"sferencias documentales:
Se recibieron transferencias de la Licenciatura en Producción Agropecuaria y de la División de Servicios Administrativos, teniendo en cuenta la capacidad limitada del Archivo Central.
C3. Organización de archivos de gestión:
Se s"&amp;"ocializó el procedimiento PD-GDO-02 y se adelantaron procesos de eliminación para apoyar la descongestión de espacios y la aplicación de la Tabla de Retención Documental. Circular 03 de 2025.
C4. Inventarios documentales:
Se solicitaron y verificaron inv"&amp;"entarios actualizados mediante las Circulares 02 y 04 de 2025, dirigidas a las dependencias académico-administrativas.
C5. Conservación documental:
Se ejecutó la capacitación relacionada con el Sistema Integrado de Conservación, parte del Plan de Conserv"&amp;"ación Documental.                                                                  -Se realizaron visitas de archivo a diversas dependencias, promoviendo buenas prácticas de gestión documental. En estas visitas se identificaron necesidades de eliminación "&amp;"y transferencia, lo que dio lugar a la emisión de la Circular 03 de 2025. A la fecha se continúa consolidando las solicitudes institucionales y se recibieron transferencias de dos dependencias.                                                              "&amp;"                                                                                                                  -Se sugiere continuar con el buen ritmo de implementación de controles y fortalecer la consolidación institucional de las solicitudes de elim"&amp;"inación y transferencia documental, de manera que se facilite la planificación del Archivo Central y se mantenga la trazabilidad de las acciones adelantadas por cada dependencia.")</f>
        <v>-Durante el presente monitoreo de 2025 NO se materializó el riesgo                                                                                                                                                                      - Durante el periodo evaluado se continuó con la aplicación de los controles establecidos, evidenciándose su adecuada implementación:
C1. Eliminación documental:
Programación adelantada conforme al procedimiento PD-GDO-03, formalizada mediante la Circular 03 de 2025.
C2. Transferencias documentales:
Se recibieron transferencias de la Licenciatura en Producción Agropecuaria y de la División de Servicios Administrativos, teniendo en cuenta la capacidad limitada del Archivo Central.
C3. Organización de archivos de gestión:
Se socializó el procedimiento PD-GDO-02 y se adelantaron procesos de eliminación para apoyar la descongestión de espacios y la aplicación de la Tabla de Retención Documental. Circular 03 de 2025.
C4. Inventarios documentales:
Se solicitaron y verificaron inventarios actualizados mediante las Circulares 02 y 04 de 2025, dirigidas a las dependencias académico-administrativas.
C5. Conservación documental:
Se ejecutó la capacitación relacionada con el Sistema Integrado de Conservación, parte del Plan de Conservación Documental.                                                                  -Se realizaron visitas de archivo a diversas dependencias, promoviendo buenas prácticas de gestión documental. En estas visitas se identificaron necesidades de eliminación y transferencia, lo que dio lugar a la emisión de la Circular 03 de 2025. A la fecha se continúa consolidando las solicitudes institucionales y se recibieron transferencias de dos dependencias.                                                                                                                                                                                -Se sugiere continuar con el buen ritmo de implementación de controles y fortalecer la consolidación institucional de las solicitudes de eliminación y transferencia documental, de manera que se facilite la planificación del Archivo Central y se mantenga la trazabilidad de las acciones adelantadas por cada dependencia.</v>
      </c>
      <c r="AH124" s="150" t="str">
        <f>IFERROR(__xludf.DUMMYFUNCTION("""COMPUTED_VALUE"""),"31 de diciembre")</f>
        <v>31 de diciembre</v>
      </c>
      <c r="AI124" s="32" t="str">
        <f>IFERROR(__xludf.DUMMYFUNCTION("""COMPUTED_VALUE"""),"Si")</f>
        <v>Si</v>
      </c>
      <c r="AJ124" s="32" t="str">
        <f>IFERROR(__xludf.DUMMYFUNCTION("""COMPUTED_VALUE"""),"Si")</f>
        <v>Si</v>
      </c>
      <c r="AK124" s="32" t="str">
        <f>IFERROR(__xludf.DUMMYFUNCTION("""COMPUTED_VALUE"""),"Si")</f>
        <v>Si</v>
      </c>
      <c r="AL124" s="32" t="str">
        <f>IFERROR(__xludf.DUMMYFUNCTION("""COMPUTED_VALUE"""),"Si")</f>
        <v>Si</v>
      </c>
      <c r="AM124" s="32" t="str">
        <f>IFERROR(__xludf.DUMMYFUNCTION("""COMPUTED_VALUE"""),"Si")</f>
        <v>Si</v>
      </c>
      <c r="AN124" s="32" t="str">
        <f>IFERROR(__xludf.DUMMYFUNCTION("""COMPUTED_VALUE"""),"Si")</f>
        <v>Si</v>
      </c>
      <c r="AO124" s="32" t="str">
        <f>IFERROR(__xludf.DUMMYFUNCTION("""COMPUTED_VALUE"""),"Si")</f>
        <v>Si</v>
      </c>
      <c r="AP124" s="32" t="str">
        <f>IFERROR(__xludf.DUMMYFUNCTION("""COMPUTED_VALUE"""),"No aplica")</f>
        <v>No aplica</v>
      </c>
      <c r="AQ124" s="32" t="str">
        <f>IFERROR(__xludf.DUMMYFUNCTION("""COMPUTED_VALUE"""),"No aplica")</f>
        <v>No aplica</v>
      </c>
      <c r="AR124" s="32" t="str">
        <f>IFERROR(__xludf.DUMMYFUNCTION("""COMPUTED_VALUE"""),"No aplica")</f>
        <v>No aplica</v>
      </c>
      <c r="AS124" s="150" t="str">
        <f>IFERROR(__xludf.DUMMYFUNCTION("""COMPUTED_VALUE"""),"Se reitera recomendación generada en la evaluación del primer y segundo cuatrimestre:
Fortalecer la descripción del riesgo, considerando la metodología de la Guía para la Administración del Riesgo y el diseño de controles en entidades públicas Versión 6, "&amp;"que propone los elementos para la descripción del riesgo, como son: 
Impacto: las consecuencias que puede ocasionar a la organización la materialización del riesgo.
Causa inmediata: circunstancias o situaciones más evidentes sobre las cuales se presenta e"&amp;"l riesgo, las mismas no constituyen la causa principal o base para que se presente el riesgo.
Causa raíz: es la causa principal o básica, corresponden a las razones por la cuales se puede presentar el riesgo, son la base para la definición de controles en"&amp;" la etapa de valoración del riesgo. Se debe tener en cuenta que para un mismo riesgo pueden existir más de una causa o subcausas que pueden ser analizadas.
")</f>
        <v>Se reitera recomendación generada en la evaluación del primer y segundo cuatrimestre:
Fortalecer la descripción del riesgo, considerando la metodología de la Guía para la Administración del Riesgo y el diseño de controles en entidades públicas Versión 6, que propone los elementos para la descripción del riesgo, como son: 
Impacto: las consecuencias que puede ocasionar a la organización la materialización del riesgo.
Causa inmediata: circunstancias o situaciones más evidentes sobre las cuales se presenta el riesgo, las mismas no constituyen la causa principal o base para que se presente el riesgo.
Causa raíz: es la causa principal o básica, corresponden a las razones por la cuales se puede presentar el riesgo, son la base para la definición de controles en la etapa de valoración del riesgo. Se debe tener en cuenta que para un mismo riesgo pueden existir más de una causa o subcausas que pueden ser analizadas.
</v>
      </c>
      <c r="AT124" s="139"/>
    </row>
    <row r="125">
      <c r="A125" s="86"/>
      <c r="B125" s="73"/>
      <c r="C125" s="73"/>
      <c r="D125" s="144" t="str">
        <f>IFERROR(__xludf.DUMMYFUNCTION("""COMPUTED_VALUE"""),"Afectación económica y reputacional por respuesta inoportuna a los requerimientos del público en general")</f>
        <v>Afectación económica y reputacional por respuesta inoportuna a los requerimientos del público en general</v>
      </c>
      <c r="E125" s="144" t="str">
        <f>IFERROR(__xludf.DUMMYFUNCTION("""COMPUTED_VALUE"""),"Punto de Información y Atención al Ciudadano - PIAC")</f>
        <v>Punto de Información y Atención al Ciudadano - PIAC</v>
      </c>
      <c r="F125" s="144" t="str">
        <f>IFERROR(__xludf.DUMMYFUNCTION("""COMPUTED_VALUE"""),"Gestión")</f>
        <v>Gestión</v>
      </c>
      <c r="G125" s="144" t="str">
        <f>IFERROR(__xludf.DUMMYFUNCTION("""COMPUTED_VALUE"""),"- Alto volumen de requerimientos
- Desconocimiento de la normatividad relacionada con los tiempos de respuesta de las PQRSD por parte de los funcionarios de la Universidad
- Que no se cuente con un sistema de alertas a los responsables de emitir las respu"&amp;"estas
- Desconocimiento de los canales de comunicación con que cuenta la Universidad por parte del público en general")</f>
        <v>- Alto volumen de requerimientos
- Desconocimiento de la normatividad relacionada con los tiempos de respuesta de las PQRSD por parte de los funcionarios de la Universidad
- Que no se cuente con un sistema de alertas a los responsables de emitir las respuestas
- Desconocimiento de los canales de comunicación con que cuenta la Universidad por parte del público en general</v>
      </c>
      <c r="H125" s="144" t="str">
        <f>IFERROR(__xludf.DUMMYFUNCTION("""COMPUTED_VALUE"""),"1. Faltas disciplinarias de los funcionarios responsables de emitir la respuesta
2. Insatisfacción de los ciudadanos
3. Vulneración de los derechos de los peticionarios
4. Intervención de órganos de control
5. Afectación a la imagen institucional")</f>
        <v>1. Faltas disciplinarias de los funcionarios responsables de emitir la respuesta
2. Insatisfacción de los ciudadanos
3. Vulneración de los derechos de los peticionarios
4. Intervención de órganos de control
5. Afectación a la imagen institucional</v>
      </c>
      <c r="I125" s="145" t="str">
        <f>IFERROR(__xludf.DUMMYFUNCTION("""COMPUTED_VALUE"""),"GDO_02")</f>
        <v>GDO_02</v>
      </c>
      <c r="J125" s="145" t="str">
        <f>IFERROR(__xludf.DUMMYFUNCTION("""COMPUTED_VALUE"""),"Media")</f>
        <v>Media</v>
      </c>
      <c r="K125" s="145" t="str">
        <f>IFERROR(__xludf.DUMMYFUNCTION("""COMPUTED_VALUE"""),"Moderado")</f>
        <v>Moderado</v>
      </c>
      <c r="L125" s="145" t="str">
        <f>IFERROR(__xludf.DUMMYFUNCTION("""COMPUTED_VALUE"""),"Alta")</f>
        <v>Alta</v>
      </c>
      <c r="M125" s="144" t="str">
        <f>IFERROR(__xludf.DUMMYFUNCTION("""COMPUTED_VALUE"""),"- Los CPS de los PIAC y ventanilla única, reiteran mediante correos electrónicos a las áreas competentes, pendientes de emitir las respuestas a los peticionarios
- Los CPS de los PIAC y ventanilla única, controlan los tiempos de respuesta, a través de la "&amp;"matriz de registro de incidencias (FO-GDO-03)
- La Oficina de Correspondencia y Archivo, consolida el informe trimestral de PQRSD, dirigido al público en general
- La Oficina de Correspondencia y Archivo, envía el reporte de las dependencias que no han re"&amp;"spondido oportunamente las PQRSD a la oficina de Control Interno de Gestión ")</f>
        <v>- Los CPS de los PIAC y ventanilla única, reiteran mediante correos electrónicos a las áreas competentes, pendientes de emitir las respuestas a los peticionarios
- Los CPS de los PIAC y ventanilla única, controlan los tiempos de respuesta, a través de la matriz de registro de incidencias (FO-GDO-03)
- La Oficina de Correspondencia y Archivo, consolida el informe trimestral de PQRSD, dirigido al público en general
- La Oficina de Correspondencia y Archivo, envía el reporte de las dependencias que no han respondido oportunamente las PQRSD a la oficina de Control Interno de Gestión </v>
      </c>
      <c r="N125" s="145" t="str">
        <f>IFERROR(__xludf.DUMMYFUNCTION("""COMPUTED_VALUE"""),"Muy baja")</f>
        <v>Muy baja</v>
      </c>
      <c r="O125" s="145" t="str">
        <f>IFERROR(__xludf.DUMMYFUNCTION("""COMPUTED_VALUE"""),"Moderado")</f>
        <v>Moderado</v>
      </c>
      <c r="P125" s="145" t="str">
        <f>IFERROR(__xludf.DUMMYFUNCTION("""COMPUTED_VALUE"""),"Media")</f>
        <v>Media</v>
      </c>
      <c r="Q125" s="178" t="str">
        <f>IFERROR(__xludf.DUMMYFUNCTION("""COMPUTED_VALUE"""),"Reducir")</f>
        <v>Reducir</v>
      </c>
      <c r="R125" s="158" t="str">
        <f>IFERROR(__xludf.DUMMYFUNCTION("""COMPUTED_VALUE"""),"Realizar capacitación a las áreas académico administrativas sobre atención al ciudadano.")</f>
        <v>Realizar capacitación a las áreas académico administrativas sobre atención al ciudadano.</v>
      </c>
      <c r="S125" s="159">
        <f>IFERROR(__xludf.DUMMYFUNCTION("""COMPUTED_VALUE"""),45838.0)</f>
        <v>45838</v>
      </c>
      <c r="T125" s="170" t="str">
        <f>IFERROR(__xludf.DUMMYFUNCTION("""COMPUTED_VALUE"""),"Jefe de la Oficina de Correspondencia y Archivo")</f>
        <v>Jefe de la Oficina de Correspondencia y Archivo</v>
      </c>
      <c r="U125" s="170" t="str">
        <f>IFERROR(__xludf.DUMMYFUNCTION("""COMPUTED_VALUE"""),"Registros de asistencia a la capacitación")</f>
        <v>Registros de asistencia a la capacitación</v>
      </c>
      <c r="V125" s="167" t="str">
        <f>IFERROR(__xludf.DUMMYFUNCTION("""COMPUTED_VALUE"""),"Enviar el reporte de las dependencias que no han respondido oportunamente las PQRSD a la oficina de Control Interno de Gestión")</f>
        <v>Enviar el reporte de las dependencias que no han respondido oportunamente las PQRSD a la oficina de Control Interno de Gestión</v>
      </c>
      <c r="W125" s="167" t="str">
        <f>IFERROR(__xludf.DUMMYFUNCTION("""COMPUTED_VALUE"""),"Correo electrónico")</f>
        <v>Correo electrónico</v>
      </c>
      <c r="X125" s="169" t="str">
        <f>IFERROR(__xludf.DUMMYFUNCTION("""COMPUTED_VALUE"""),"Jefe de la Oficina de Correspondencia y Archivo")</f>
        <v>Jefe de la Oficina de Correspondencia y Archivo</v>
      </c>
      <c r="Y125" s="169" t="str">
        <f>IFERROR(__xludf.DUMMYFUNCTION("""COMPUTED_VALUE"""),"Cuatrimestral")</f>
        <v>Cuatrimestral</v>
      </c>
      <c r="Z125" s="150" t="str">
        <f>IFERROR(__xludf.DUMMYFUNCTION("""COMPUTED_VALUE"""),"30 de abril")</f>
        <v>30 de abril</v>
      </c>
      <c r="AA125" s="151">
        <f>IFERROR(__xludf.DUMMYFUNCTION("""COMPUTED_VALUE"""),45807.0)</f>
        <v>45807</v>
      </c>
      <c r="AB125" s="150" t="str">
        <f>IFERROR(__xludf.DUMMYFUNCTION("""COMPUTED_VALUE"""),"Durante este primer periodo de monitoreo NO se materializó el riesgo. 
Acciones asociadas a los controles:
1- Los CPS de los PIAC y ventanilla única, reiteran mediante correos electrónicos a las áreas competentes, pendientes de emitir las respuestas a l"&amp;"os peticionarios. Se adjunta un seguimiento a PQRSD hecho por Ventanilla Unica  y uno del PIAC Barcelona (anexo)
2- Los CPS de los PIAC y ventanilla única, controlan los tiempos de respuesta, a través de la matriz de registro de incidencias (FO-GDO-03). S"&amp;"e anexa como evidencia una matriz de registro de incidencias de PIAC Barcelona, mes de septiembre de 2024 (anexo)
3- La Oficina de Correspondencia y Archivo, consolida el informe trimestral de PQRSD, dirigido al público en general. Los informes de P.Q.R.S"&amp;".D. se publican en el siguiente link:  https://drive.google.com/drive/folders/1WkC625CZOoVnDzyTEhO_wsZbRIzDajoh?usp=drive_link . El informe del primer trimestre de 2025 está en proceso de revisión por parte de Secretaría General.
4- La Oficina de Correspo"&amp;"ndencia y Archivo, envía el reporte de las dependencias que no han respondido oportunamente las PQRSD a la oficina de Control Interno de Gestión. Se envía correo del último reporte enviado a la Oficina de Control Interno (Anexo)
Acciones asociadas a t"&amp;"ratamiento del riesgo:
1, En el mes de febrero de 2025 se emitió la Circular 01 de 2025,  por lo cual se han estabo realizarando visitas de asesoría, capacitación y seguimiento a las en las diferentes dependencias académico –  administrativas de la Univ"&amp;"ersidad de los Llanos; con el fin de asegurar el cumplimiento de la Ley General de Archivos (Ley 594 de 2000), entre otros se tratarán temas como: marco normativo, organización de archivos tanto físicos como electrónicos, diligenciamiento de formatos (FUI"&amp;"D - Formato Único de Inventario Documental, rótulos de carpetas y cajas), manejo de la correspondencia externa e interna y atención al ciudadano.  Adicionalmente se está gestionando la ejecución del Plan Institucional de Capacitación 2025, para avanzar en"&amp;" las temáticas de Gestión Documental y de Atención al Ciudadano y sensibilización pertinencia institucional. 
2, Se divulgaron piezas publicitarias con los Canales de Atención al Ciudadano, Socializando el derecho de los ciudadanos a interponer PQRSD y ob"&amp;"tener respuesta oportuna, los cuales se han socializado en la página web y través de las redes institucionales. 
")</f>
        <v>Durante este primer periodo de monitoreo NO se materializó el riesgo. 
Acciones asociadas a los controles:
1- Los CPS de los PIAC y ventanilla única, reiteran mediante correos electrónicos a las áreas competentes, pendientes de emitir las respuestas a los peticionarios. Se adjunta un seguimiento a PQRSD hecho por Ventanilla Unica  y uno del PIAC Barcelona (anexo)
2- Los CPS de los PIAC y ventanilla única, controlan los tiempos de respuesta, a través de la matriz de registro de incidencias (FO-GDO-03). Se anexa como evidencia una matriz de registro de incidencias de PIAC Barcelona, mes de septiembre de 2024 (anexo)
3- La Oficina de Correspondencia y Archivo, consolida el informe trimestral de PQRSD, dirigido al público en general. Los informes de P.Q.R.S.D. se publican en el siguiente link:  https://drive.google.com/drive/folders/1WkC625CZOoVnDzyTEhO_wsZbRIzDajoh?usp=drive_link . El informe del primer trimestre de 2025 está en proceso de revisión por parte de Secretaría General.
4- La Oficina de Correspondencia y Archivo, envía el reporte de las dependencias que no han respondido oportunamente las PQRSD a la oficina de Control Interno de Gestión. Se envía correo del último reporte enviado a la Oficina de Control Interno (Anexo)
Acciones asociadas a tratamiento del riesgo:
1, En el mes de febrero de 2025 se emitió la Circular 01 de 2025,  por lo cual se han estabo realizarando visitas de asesoría, capacitación y seguimiento a las en las diferentes dependencias académico –  administrativas de la Universidad de los Llanos; con el fin de asegurar el cumplimiento de la Ley General de Archivos (Ley 594 de 2000), entre otros se tratarán temas como: marco normativo, organización de archivos tanto físicos como electrónicos, diligenciamiento de formatos (FUID - Formato Único de Inventario Documental, rótulos de carpetas y cajas), manejo de la correspondencia externa e interna y atención al ciudadano.  Adicionalmente se está gestionando la ejecución del Plan Institucional de Capacitación 2025, para avanzar en las temáticas de Gestión Documental y de Atención al Ciudadano y sensibilización pertinencia institucional. 
2, Se divulgaron piezas publicitarias con los Canales de Atención al Ciudadano, Socializando el derecho de los ciudadanos a interponer PQRSD y obtener respuesta oportuna, los cuales se han socializado en la página web y través de las redes institucionales. 
</v>
      </c>
      <c r="AC125" s="152" t="str">
        <f>IFERROR(__xludf.DUMMYFUNCTION("""COMPUTED_VALUE"""),"Oficina de Archivo")</f>
        <v>Oficina de Archivo</v>
      </c>
      <c r="AD125" s="153" t="str">
        <f>IFERROR(__xludf.DUMMYFUNCTION("""COMPUTED_VALUE"""),"Evidencia")</f>
        <v>Evidencia</v>
      </c>
      <c r="AE125" s="150" t="str">
        <f>IFERROR(__xludf.DUMMYFUNCTION("""COMPUTED_VALUE"""),"Si")</f>
        <v>Si</v>
      </c>
      <c r="AF125" s="150" t="str">
        <f>IFERROR(__xludf.DUMMYFUNCTION("""COMPUTED_VALUE"""),"En proceso")</f>
        <v>En proceso</v>
      </c>
      <c r="AG125" s="32" t="str">
        <f>IFERROR(__xludf.DUMMYFUNCTION("""COMPUTED_VALUE"""),"Durante el primer periodo de monitoreo, la dependencia informa que no se materializó el riesgo identificado, lo cual es un resultado positivo dentro del proceso de gestión institucional del riesgo.
En cuanto a las acciones asociadas a los controles, se e"&amp;"videncia que se encuentran en ejecución y respaldadas con evidencia documental. Se reporta la realización de seguimientos a las solicitudes ciudadanas (PQRSD) por parte de los CPS de PIAC y Ventanilla Única mediante el envío de correos electrónicos a las "&amp;"áreas responsables, así como el control de los tiempos de respuesta a través de la matriz de incidencias FO-GDO-03. Adicionalmente, se informa que la Oficina de Correspondencia y Archivo ha consolidado el informe trimestral de PQRSD correspondiente al pri"&amp;"mer trimestre de 2025, actualmente en proceso de revisión por Secretaría General, y que se continúa enviando el reporte de dependencias con incumplimientos a la Oficina de Control Interno de Gestión. Estas acciones evidencian que los controles definidos s"&amp;"e están implementando conforme a lo planeado, con mecanismos de seguimiento y retroalimentación activa.
Respecto a las acciones asociadas al tratamiento del riesgo, se reporta el inicio de actividades desde el mes de febrero de 2025, con la emisión de la"&amp;" Circular 01 y la ejecución de visitas de asesoría y capacitación a las dependencias académico-administrativas, en temas relacionados con atención al ciudadano, archivo y normativa aplicable. Asimismo, se informa que ya se realizó la divulgación de los ca"&amp;"nales de atención al ciudadano, a través de la página web institucional y redes sociales, cumpliendo con lo establecido en la matriz. Estas acciones demuestran un avance oportuno y pertinente del tratamiento del riesgo, que contribuye a su mitigación.
En"&amp;" general, se evidencia una gestión adecuada del riesgo, con acciones preventivas, de seguimiento y de fortalecimiento institucional que respaldan el cumplimiento del plan de tratamiento y control.")</f>
        <v>Durante el primer periodo de monitoreo, la dependencia informa que no se materializó el riesgo identificado, lo cual es un resultado positivo dentro del proceso de gestión institucional del riesgo.
En cuanto a las acciones asociadas a los controles, se evidencia que se encuentran en ejecución y respaldadas con evidencia documental. Se reporta la realización de seguimientos a las solicitudes ciudadanas (PQRSD) por parte de los CPS de PIAC y Ventanilla Única mediante el envío de correos electrónicos a las áreas responsables, así como el control de los tiempos de respuesta a través de la matriz de incidencias FO-GDO-03. Adicionalmente, se informa que la Oficina de Correspondencia y Archivo ha consolidado el informe trimestral de PQRSD correspondiente al primer trimestre de 2025, actualmente en proceso de revisión por Secretaría General, y que se continúa enviando el reporte de dependencias con incumplimientos a la Oficina de Control Interno de Gestión. Estas acciones evidencian que los controles definidos se están implementando conforme a lo planeado, con mecanismos de seguimiento y retroalimentación activa.
Respecto a las acciones asociadas al tratamiento del riesgo, se reporta el inicio de actividades desde el mes de febrero de 2025, con la emisión de la Circular 01 y la ejecución de visitas de asesoría y capacitación a las dependencias académico-administrativas, en temas relacionados con atención al ciudadano, archivo y normativa aplicable. Asimismo, se informa que ya se realizó la divulgación de los canales de atención al ciudadano, a través de la página web institucional y redes sociales, cumpliendo con lo establecido en la matriz. Estas acciones demuestran un avance oportuno y pertinente del tratamiento del riesgo, que contribuye a su mitigación.
En general, se evidencia una gestión adecuada del riesgo, con acciones preventivas, de seguimiento y de fortalecimiento institucional que respaldan el cumplimiento del plan de tratamiento y control.</v>
      </c>
      <c r="AH125" s="150" t="str">
        <f>IFERROR(__xludf.DUMMYFUNCTION("""COMPUTED_VALUE"""),"30 de abril")</f>
        <v>30 de abril</v>
      </c>
      <c r="AI125" s="32" t="str">
        <f>IFERROR(__xludf.DUMMYFUNCTION("""COMPUTED_VALUE"""),"Si")</f>
        <v>Si</v>
      </c>
      <c r="AJ125" s="32" t="str">
        <f>IFERROR(__xludf.DUMMYFUNCTION("""COMPUTED_VALUE"""),"Si")</f>
        <v>Si</v>
      </c>
      <c r="AK125" s="32" t="str">
        <f>IFERROR(__xludf.DUMMYFUNCTION("""COMPUTED_VALUE"""),"Si")</f>
        <v>Si</v>
      </c>
      <c r="AL125" s="32" t="str">
        <f>IFERROR(__xludf.DUMMYFUNCTION("""COMPUTED_VALUE"""),"Si")</f>
        <v>Si</v>
      </c>
      <c r="AM125" s="32" t="str">
        <f>IFERROR(__xludf.DUMMYFUNCTION("""COMPUTED_VALUE"""),"Si")</f>
        <v>Si</v>
      </c>
      <c r="AN125" s="32" t="str">
        <f>IFERROR(__xludf.DUMMYFUNCTION("""COMPUTED_VALUE"""),"Si")</f>
        <v>Si</v>
      </c>
      <c r="AO125" s="32" t="str">
        <f>IFERROR(__xludf.DUMMYFUNCTION("""COMPUTED_VALUE"""),"Si")</f>
        <v>Si</v>
      </c>
      <c r="AP125" s="32" t="str">
        <f>IFERROR(__xludf.DUMMYFUNCTION("""COMPUTED_VALUE"""),"No aplica")</f>
        <v>No aplica</v>
      </c>
      <c r="AQ125" s="32" t="str">
        <f>IFERROR(__xludf.DUMMYFUNCTION("""COMPUTED_VALUE"""),"No aplica")</f>
        <v>No aplica</v>
      </c>
      <c r="AR125" s="32" t="str">
        <f>IFERROR(__xludf.DUMMYFUNCTION("""COMPUTED_VALUE"""),"No aplica")</f>
        <v>No aplica</v>
      </c>
      <c r="AS125" s="150" t="str">
        <f>IFERROR(__xludf.DUMMYFUNCTION("""COMPUTED_VALUE"""),"Recomendaciones:
Fortalecer la descripción del riesgo, considerando la metodología de la Guía para la Administración del Riesgo y el diseño de controles en entidades públicas Versión 6, que propone los elementos para la descripción del riesgo, como son: 
"&amp;"Impacto: las consecuencias que puede ocasionar a la organización la materialización del riesgo.
Causa inmediata: circunstancias o situaciones más evidentes sobre las cuales se presenta el riesgo, las mismas no constituyen la causa principal o base para qu"&amp;"e se presente el riesgo.
Causa raíz: es la causa principal o básica, corresponden a las razones por la cuales se puede presentar el riesgo, son la base para la definición de controles en la etapa de valoración del riesgo. Se debe tener en cuenta que para "&amp;"un mismo riesgo pueden existir más de una causa o subcausas que pueden ser analizadas.
*Fortalecer la descripción de los controles conforme a la metodología propuesta en la Guía para la Administración del Riesgo y el diseño de controles en entidades públ"&amp;"icas Versión 6, que propone los elementos que debe contemplar el diseño del control, como son: 
Responsable de ejecutar el control: identifica el cargo del servidor que ejecuta el control, en caso de que sean controles automáticos se identificará el siste"&amp;"ma que realiza la actividad. 
Acción: se determina mediante verbos que indican la acción que deben realizar como parte del control. 
Complemento: corresponde a los detalles que permiten identificar claramente el objeto del control.
*Fortalecer la prioriz"&amp;"aciòn de las causas. Para el presente caso todas las causas fueron calificadas con un puntaje de 3, quedando sin establecer la causa raiz.")</f>
        <v>Recomendaciones:
Fortalecer la descripción del riesgo, considerando la metodología de la Guía para la Administración del Riesgo y el diseño de controles en entidades públicas Versión 6, que propone los elementos para la descripción del riesgo, como son: 
Impacto: las consecuencias que puede ocasionar a la organización la materialización del riesgo.
Causa inmediata: circunstancias o situaciones más evidentes sobre las cuales se presenta el riesgo, las mismas no constituyen la causa principal o base para que se presente el riesgo.
Causa raíz: es la causa principal o básica, corresponden a las razones por la cuales se puede presentar el riesgo, son la base para la definición de controles en la etapa de valoración del riesgo. Se debe tener en cuenta que para un mismo riesgo pueden existir más de una causa o subcausas que pueden ser analizadas.
*Fortalecer la descripción de los controles conforme a la metodología propuesta en la Guía para la Administración del Riesgo y el diseño de controles en entidades públicas Versión 6, que propone los elementos que debe contemplar el diseño del control, como son: 
Responsable de ejecutar el control: identifica el cargo del servidor que ejecuta el control, en caso de que sean controles automáticos se identificará el sistema que realiza la actividad. 
Acción: se determina mediante verbos que indican la acción que deben realizar como parte del control. 
Complemento: corresponde a los detalles que permiten identificar claramente el objeto del control.
*Fortalecer la priorizaciòn de las causas. Para el presente caso todas las causas fueron calificadas con un puntaje de 3, quedando sin establecer la causa raiz.</v>
      </c>
      <c r="AT125" s="139"/>
    </row>
    <row r="126">
      <c r="A126" s="86"/>
      <c r="B126" s="73"/>
      <c r="C126" s="73"/>
      <c r="D126" s="156"/>
      <c r="E126" s="156"/>
      <c r="F126" s="156"/>
      <c r="G126" s="156"/>
      <c r="H126" s="156"/>
      <c r="I126" s="156"/>
      <c r="J126" s="156"/>
      <c r="K126" s="156"/>
      <c r="L126" s="156"/>
      <c r="M126" s="156"/>
      <c r="N126" s="156"/>
      <c r="O126" s="156"/>
      <c r="P126" s="156"/>
      <c r="Q126" s="157"/>
      <c r="R126" s="158" t="str">
        <f>IFERROR(__xludf.DUMMYFUNCTION("""COMPUTED_VALUE"""),"Realizar divulgación de los canales de atención al ciudadano")</f>
        <v>Realizar divulgación de los canales de atención al ciudadano</v>
      </c>
      <c r="S126" s="159">
        <f>IFERROR(__xludf.DUMMYFUNCTION("""COMPUTED_VALUE"""),45838.0)</f>
        <v>45838</v>
      </c>
      <c r="T126" s="170" t="str">
        <f>IFERROR(__xludf.DUMMYFUNCTION("""COMPUTED_VALUE"""),"Jefe de la Oficina de Correspondencia y Archivo")</f>
        <v>Jefe de la Oficina de Correspondencia y Archivo</v>
      </c>
      <c r="U126" s="170" t="str">
        <f>IFERROR(__xludf.DUMMYFUNCTION("""COMPUTED_VALUE"""),"Piezas publicitarias divulgadas")</f>
        <v>Piezas publicitarias divulgadas</v>
      </c>
      <c r="V126" s="94"/>
      <c r="W126" s="94"/>
      <c r="X126" s="94"/>
      <c r="Y126" s="94"/>
      <c r="Z126" s="150" t="str">
        <f>IFERROR(__xludf.DUMMYFUNCTION("""COMPUTED_VALUE"""),"30 de agosto")</f>
        <v>30 de agosto</v>
      </c>
      <c r="AA126" s="151">
        <f>IFERROR(__xludf.DUMMYFUNCTION("""COMPUTED_VALUE"""),45899.0)</f>
        <v>45899</v>
      </c>
      <c r="AB126" s="150" t="str">
        <f>IFERROR(__xludf.DUMMYFUNCTION("""COMPUTED_VALUE"""),"Durante este segundo monitoreo NO se materializó el riesgo. 
Acciones asociadas a los controles:
1- Los CPS de los PIAC y ventanilla única, reiteran mediante correos electrónicos a las áreas competentes, pendientes de emitir las respuestas a los peticio"&amp;"narios. Se adjunta edidencia de seguimiento a PQRSD.
2- Los CPS de los PIAC y ventanilla única, controlan los tiempos de respuesta, a través de la matriz de registro de incidencias (FO-GDO-03). Se anexa como evidencia una matriz de registro de incidencias"&amp;" de PIAC Barcelona, mes de septiembre de 2024 (anexo)
3- La Oficina de Correspondencia y Archivo, consolida el informe trimestral de PQRSD, dirigido al público en general. Los informes de P.Q.R.S.D. se publican en el siguiente link:  https://drive.google."&amp;"com/drive/folders/1WkC625CZOoVnDzyTEhO_wsZbRIzDajoh?usp=drive_link .
4- La Oficina de Correspondencia y Archivo, envía el reporte de las dependencias que no han respondido oportunamente las PQRSD a la oficina de Control Interno de Gestión. Se envía correo"&amp;" del último reporte enviado a la Oficina de Control Interno
Acciones asociadas a tratamiento del riesgo:
1, En atención a la Circular 01 de 2025,  se ha continuado realizarando visitas de asesoría, capacitación y seguimiento a las en las diferentes "&amp;"dependencias académico –  administrativas de la Universidad de los Llanos; con el fin de asegurar el cumplimiento de la Ley General de Archivos (Ley 594 de 2000), entre otros se tratarán temas como: marco normativo, organización de archivos tanto físicos "&amp;"como electrónicos, diligenciamiento de formatos (FUID - Formato Único de Inventario Documental, rótulos de carpetas y cajas), manejo de la correspondencia externa e interna y atención al ciudadano.  Adicionalmente se está gestionando la ejecución del Plan"&amp;" Institucional de Capacitación 2025, para avanzar en las temáticas de Gestión Documental y de Atención al Ciudadano y sensibilización pertinencia institucional. 
2, Se divulgaron piezas publicitarias con los Canales de Atención al Ciudadano, Socializando "&amp;"el derecho de los ciudadanos a interponer PQRSD y obtener respuesta oportuna, los cuales se han socializado en la página web y través de las redes institucionales. ")</f>
        <v>Durante este segundo monitoreo NO se materializó el riesgo. 
Acciones asociadas a los controles:
1- Los CPS de los PIAC y ventanilla única, reiteran mediante correos electrónicos a las áreas competentes, pendientes de emitir las respuestas a los peticionarios. Se adjunta edidencia de seguimiento a PQRSD.
2- Los CPS de los PIAC y ventanilla única, controlan los tiempos de respuesta, a través de la matriz de registro de incidencias (FO-GDO-03). Se anexa como evidencia una matriz de registro de incidencias de PIAC Barcelona, mes de septiembre de 2024 (anexo)
3- La Oficina de Correspondencia y Archivo, consolida el informe trimestral de PQRSD, dirigido al público en general. Los informes de P.Q.R.S.D. se publican en el siguiente link:  https://drive.google.com/drive/folders/1WkC625CZOoVnDzyTEhO_wsZbRIzDajoh?usp=drive_link .
4- La Oficina de Correspondencia y Archivo, envía el reporte de las dependencias que no han respondido oportunamente las PQRSD a la oficina de Control Interno de Gestión. Se envía correo del último reporte enviado a la Oficina de Control Interno
Acciones asociadas a tratamiento del riesgo:
1, En atención a la Circular 01 de 2025,  se ha continuado realizarando visitas de asesoría, capacitación y seguimiento a las en las diferentes dependencias académico –  administrativas de la Universidad de los Llanos; con el fin de asegurar el cumplimiento de la Ley General de Archivos (Ley 594 de 2000), entre otros se tratarán temas como: marco normativo, organización de archivos tanto físicos como electrónicos, diligenciamiento de formatos (FUID - Formato Único de Inventario Documental, rótulos de carpetas y cajas), manejo de la correspondencia externa e interna y atención al ciudadano.  Adicionalmente se está gestionando la ejecución del Plan Institucional de Capacitación 2025, para avanzar en las temáticas de Gestión Documental y de Atención al Ciudadano y sensibilización pertinencia institucional. 
2, Se divulgaron piezas publicitarias con los Canales de Atención al Ciudadano, Socializando el derecho de los ciudadanos a interponer PQRSD y obtener respuesta oportuna, los cuales se han socializado en la página web y través de las redes institucionales. </v>
      </c>
      <c r="AC126" s="152" t="str">
        <f>IFERROR(__xludf.DUMMYFUNCTION("""COMPUTED_VALUE"""),"Oficina de Archivo")</f>
        <v>Oficina de Archivo</v>
      </c>
      <c r="AD126" s="153" t="str">
        <f>IFERROR(__xludf.DUMMYFUNCTION("""COMPUTED_VALUE"""),"Evidencia")</f>
        <v>Evidencia</v>
      </c>
      <c r="AE126" s="150" t="str">
        <f>IFERROR(__xludf.DUMMYFUNCTION("""COMPUTED_VALUE"""),"Si")</f>
        <v>Si</v>
      </c>
      <c r="AF126" s="152" t="str">
        <f>IFERROR(__xludf.DUMMYFUNCTION("""COMPUTED_VALUE"""),"En proceso")</f>
        <v>En proceso</v>
      </c>
      <c r="AG126" s="32" t="str">
        <f>IFERROR(__xludf.DUMMYFUNCTION("""COMPUTED_VALUE"""),"Durante este segundo monitoreo NO se materializó el riesgo.
Controles implementados:
C1: Los CPS de los PIAC y ventanilla única reiteran, mediante correos electrónicos, a las áreas competentes pendientes de emitir respuestas a los peticionarios. (Eviden"&amp;"cia: carpeta “Evidencia acciones de control”, 27/08/2025).
C2: Los CPS de los PIAC y ventanilla única controlan los tiempos de respuesta a través de la matriz de registro de incidencias (FO-GDO-03). (Evidencia: carpeta “Evidencia acciones de control”, 27/"&amp;"08/2025).
C3: La Oficina de Correspondencia y Archivo consolida el informe trimestral de PQRSD dirigido al público en general. (Evidencia: informes publicados en el Link Drive PQRSD
).
C4: La Oficina de Correspondencia y Archivo envía a la Oficina de Cont"&amp;"rol Interno de Gestión el reporte de dependencias que no han respondido oportunamente las PQRSD. (Evidencia: correos de reporte incluidos en carpeta “Evidencia acciones de control”).
Acciones de tratamiento:
En cumplimiento de la Circular 01 de 2025, se"&amp;" han adelantado visitas de asesoría, capacitación y seguimiento a las dependencias académico-administrativas de la Universidad, abordando:
marco normativo de gestión documental,
organización de archivos físicos y electrónicos,
diligenciamiento de FUID y "&amp;"rótulos de carpetas/cajas,
manejo de correspondencia,
atención al ciudadano.
(Evidencia: carpeta “Capacitaciones”, 26/08/2025).
Se divulgaron piezas publicitarias sobre los Canales de Atención al Ciudadano, socializando el derecho a interponer PQRSD y a "&amp;"obtener respuesta oportuna.
(Evidencia: carpeta “Actualización pág web”, 26/08/2025).")</f>
        <v>Durante este segundo monitoreo NO se materializó el riesgo.
Controles implementados:
C1: Los CPS de los PIAC y ventanilla única reiteran, mediante correos electrónicos, a las áreas competentes pendientes de emitir respuestas a los peticionarios. (Evidencia: carpeta “Evidencia acciones de control”, 27/08/2025).
C2: Los CPS de los PIAC y ventanilla única controlan los tiempos de respuesta a través de la matriz de registro de incidencias (FO-GDO-03). (Evidencia: carpeta “Evidencia acciones de control”, 27/08/2025).
C3: La Oficina de Correspondencia y Archivo consolida el informe trimestral de PQRSD dirigido al público en general. (Evidencia: informes publicados en el Link Drive PQRSD
).
C4: La Oficina de Correspondencia y Archivo envía a la Oficina de Control Interno de Gestión el reporte de dependencias que no han respondido oportunamente las PQRSD. (Evidencia: correos de reporte incluidos en carpeta “Evidencia acciones de control”).
Acciones de tratamiento:
En cumplimiento de la Circular 01 de 2025, se han adelantado visitas de asesoría, capacitación y seguimiento a las dependencias académico-administrativas de la Universidad, abordando:
marco normativo de gestión documental,
organización de archivos físicos y electrónicos,
diligenciamiento de FUID y rótulos de carpetas/cajas,
manejo de correspondencia,
atención al ciudadano.
(Evidencia: carpeta “Capacitaciones”, 26/08/2025).
Se divulgaron piezas publicitarias sobre los Canales de Atención al Ciudadano, socializando el derecho a interponer PQRSD y a obtener respuesta oportuna.
(Evidencia: carpeta “Actualización pág web”, 26/08/2025).</v>
      </c>
      <c r="AH126" s="150" t="str">
        <f>IFERROR(__xludf.DUMMYFUNCTION("""COMPUTED_VALUE"""),"31 de agosto")</f>
        <v>31 de agosto</v>
      </c>
      <c r="AI126" s="32" t="str">
        <f>IFERROR(__xludf.DUMMYFUNCTION("""COMPUTED_VALUE"""),"Si")</f>
        <v>Si</v>
      </c>
      <c r="AJ126" s="32" t="str">
        <f>IFERROR(__xludf.DUMMYFUNCTION("""COMPUTED_VALUE"""),"Si")</f>
        <v>Si</v>
      </c>
      <c r="AK126" s="32" t="str">
        <f>IFERROR(__xludf.DUMMYFUNCTION("""COMPUTED_VALUE"""),"Si")</f>
        <v>Si</v>
      </c>
      <c r="AL126" s="32" t="str">
        <f>IFERROR(__xludf.DUMMYFUNCTION("""COMPUTED_VALUE"""),"Si")</f>
        <v>Si</v>
      </c>
      <c r="AM126" s="32" t="str">
        <f>IFERROR(__xludf.DUMMYFUNCTION("""COMPUTED_VALUE"""),"Si")</f>
        <v>Si</v>
      </c>
      <c r="AN126" s="32" t="str">
        <f>IFERROR(__xludf.DUMMYFUNCTION("""COMPUTED_VALUE"""),"Si")</f>
        <v>Si</v>
      </c>
      <c r="AO126" s="32" t="str">
        <f>IFERROR(__xludf.DUMMYFUNCTION("""COMPUTED_VALUE"""),"Si")</f>
        <v>Si</v>
      </c>
      <c r="AP126" s="32" t="str">
        <f>IFERROR(__xludf.DUMMYFUNCTION("""COMPUTED_VALUE"""),"No aplica")</f>
        <v>No aplica</v>
      </c>
      <c r="AQ126" s="32" t="str">
        <f>IFERROR(__xludf.DUMMYFUNCTION("""COMPUTED_VALUE"""),"No aplica")</f>
        <v>No aplica</v>
      </c>
      <c r="AR126" s="32" t="str">
        <f>IFERROR(__xludf.DUMMYFUNCTION("""COMPUTED_VALUE"""),"No aplica")</f>
        <v>No aplica</v>
      </c>
      <c r="AS126" s="150" t="str">
        <f>IFERROR(__xludf.DUMMYFUNCTION("""COMPUTED_VALUE"""),"Se reiteran recomendaciones generadas en la evaluación del primer cuatrimestre:
Fortalecer la descripción del riesgo, considerando la metodología de la Guía para la Administración del Riesgo y el diseño de controles en entidades públicas Versión 6, que pr"&amp;"opone los elementos para la descripción del riesgo, como son: 
Impacto: las consecuencias que puede ocasionar a la organización la materialización del riesgo.
Causa inmediata: circunstancias o situaciones más evidentes sobre las cuales se presenta el ries"&amp;"go, las mismas no constituyen la causa principal o base para que se presente el riesgo.
Causa raíz: es la causa principal o básica, corresponden a las razones por la cuales se puede presentar el riesgo, son la base para la definición de controles en la et"&amp;"apa de valoración del riesgo. Se debe tener en cuenta que para un mismo riesgo pueden existir más de una causa o subcausas que pueden ser analizadas.
*Fortalecer la descripción de los controles conforme a la metodología propuesta en la Guía para la Admin"&amp;"istración del Riesgo y el diseño de controles en entidades públicas Versión 6, que propone los elementos que debe contemplar el diseño del control, como son: 
Responsable de ejecutar el control: identifica el cargo del servidor que ejecuta el control, en "&amp;"caso de que sean controles automáticos se identificará el sistema que realiza la actividad. 
Acción: se determina mediante verbos que indican la acción que deben realizar como parte del control. 
Complemento: corresponde a los detalles que permiten identi"&amp;"ficar claramente el objeto del control.
*Fortalecer la priorizaciòn de las causas. Para el presente caso todas las causas fueron calificadas con un puntaje de 3, quedando sin establecer la causa raiz.")</f>
        <v>Se reiteran recomendaciones generadas en la evaluación del primer cuatrimestre:
Fortalecer la descripción del riesgo, considerando la metodología de la Guía para la Administración del Riesgo y el diseño de controles en entidades públicas Versión 6, que propone los elementos para la descripción del riesgo, como son: 
Impacto: las consecuencias que puede ocasionar a la organización la materialización del riesgo.
Causa inmediata: circunstancias o situaciones más evidentes sobre las cuales se presenta el riesgo, las mismas no constituyen la causa principal o base para que se presente el riesgo.
Causa raíz: es la causa principal o básica, corresponden a las razones por la cuales se puede presentar el riesgo, son la base para la definición de controles en la etapa de valoración del riesgo. Se debe tener en cuenta que para un mismo riesgo pueden existir más de una causa o subcausas que pueden ser analizadas.
*Fortalecer la descripción de los controles conforme a la metodología propuesta en la Guía para la Administración del Riesgo y el diseño de controles en entidades públicas Versión 6, que propone los elementos que debe contemplar el diseño del control, como son: 
Responsable de ejecutar el control: identifica el cargo del servidor que ejecuta el control, en caso de que sean controles automáticos se identificará el sistema que realiza la actividad. 
Acción: se determina mediante verbos que indican la acción que deben realizar como parte del control. 
Complemento: corresponde a los detalles que permiten identificar claramente el objeto del control.
*Fortalecer la priorizaciòn de las causas. Para el presente caso todas las causas fueron calificadas con un puntaje de 3, quedando sin establecer la causa raiz.</v>
      </c>
      <c r="AT126" s="139"/>
    </row>
    <row r="127">
      <c r="A127" s="86"/>
      <c r="B127" s="38"/>
      <c r="C127" s="38"/>
      <c r="D127" s="119"/>
      <c r="E127" s="119"/>
      <c r="F127" s="119"/>
      <c r="G127" s="119"/>
      <c r="H127" s="119"/>
      <c r="I127" s="119"/>
      <c r="J127" s="119"/>
      <c r="K127" s="119"/>
      <c r="L127" s="119"/>
      <c r="M127" s="119"/>
      <c r="N127" s="119"/>
      <c r="O127" s="119"/>
      <c r="P127" s="119"/>
      <c r="Q127" s="162"/>
      <c r="R127" s="163" t="str">
        <f>IFERROR(__xludf.DUMMYFUNCTION("""COMPUTED_VALUE"""),"")</f>
        <v/>
      </c>
      <c r="S127" s="164" t="str">
        <f>IFERROR(__xludf.DUMMYFUNCTION("""COMPUTED_VALUE"""),"")</f>
        <v/>
      </c>
      <c r="T127" s="176"/>
      <c r="U127" s="176"/>
      <c r="V127" s="98"/>
      <c r="W127" s="98"/>
      <c r="X127" s="98"/>
      <c r="Y127" s="98"/>
      <c r="Z127" s="150" t="str">
        <f>IFERROR(__xludf.DUMMYFUNCTION("""COMPUTED_VALUE"""),"30 de diciembre")</f>
        <v>30 de diciembre</v>
      </c>
      <c r="AA127" s="151">
        <f>IFERROR(__xludf.DUMMYFUNCTION("""COMPUTED_VALUE"""),45992.0)</f>
        <v>45992</v>
      </c>
      <c r="AB127" s="182" t="str">
        <f>IFERROR(__xludf.DUMMYFUNCTION("""COMPUTED_VALUE"""),"Durante este monitoreo NO se materializó el riesgo. 
Acciones asociadas a los controles:
1- Los CPS de los PIAC y ventanilla única, reiteran mediante correos electrónicos a las áreas competentes, pendientes de emitir las respuestas a los peticionarios. "&amp;"Se adjunta evidencia de seguimiento a PQRSD..
2. Los CPS de los PIAC y ventanilla única, controlan los tiempos de respuesta, a través de la matriz de registro de incidencias (FO-GDO-03). Se anexa como evidencia una matriz de registro de incidencias de PIA"&amp;"C San Antonio, mes de octubre de 2025 (Anexo)
3- La Oficina de Correspondencia y Archivo, consolida el informe trimestral de PQRSD, dirigido al público en general. Los informes de P.Q.R.S.D. se publican en el siguiente link: https://www.unillanos.edu.co/i"&amp;"ndex.php/documentacion/informes-peticiones-quejas-y-reclamos/2025-14
4- La Oficina de Correspondencia y Archivo, envía el reporte de las dependencias que no han respondido oportunamente las PQRSD a la oficina de Control Interno de Gestión. Se envía correo"&amp;" del último reporte enviado a la Oficina de Control Interno
Acciones asociadas a tratamiento del riesgo:
1, En atención a la Circular 01 de 2025,  se ha continuado realizarando visitas de asesoría, capacitación y seguimiento a las en las diferentes "&amp;"dependencias académico –  administrativas de la Universidad de los Llanos; con el fin de asegurar el cumplimiento de la Ley General de Archivos (Ley 594 de 2000), entre otros se tratan temas como: marco normativo, organización de archivos tanto físicos co"&amp;"mo electrónicos, diligenciamiento de formatos (FUID - Formato Único de Inventario Documental, rótulos de carpetas y cajas), manejo de la correspondencia externa e interna y atención al ciudadano,.  (Se anexan algunas Actas de Seguimiento y Corrección a fa"&amp;"lencias encontradas.
2, Se emitió la Circular de 03  de 2025 para organizar los archivos y adelantar procesos de Eliminación Documental, con el fin descongestionar las áreas y espacios destinados al archivo en las distintas dependencias académicas y admin"&amp;"istrativas para la correcta aplicación de la Tabla de Retención Documental. Se anexa: Circular, Inventarios y solicitudes de eliminación recibidas 2025
3, Se recibió Transferencia Documental del Programa Lic. Producción Agropecuaria y División de Servicio"&amp;"s Administraticos (En atención a su solicitud y a la capacidad del Archivo Central) (Anexo Evidencias)
4, Se ejecutó del Plan Institucional de Capacitación 2025, para avanzar en las temáticas de Gestión Documental, Atención al Ciudadano y Sensibilización "&amp;"pertinencia institucional. (Anexo evidencias)
5. Se divulgaron piezas publicitarias con los Canales de Atención al Ciudadano, Socializando el derecho de los ciudadanos a interponer PQRSD y obtener respuesta oportuna, A través de la página web, el Unillani"&amp;"sta y través de las redes institucionales. (Se anexan evidencias)")</f>
        <v>Durante este monitoreo NO se materializó el riesgo. 
Acciones asociadas a los controles:
1- Los CPS de los PIAC y ventanilla única, reiteran mediante correos electrónicos a las áreas competentes, pendientes de emitir las respuestas a los peticionarios. Se adjunta evidencia de seguimiento a PQRSD..
2. Los CPS de los PIAC y ventanilla única, controlan los tiempos de respuesta, a través de la matriz de registro de incidencias (FO-GDO-03). Se anexa como evidencia una matriz de registro de incidencias de PIAC San Antonio, mes de octubre de 2025 (Anexo)
3- La Oficina de Correspondencia y Archivo, consolida el informe trimestral de PQRSD, dirigido al público en general. Los informes de P.Q.R.S.D. se publican en el siguiente link: https://www.unillanos.edu.co/index.php/documentacion/informes-peticiones-quejas-y-reclamos/2025-14
4- La Oficina de Correspondencia y Archivo, envía el reporte de las dependencias que no han respondido oportunamente las PQRSD a la oficina de Control Interno de Gestión. Se envía correo del último reporte enviado a la Oficina de Control Interno
Acciones asociadas a tratamiento del riesgo:
1, En atención a la Circular 01 de 2025,  se ha continuado realizarando visitas de asesoría, capacitación y seguimiento a las en las diferentes dependencias académico –  administrativas de la Universidad de los Llanos; con el fin de asegurar el cumplimiento de la Ley General de Archivos (Ley 594 de 2000), entre otros se tratan temas como: marco normativo, organización de archivos tanto físicos como electrónicos, diligenciamiento de formatos (FUID - Formato Único de Inventario Documental, rótulos de carpetas y cajas), manejo de la correspondencia externa e interna y atención al ciudadano,.  (Se anexan algunas Actas de Seguimiento y Corrección a falencias encontradas.
2, Se emitió la Circular de 03  de 2025 para organizar los archivos y adelantar procesos de Eliminación Documental, con el fin descongestionar las áreas y espacios destinados al archivo en las distintas dependencias académicas y administrativas para la correcta aplicación de la Tabla de Retención Documental. Se anexa: Circular, Inventarios y solicitudes de eliminación recibidas 2025
3, Se recibió Transferencia Documental del Programa Lic. Producción Agropecuaria y División de Servicios Administraticos (En atención a su solicitud y a la capacidad del Archivo Central) (Anexo Evidencias)
4, Se ejecutó del Plan Institucional de Capacitación 2025, para avanzar en las temáticas de Gestión Documental, Atención al Ciudadano y Sensibilización pertinencia institucional. (Anexo evidencias)
5. Se divulgaron piezas publicitarias con los Canales de Atención al Ciudadano, Socializando el derecho de los ciudadanos a interponer PQRSD y obtener respuesta oportuna, A través de la página web, el Unillanista y través de las redes institucionales. (Se anexan evidencias)</v>
      </c>
      <c r="AC127" s="152" t="str">
        <f>IFERROR(__xludf.DUMMYFUNCTION("""COMPUTED_VALUE"""),"Oficina de Archivo")</f>
        <v>Oficina de Archivo</v>
      </c>
      <c r="AD127" s="153" t="str">
        <f>IFERROR(__xludf.DUMMYFUNCTION("""COMPUTED_VALUE"""),"Evidencia")</f>
        <v>Evidencia</v>
      </c>
      <c r="AE127" s="150" t="str">
        <f>IFERROR(__xludf.DUMMYFUNCTION("""COMPUTED_VALUE"""),"Si")</f>
        <v>Si</v>
      </c>
      <c r="AF127" s="152" t="str">
        <f>IFERROR(__xludf.DUMMYFUNCTION("""COMPUTED_VALUE"""),"Ejecutada")</f>
        <v>Ejecutada</v>
      </c>
      <c r="AG127" s="32" t="str">
        <f>IFERROR(__xludf.DUMMYFUNCTION("""COMPUTED_VALUE"""),"-Durante este monitoreo NO se materializó el riesgo.
Se evidenció la aplicación constante de los controles establecidos para garantizar la gestión oportuna de las PQRSD y el cumplimiento de las disposiciones en materia de atención al ciudadano y gestión d"&amp;"ocumental.                                                                                                                                                                                                                                                -Se r"&amp;"ealizaron recordatorios a las dependencias responsables sobre los pendientes de respuesta a los peticionarios, efectuando seguimiento mediante los canales institucionales.
Se verificó el control de tiempos de respuesta a través de la matriz de incidencia"&amp;"s FO-GDO-03.
Se consolidó y publicó el informe trimestral de PQRSD en el portal institucional, asegurando transparencia en la gestión.
Se remitió a la Oficina de Control Interno el reporte de dependencias con respuestas fuera del tiempo establecido.    "&amp;"                                                                                                                    -Se recomienda continuar fortaleciendo la articulación con las dependencias para promover respuestas dentro de los tiempos establecidos y c"&amp;"onsolidar de manera centralizada la información derivada de las visitas, transferencias y procesos de eliminación documental, con el fin de facilitar la trazabilidad y el seguimiento institucional.")</f>
        <v>-Durante este monitoreo NO se materializó el riesgo.
Se evidenció la aplicación constante de los controles establecidos para garantizar la gestión oportuna de las PQRSD y el cumplimiento de las disposiciones en materia de atención al ciudadano y gestión documental.                                                                                                                                                                                                                                                -Se realizaron recordatorios a las dependencias responsables sobre los pendientes de respuesta a los peticionarios, efectuando seguimiento mediante los canales institucionales.
Se verificó el control de tiempos de respuesta a través de la matriz de incidencias FO-GDO-03.
Se consolidó y publicó el informe trimestral de PQRSD en el portal institucional, asegurando transparencia en la gestión.
Se remitió a la Oficina de Control Interno el reporte de dependencias con respuestas fuera del tiempo establecido.                                                                                                                        -Se recomienda continuar fortaleciendo la articulación con las dependencias para promover respuestas dentro de los tiempos establecidos y consolidar de manera centralizada la información derivada de las visitas, transferencias y procesos de eliminación documental, con el fin de facilitar la trazabilidad y el seguimiento institucional.</v>
      </c>
      <c r="AH127" s="150" t="str">
        <f>IFERROR(__xludf.DUMMYFUNCTION("""COMPUTED_VALUE"""),"31 de diciembre")</f>
        <v>31 de diciembre</v>
      </c>
      <c r="AI127" s="32" t="str">
        <f>IFERROR(__xludf.DUMMYFUNCTION("""COMPUTED_VALUE"""),"Si")</f>
        <v>Si</v>
      </c>
      <c r="AJ127" s="32" t="str">
        <f>IFERROR(__xludf.DUMMYFUNCTION("""COMPUTED_VALUE"""),"Si")</f>
        <v>Si</v>
      </c>
      <c r="AK127" s="32" t="str">
        <f>IFERROR(__xludf.DUMMYFUNCTION("""COMPUTED_VALUE"""),"Si")</f>
        <v>Si</v>
      </c>
      <c r="AL127" s="32" t="str">
        <f>IFERROR(__xludf.DUMMYFUNCTION("""COMPUTED_VALUE"""),"Si")</f>
        <v>Si</v>
      </c>
      <c r="AM127" s="32" t="str">
        <f>IFERROR(__xludf.DUMMYFUNCTION("""COMPUTED_VALUE"""),"Si")</f>
        <v>Si</v>
      </c>
      <c r="AN127" s="32" t="str">
        <f>IFERROR(__xludf.DUMMYFUNCTION("""COMPUTED_VALUE"""),"Si")</f>
        <v>Si</v>
      </c>
      <c r="AO127" s="32" t="str">
        <f>IFERROR(__xludf.DUMMYFUNCTION("""COMPUTED_VALUE"""),"Si")</f>
        <v>Si</v>
      </c>
      <c r="AP127" s="32" t="str">
        <f>IFERROR(__xludf.DUMMYFUNCTION("""COMPUTED_VALUE"""),"No aplica")</f>
        <v>No aplica</v>
      </c>
      <c r="AQ127" s="32" t="str">
        <f>IFERROR(__xludf.DUMMYFUNCTION("""COMPUTED_VALUE"""),"No aplica")</f>
        <v>No aplica</v>
      </c>
      <c r="AR127" s="32" t="str">
        <f>IFERROR(__xludf.DUMMYFUNCTION("""COMPUTED_VALUE"""),"No aplica")</f>
        <v>No aplica</v>
      </c>
      <c r="AS127" s="150" t="str">
        <f>IFERROR(__xludf.DUMMYFUNCTION("""COMPUTED_VALUE"""),"Se reiteran recomendaciones generadas en la evaluación del primer y segundo cuatrimestre:
Fortalecer la descripción del riesgo, considerando la metodología de la Guía para la Administración del Riesgo y el diseño de controles en entidades públicas Versión"&amp;" 6, que propone los elementos para la descripción del riesgo, como son: 
Impacto: las consecuencias que puede ocasionar a la organización la materialización del riesgo.
Causa inmediata: circunstancias o situaciones más evidentes sobre las cuales se presen"&amp;"ta el riesgo, las mismas no constituyen la causa principal o base para que se presente el riesgo.
Causa raíz: es la causa principal o básica, corresponden a las razones por la cuales se puede presentar el riesgo, son la base para la definición de controle"&amp;"s en la etapa de valoración del riesgo. Se debe tener en cuenta que para un mismo riesgo pueden existir más de una causa o subcausas que pueden ser analizadas.
*Fortalecer la descripción de los controles conforme a la metodología propuesta en la Guía par"&amp;"a la Administración del Riesgo y el diseño de controles en entidades públicas Versión 6, que propone los elementos que debe contemplar el diseño del control, como son: 
Responsable de ejecutar el control: identifica el cargo del servidor que ejecuta el co"&amp;"ntrol, en caso de que sean controles automáticos se identificará el sistema que realiza la actividad. 
Acción: se determina mediante verbos que indican la acción que deben realizar como parte del control. 
Complemento: corresponde a los detalles que permi"&amp;"ten identificar claramente el objeto del control.
*Fortalecer la priorizaciòn de las causas. Para el presente caso todas las causas fueron calificadas con un puntaje de 3, quedando sin establecer la causa raiz.")</f>
        <v>Se reiteran recomendaciones generadas en la evaluación del primer y segundo cuatrimestre:
Fortalecer la descripción del riesgo, considerando la metodología de la Guía para la Administración del Riesgo y el diseño de controles en entidades públicas Versión 6, que propone los elementos para la descripción del riesgo, como son: 
Impacto: las consecuencias que puede ocasionar a la organización la materialización del riesgo.
Causa inmediata: circunstancias o situaciones más evidentes sobre las cuales se presenta el riesgo, las mismas no constituyen la causa principal o base para que se presente el riesgo.
Causa raíz: es la causa principal o básica, corresponden a las razones por la cuales se puede presentar el riesgo, son la base para la definición de controles en la etapa de valoración del riesgo. Se debe tener en cuenta que para un mismo riesgo pueden existir más de una causa o subcausas que pueden ser analizadas.
*Fortalecer la descripción de los controles conforme a la metodología propuesta en la Guía para la Administración del Riesgo y el diseño de controles en entidades públicas Versión 6, que propone los elementos que debe contemplar el diseño del control, como son: 
Responsable de ejecutar el control: identifica el cargo del servidor que ejecuta el control, en caso de que sean controles automáticos se identificará el sistema que realiza la actividad. 
Acción: se determina mediante verbos que indican la acción que deben realizar como parte del control. 
Complemento: corresponde a los detalles que permiten identificar claramente el objeto del control.
*Fortalecer la priorizaciòn de las causas. Para el presente caso todas las causas fueron calificadas con un puntaje de 3, quedando sin establecer la causa raiz.</v>
      </c>
      <c r="AT127" s="139"/>
    </row>
    <row r="128">
      <c r="A128" s="161"/>
      <c r="B128" s="140" t="s">
        <v>231</v>
      </c>
      <c r="C128" s="141" t="str">
        <f>IFERROR(__xludf.DUMMYFUNCTION("IMPORTRANGE(""https://docs.google.com/spreadsheets/d/1EzWO0so3Uu1AvVEQVrAxm96KoMpYDGgHklAPpGyFu1c/edit?gid=1571589515#gid=1571589515"",""Matriz_riesgos!C11:AS19"")"),"Fortalecer el proceso jurídico y normativo, mediante el acompañamiento y asesoría a las directivas de la Universidad de los Llanos, velando por la defensa de los intereses comunes en cumplimiento de los fines esenciales del Estado. ")</f>
        <v>Fortalecer el proceso jurídico y normativo, mediante el acompañamiento y asesoría a las directivas de la Universidad de los Llanos, velando por la defensa de los intereses comunes en cumplimiento de los fines esenciales del Estado. </v>
      </c>
      <c r="D128" s="206" t="str">
        <f>IFERROR(__xludf.DUMMYFUNCTION("""COMPUTED_VALUE"""),"Afectación reputacional por sanciones legales ocasionadas por la gestión inoportuna en la solución y trámite de las acciones constitucionales y judiciales administrativas debido a la remisión tardía delos documentos a la oficina Jurídica por parte de las "&amp;"dependencias.")</f>
        <v>Afectación reputacional por sanciones legales ocasionadas por la gestión inoportuna en la solución y trámite de las acciones constitucionales y judiciales administrativas debido a la remisión tardía delos documentos a la oficina Jurídica por parte de las dependencias.</v>
      </c>
      <c r="E128" s="206" t="str">
        <f>IFERROR(__xludf.DUMMYFUNCTION("""COMPUTED_VALUE"""),"Oficina jurídica")</f>
        <v>Oficina jurídica</v>
      </c>
      <c r="F128" s="206" t="str">
        <f>IFERROR(__xludf.DUMMYFUNCTION("""COMPUTED_VALUE"""),"Gestión")</f>
        <v>Gestión</v>
      </c>
      <c r="G128" s="206" t="str">
        <f>IFERROR(__xludf.DUMMYFUNCTION("""COMPUTED_VALUE"""),"
Remisión tardía delos documentos a la oficina de Jurídica por parte de otras dependencias.
")</f>
        <v>
Remisión tardía delos documentos a la oficina de Jurídica por parte de otras dependencias.
</v>
      </c>
      <c r="H128" s="206" t="str">
        <f>IFERROR(__xludf.DUMMYFUNCTION("""COMPUTED_VALUE"""),"1- Sanciones legales para la Universidad previstas en el Código General de Procesos por incumplimiento de lo ordenado por autoridad competente.
2- Fallos en contra de la Universidad por entenderse por ciertos los hechos de las acciones constitucionales, i"&amp;"nstauradas como consecuencia de la omisión o respuesta extemporanea de las mismas.")</f>
        <v>1- Sanciones legales para la Universidad previstas en el Código General de Procesos por incumplimiento de lo ordenado por autoridad competente.
2- Fallos en contra de la Universidad por entenderse por ciertos los hechos de las acciones constitucionales, instauradas como consecuencia de la omisión o respuesta extemporanea de las mismas.</v>
      </c>
      <c r="I128" s="206" t="str">
        <f>IFERROR(__xludf.DUMMYFUNCTION("""COMPUTED_VALUE"""),"JUR_01")</f>
        <v>JUR_01</v>
      </c>
      <c r="J128" s="206" t="str">
        <f>IFERROR(__xludf.DUMMYFUNCTION("""COMPUTED_VALUE"""),"Media")</f>
        <v>Media</v>
      </c>
      <c r="K128" s="206" t="str">
        <f>IFERROR(__xludf.DUMMYFUNCTION("""COMPUTED_VALUE"""),"Mayor")</f>
        <v>Mayor</v>
      </c>
      <c r="L128" s="206" t="str">
        <f>IFERROR(__xludf.DUMMYFUNCTION("""COMPUTED_VALUE"""),"Extrema")</f>
        <v>Extrema</v>
      </c>
      <c r="M128" s="206" t="str">
        <f>IFERROR(__xludf.DUMMYFUNCTION("""COMPUTED_VALUE"""),"- Los profesionales de apoyo de jurídica realizan a diario la verificación del estado de las las solicitudes o trámites en el correo electronico de la oficina jurídica que permite llevar un control de todos los requerimientos para darle trámite oportuno.
"&amp;"- El equipo jurídico realiza reuniones periodicas para verificar el cumplimiento de los términos procesales, distribucion de solicitudes y la socialización de los avances y asuntos de la oficina.
- Matrices de seguimiento a las acciones constitucionales y"&amp;" judiciales administrativas - Remisión de notificación a las diferentes dependencias de la Univesidad con la finalidad de dar respuesta dentro de los términos legales, a las acciones constitucionales y judiciales administrativas. ")</f>
        <v>- Los profesionales de apoyo de jurídica realizan a diario la verificación del estado de las las solicitudes o trámites en el correo electronico de la oficina jurídica que permite llevar un control de todos los requerimientos para darle trámite oportuno.
- El equipo jurídico realiza reuniones periodicas para verificar el cumplimiento de los términos procesales, distribucion de solicitudes y la socialización de los avances y asuntos de la oficina.
- Matrices de seguimiento a las acciones constitucionales y judiciales administrativas - Remisión de notificación a las diferentes dependencias de la Univesidad con la finalidad de dar respuesta dentro de los términos legales, a las acciones constitucionales y judiciales administrativas. </v>
      </c>
      <c r="N128" s="206" t="str">
        <f>IFERROR(__xludf.DUMMYFUNCTION("""COMPUTED_VALUE"""),"Muy baja")</f>
        <v>Muy baja</v>
      </c>
      <c r="O128" s="206" t="str">
        <f>IFERROR(__xludf.DUMMYFUNCTION("""COMPUTED_VALUE"""),"Mayor")</f>
        <v>Mayor</v>
      </c>
      <c r="P128" s="206" t="str">
        <f>IFERROR(__xludf.DUMMYFUNCTION("""COMPUTED_VALUE"""),"Alta")</f>
        <v>Alta</v>
      </c>
      <c r="Q128" s="207" t="str">
        <f>IFERROR(__xludf.DUMMYFUNCTION("""COMPUTED_VALUE"""),"Reducir")</f>
        <v>Reducir</v>
      </c>
      <c r="R128" s="158" t="str">
        <f>IFERROR(__xludf.DUMMYFUNCTION("""COMPUTED_VALUE"""),"Realizar capacitaciones orientadas a informar a la diferentes dependeicas de la Universidad en cuanto al cumplimiento de los términos en acciones constitucionales.")</f>
        <v>Realizar capacitaciones orientadas a informar a la diferentes dependeicas de la Universidad en cuanto al cumplimiento de los términos en acciones constitucionales.</v>
      </c>
      <c r="S128" s="159" t="str">
        <f>IFERROR(__xludf.DUMMYFUNCTION("""COMPUTED_VALUE"""),"semestral")</f>
        <v>semestral</v>
      </c>
      <c r="T128" s="159" t="str">
        <f>IFERROR(__xludf.DUMMYFUNCTION("""COMPUTED_VALUE"""),"Asesora de Jurídica")</f>
        <v>Asesora de Jurídica</v>
      </c>
      <c r="U128" s="159" t="str">
        <f>IFERROR(__xludf.DUMMYFUNCTION("""COMPUTED_VALUE"""),"Registro de Asistencia ")</f>
        <v>Registro de Asistencia </v>
      </c>
      <c r="V128" s="167" t="str">
        <f>IFERROR(__xludf.DUMMYFUNCTION("""COMPUTED_VALUE"""),"Realizar los traslados necesarios a los entes de control internos o externos de las situaciones que generen alguna presunta falta")</f>
        <v>Realizar los traslados necesarios a los entes de control internos o externos de las situaciones que generen alguna presunta falta</v>
      </c>
      <c r="W128" s="167" t="str">
        <f>IFERROR(__xludf.DUMMYFUNCTION("""COMPUTED_VALUE"""),"Memorando y oficio")</f>
        <v>Memorando y oficio</v>
      </c>
      <c r="X128" s="167" t="str">
        <f>IFERROR(__xludf.DUMMYFUNCTION("""COMPUTED_VALUE"""),"Asesora Jurídica")</f>
        <v>Asesora Jurídica</v>
      </c>
      <c r="Y128" s="167" t="str">
        <f>IFERROR(__xludf.DUMMYFUNCTION("""COMPUTED_VALUE"""),"Cuando se evidencie la sanción")</f>
        <v>Cuando se evidencie la sanción</v>
      </c>
      <c r="Z128" s="208" t="str">
        <f>IFERROR(__xludf.DUMMYFUNCTION("""COMPUTED_VALUE"""),"30 de abril")</f>
        <v>30 de abril</v>
      </c>
      <c r="AA128" s="209">
        <f>IFERROR(__xludf.DUMMYFUNCTION("""COMPUTED_VALUE"""),45777.0)</f>
        <v>45777</v>
      </c>
      <c r="AB128" s="208" t="str">
        <f>IFERROR(__xludf.DUMMYFUNCTION("""COMPUTED_VALUE"""),"Durante el periodo de monitoreo NO se materializó el riesgo.
No obstante, para este caso no se presentan acciones de tratamiento, sin embargo, se atienden las acciones asociadas a la aplicación de controles de riesgos, a saber:
Se remite memorando median"&amp;"te el cual se ratifica el cumplimiento del deber que nos asiste como servidores públicos ante el Derecho Fundamental de Petición, por lo cual se recuerda a todos los servidores públicos y personal de apoyo adscrito a la Universidad de los Llanos la obliga"&amp;"ción de emitir respuesta oportuna a las peticiones radicadas en la entidad, las direccionadas a cada proceso, y las allegadas a los correos institucionales;  asimismo, recordar que las respuestas deben ser otorgadas de fondo a nuestros peticionarios y res"&amp;"petando los términos establecidos en el Artículo 14 de la Ley 1437 de 2011, modificado por el Artículo 1° de la Ley 1755 de 2015.
")</f>
        <v>Durante el periodo de monitoreo NO se materializó el riesgo.
No obstante, para este caso no se presentan acciones de tratamiento, sin embargo, se atienden las acciones asociadas a la aplicación de controles de riesgos, a saber:
Se remite memorando mediante el cual se ratifica el cumplimiento del deber que nos asiste como servidores públicos ante el Derecho Fundamental de Petición, por lo cual se recuerda a todos los servidores públicos y personal de apoyo adscrito a la Universidad de los Llanos la obligación de emitir respuesta oportuna a las peticiones radicadas en la entidad, las direccionadas a cada proceso, y las allegadas a los correos institucionales;  asimismo, recordar que las respuestas deben ser otorgadas de fondo a nuestros peticionarios y respetando los términos establecidos en el Artículo 14 de la Ley 1437 de 2011, modificado por el Artículo 1° de la Ley 1755 de 2015.
</v>
      </c>
      <c r="AC128" s="210" t="str">
        <f>IFERROR(__xludf.DUMMYFUNCTION("""COMPUTED_VALUE"""),"Diana Milena Salas Leal - Jefe Oficina Asesora Jurídica")</f>
        <v>Diana Milena Salas Leal - Jefe Oficina Asesora Jurídica</v>
      </c>
      <c r="AD128" s="153" t="str">
        <f>IFERROR(__xludf.DUMMYFUNCTION("""COMPUTED_VALUE"""),"Evidencia")</f>
        <v>Evidencia</v>
      </c>
      <c r="AE128" s="208" t="str">
        <f>IFERROR(__xludf.DUMMYFUNCTION("""COMPUTED_VALUE"""),"Si")</f>
        <v>Si</v>
      </c>
      <c r="AF128" s="211" t="str">
        <f>IFERROR(__xludf.DUMMYFUNCTION("""COMPUTED_VALUE"""),"En proceso")</f>
        <v>En proceso</v>
      </c>
      <c r="AG128" s="208" t="str">
        <f>IFERROR(__xludf.DUMMYFUNCTION("""COMPUTED_VALUE"""),"Durante el periodo de monitoreo, la dependencia informa que no se materializó el riesgo, lo cual refleja una gestión adecuada del mismo en esta etapa.
En cuanto a los controles, se evidencia una aplicación constante y pertinente de los mecanismos definid"&amp;"os, tales como:
- Verificación diaria por parte del personal de apoyo jurídico del estado de los trámites y solicitudes a través del correo institucional.
- Reuniones periódicas del equipo jurídico para validar el cumplimiento de los términos procesales "&amp;"y socializar asuntos jurídicos internos.
- Uso de matrices de seguimiento y la remisión de notificaciones a las dependencias, con el fin de recordar y hacer seguimiento al cumplimiento de los términos legales en acciones constitucionales y judiciales admi"&amp;"nistrativas.
Estos controles se mantienen activos y operativos, lo que contribuye de manera significativa a mitigar el riesgo identificado.
Sin embargo, se observa que la acción de tratamiento registrada en la matriz (""Realizar capacitaciones orientada"&amp;"s a informar a las dependencias de la Universidad sobre el cumplimiento de los términos legales"") no fue mencionada dentro del reporte de seguimiento, a pesar de estar prevista con una periodicidad semestral y contar con responsable y evidencia definida."&amp;" La omisión de esta información podría dificultar la trazabilidad y evaluación del cumplimiento de las acciones de tratamiento del riesgo.
Por lo anterior, se recomienda a la dependencia incluir en futuros seguimientos el estado de ejecución de dicha cap"&amp;"acitación, junto con su evidencia (registro de asistencia), para asegurar la consistencia entre lo planeado y lo reportado, y así fortalecer el ciclo de gestión del riesgo.")</f>
        <v>Durante el periodo de monitoreo, la dependencia informa que no se materializó el riesgo, lo cual refleja una gestión adecuada del mismo en esta etapa.
En cuanto a los controles, se evidencia una aplicación constante y pertinente de los mecanismos definidos, tales como:
- Verificación diaria por parte del personal de apoyo jurídico del estado de los trámites y solicitudes a través del correo institucional.
- Reuniones periódicas del equipo jurídico para validar el cumplimiento de los términos procesales y socializar asuntos jurídicos internos.
- Uso de matrices de seguimiento y la remisión de notificaciones a las dependencias, con el fin de recordar y hacer seguimiento al cumplimiento de los términos legales en acciones constitucionales y judiciales administrativas.
Estos controles se mantienen activos y operativos, lo que contribuye de manera significativa a mitigar el riesgo identificado.
Sin embargo, se observa que la acción de tratamiento registrada en la matriz ("Realizar capacitaciones orientadas a informar a las dependencias de la Universidad sobre el cumplimiento de los términos legales") no fue mencionada dentro del reporte de seguimiento, a pesar de estar prevista con una periodicidad semestral y contar con responsable y evidencia definida. La omisión de esta información podría dificultar la trazabilidad y evaluación del cumplimiento de las acciones de tratamiento del riesgo.
Por lo anterior, se recomienda a la dependencia incluir en futuros seguimientos el estado de ejecución de dicha capacitación, junto con su evidencia (registro de asistencia), para asegurar la consistencia entre lo planeado y lo reportado, y así fortalecer el ciclo de gestión del riesgo.</v>
      </c>
      <c r="AH128" s="150" t="str">
        <f>IFERROR(__xludf.DUMMYFUNCTION("""COMPUTED_VALUE"""),"30 de abril")</f>
        <v>30 de abril</v>
      </c>
      <c r="AI128" s="32" t="str">
        <f>IFERROR(__xludf.DUMMYFUNCTION("""COMPUTED_VALUE"""),"Si")</f>
        <v>Si</v>
      </c>
      <c r="AJ128" s="32" t="str">
        <f>IFERROR(__xludf.DUMMYFUNCTION("""COMPUTED_VALUE"""),"Si")</f>
        <v>Si</v>
      </c>
      <c r="AK128" s="32" t="str">
        <f>IFERROR(__xludf.DUMMYFUNCTION("""COMPUTED_VALUE"""),"Si")</f>
        <v>Si</v>
      </c>
      <c r="AL128" s="32" t="str">
        <f>IFERROR(__xludf.DUMMYFUNCTION("""COMPUTED_VALUE"""),"Si")</f>
        <v>Si</v>
      </c>
      <c r="AM128" s="32" t="str">
        <f>IFERROR(__xludf.DUMMYFUNCTION("""COMPUTED_VALUE"""),"Parcial")</f>
        <v>Parcial</v>
      </c>
      <c r="AN128" s="32" t="str">
        <f>IFERROR(__xludf.DUMMYFUNCTION("""COMPUTED_VALUE"""),"Si")</f>
        <v>Si</v>
      </c>
      <c r="AO128" s="32" t="str">
        <f>IFERROR(__xludf.DUMMYFUNCTION("""COMPUTED_VALUE"""),"No aplica")</f>
        <v>No aplica</v>
      </c>
      <c r="AP128" s="32" t="str">
        <f>IFERROR(__xludf.DUMMYFUNCTION("""COMPUTED_VALUE"""),"No aplica")</f>
        <v>No aplica</v>
      </c>
      <c r="AQ128" s="32" t="str">
        <f>IFERROR(__xludf.DUMMYFUNCTION("""COMPUTED_VALUE"""),"No aplica")</f>
        <v>No aplica</v>
      </c>
      <c r="AR128" s="32" t="str">
        <f>IFERROR(__xludf.DUMMYFUNCTION("""COMPUTED_VALUE"""),"No aplica")</f>
        <v>No aplica</v>
      </c>
      <c r="AS128" s="208" t="str">
        <f>IFERROR(__xludf.DUMMYFUNCTION("""COMPUTED_VALUE"""),"Hallazgo:
El proceso no reportó soportes de la ejecución de los siguientes controles.
- Los profesionales de apoyo de jurídica realizan a diario la verificación del estado de las solicitudes o trámites en el correo electrónico de la oficina jurídica que p"&amp;"ermite llevar un control de todos los requerimientos para darle trámite oportuno.
- El equipo jurídico realiza reuniones periódicas para verificar el cumplimiento de los términos procesales, distribución de solicitudes y la socialización de los avances y "&amp;"asuntos de la oficina.
- Matrices de seguimiento a las acciones constitucionales y judiciales administrativas 
Recomendación: 
Asegurar la ejecución dentro del tèrmino establecido, de la acción asociada al tratamiento: Realizar capacitaciones orientadas "&amp;"a informar a la diferentes dependencias de la Universidad en cuanto al cumplimiento de los términos en acciones constitucionales.")</f>
        <v>Hallazgo:
El proceso no reportó soportes de la ejecución de los siguientes controles.
- Los profesionales de apoyo de jurídica realizan a diario la verificación del estado de las solicitudes o trámites en el correo electrónico de la oficina jurídica que permite llevar un control de todos los requerimientos para darle trámite oportuno.
- El equipo jurídico realiza reuniones periódicas para verificar el cumplimiento de los términos procesales, distribución de solicitudes y la socialización de los avances y asuntos de la oficina.
- Matrices de seguimiento a las acciones constitucionales y judiciales administrativas 
Recomendación: 
Asegurar la ejecución dentro del tèrmino establecido, de la acción asociada al tratamiento: Realizar capacitaciones orientadas a informar a la diferentes dependencias de la Universidad en cuanto al cumplimiento de los términos en acciones constitucionales.</v>
      </c>
      <c r="AT128" s="161"/>
    </row>
    <row r="129">
      <c r="A129" s="161"/>
      <c r="B129" s="73"/>
      <c r="C129" s="73"/>
      <c r="D129" s="156"/>
      <c r="E129" s="156"/>
      <c r="F129" s="156"/>
      <c r="G129" s="156"/>
      <c r="H129" s="156"/>
      <c r="I129" s="156"/>
      <c r="J129" s="156"/>
      <c r="K129" s="156"/>
      <c r="L129" s="156"/>
      <c r="M129" s="156"/>
      <c r="N129" s="156"/>
      <c r="O129" s="156"/>
      <c r="P129" s="156"/>
      <c r="Q129" s="157"/>
      <c r="R129" s="158" t="str">
        <f>IFERROR(__xludf.DUMMYFUNCTION("""COMPUTED_VALUE"""),"")</f>
        <v/>
      </c>
      <c r="S129" s="159" t="str">
        <f>IFERROR(__xludf.DUMMYFUNCTION("""COMPUTED_VALUE"""),"")</f>
        <v/>
      </c>
      <c r="T129" s="170"/>
      <c r="U129" s="170"/>
      <c r="V129" s="94"/>
      <c r="W129" s="94"/>
      <c r="X129" s="94"/>
      <c r="Y129" s="94"/>
      <c r="Z129" s="208" t="str">
        <f>IFERROR(__xludf.DUMMYFUNCTION("""COMPUTED_VALUE"""),"30 de agosto")</f>
        <v>30 de agosto</v>
      </c>
      <c r="AA129" s="209">
        <f>IFERROR(__xludf.DUMMYFUNCTION("""COMPUTED_VALUE"""),45897.0)</f>
        <v>45897</v>
      </c>
      <c r="AB129" s="208" t="str">
        <f>IFERROR(__xludf.DUMMYFUNCTION("""COMPUTED_VALUE"""),"Durante el periodo de monitoreo NO se materializó el riesgo.
No obstante, para este caso no se presentan acciones de tratamiento, sin embargo, se atienden las acciones asociadas a la aplicación de controles de riesgos, a saber:
Se remite memorando median"&amp;"te el cual se ratifica el cumplimiento del deber que nos asiste como servidores públicos ante el Derecho Fundamental de Petición, por lo cual se recuerda a todos los servidores públicos y personal de apoyo adscrito a la Universidad de los Llanos la obliga"&amp;"ción de emitir respuesta oportuna a las peticiones radicadas en la entidad, las direccionadas a cada proceso, y las allegadas a los correos institucionales;  asimismo, recordar que las respuestas deben ser otorgadas de fondo a nuestros peticionarios y res"&amp;"petando los términos establecidos en el Artículo 14 de la Ley 1437 de 2011, modificado por el Artículo 1° de la Ley 1755 de 2015.")</f>
        <v>Durante el periodo de monitoreo NO se materializó el riesgo.
No obstante, para este caso no se presentan acciones de tratamiento, sin embargo, se atienden las acciones asociadas a la aplicación de controles de riesgos, a saber:
Se remite memorando mediante el cual se ratifica el cumplimiento del deber que nos asiste como servidores públicos ante el Derecho Fundamental de Petición, por lo cual se recuerda a todos los servidores públicos y personal de apoyo adscrito a la Universidad de los Llanos la obligación de emitir respuesta oportuna a las peticiones radicadas en la entidad, las direccionadas a cada proceso, y las allegadas a los correos institucionales;  asimismo, recordar que las respuestas deben ser otorgadas de fondo a nuestros peticionarios y respetando los términos establecidos en el Artículo 14 de la Ley 1437 de 2011, modificado por el Artículo 1° de la Ley 1755 de 2015.</v>
      </c>
      <c r="AC129" s="210" t="str">
        <f>IFERROR(__xludf.DUMMYFUNCTION("""COMPUTED_VALUE"""),"Diana Milena Salas Leal - Jefe Oficina Asesora Jurídica")</f>
        <v>Diana Milena Salas Leal - Jefe Oficina Asesora Jurídica</v>
      </c>
      <c r="AD129" s="153" t="str">
        <f>IFERROR(__xludf.DUMMYFUNCTION("""COMPUTED_VALUE"""),"Evidencia")</f>
        <v>Evidencia</v>
      </c>
      <c r="AE129" s="208" t="str">
        <f>IFERROR(__xludf.DUMMYFUNCTION("""COMPUTED_VALUE"""),"Si")</f>
        <v>Si</v>
      </c>
      <c r="AF129" s="211" t="str">
        <f>IFERROR(__xludf.DUMMYFUNCTION("""COMPUTED_VALUE"""),"En proceso")</f>
        <v>En proceso</v>
      </c>
      <c r="AG129" s="208" t="str">
        <f>IFERROR(__xludf.DUMMYFUNCTION("""COMPUTED_VALUE"""),"Durante este segundo periodo de monitoreo NO se materializó el riesgo.
Controles implementados:
C1: Los profesionales de apoyo de la Oficina Jurídica realizan diariamente la verificación de las solicitudes o trámites en el correo electrónico institucion"&amp;"al, lo que permite llevar un control de todos los requerimientos y garantizar su trámite oportuno.
C2: El equipo jurídico realiza reuniones periódicas para verificar el cumplimiento de términos procesales, distribución de solicitudes y socialización de a"&amp;"vances y asuntos de la oficina.
C3: Se mantienen matrices de seguimiento a las acciones constitucionales y judiciales administrativas.
C4: Se efectúa la remisión de notificaciones a las dependencias de la Universidad con el fin de dar respuesta dentro d"&amp;"e los términos legales.
Acciones de tratamiento:
De acuerdo con la planeación, se contemplan capacitaciones semestrales orientadas a informar a las dependencias de la Universidad sobre el cumplimiento de términos en acciones constitucionales. (Evidencia "&amp;"prevista: registros de asistencia) lo anterior dando cumplimiento a las acciones establecidas. ")</f>
        <v>Durante este segundo periodo de monitoreo NO se materializó el riesgo.
Controles implementados:
C1: Los profesionales de apoyo de la Oficina Jurídica realizan diariamente la verificación de las solicitudes o trámites en el correo electrónico institucional, lo que permite llevar un control de todos los requerimientos y garantizar su trámite oportuno.
C2: El equipo jurídico realiza reuniones periódicas para verificar el cumplimiento de términos procesales, distribución de solicitudes y socialización de avances y asuntos de la oficina.
C3: Se mantienen matrices de seguimiento a las acciones constitucionales y judiciales administrativas.
C4: Se efectúa la remisión de notificaciones a las dependencias de la Universidad con el fin de dar respuesta dentro de los términos legales.
Acciones de tratamiento:
De acuerdo con la planeación, se contemplan capacitaciones semestrales orientadas a informar a las dependencias de la Universidad sobre el cumplimiento de términos en acciones constitucionales. (Evidencia prevista: registros de asistencia) lo anterior dando cumplimiento a las acciones establecidas. </v>
      </c>
      <c r="AH129" s="150" t="str">
        <f>IFERROR(__xludf.DUMMYFUNCTION("""COMPUTED_VALUE"""),"31 de agosto")</f>
        <v>31 de agosto</v>
      </c>
      <c r="AI129" s="32" t="str">
        <f>IFERROR(__xludf.DUMMYFUNCTION("""COMPUTED_VALUE"""),"Si")</f>
        <v>Si</v>
      </c>
      <c r="AJ129" s="32" t="str">
        <f>IFERROR(__xludf.DUMMYFUNCTION("""COMPUTED_VALUE"""),"Si")</f>
        <v>Si</v>
      </c>
      <c r="AK129" s="32" t="str">
        <f>IFERROR(__xludf.DUMMYFUNCTION("""COMPUTED_VALUE"""),"Si")</f>
        <v>Si</v>
      </c>
      <c r="AL129" s="32" t="str">
        <f>IFERROR(__xludf.DUMMYFUNCTION("""COMPUTED_VALUE"""),"Si")</f>
        <v>Si</v>
      </c>
      <c r="AM129" s="32" t="str">
        <f>IFERROR(__xludf.DUMMYFUNCTION("""COMPUTED_VALUE"""),"Parcial")</f>
        <v>Parcial</v>
      </c>
      <c r="AN129" s="32" t="str">
        <f>IFERROR(__xludf.DUMMYFUNCTION("""COMPUTED_VALUE"""),"Si")</f>
        <v>Si</v>
      </c>
      <c r="AO129" s="32" t="str">
        <f>IFERROR(__xludf.DUMMYFUNCTION("""COMPUTED_VALUE"""),"No aplica")</f>
        <v>No aplica</v>
      </c>
      <c r="AP129" s="32" t="str">
        <f>IFERROR(__xludf.DUMMYFUNCTION("""COMPUTED_VALUE"""),"No aplica")</f>
        <v>No aplica</v>
      </c>
      <c r="AQ129" s="32" t="str">
        <f>IFERROR(__xludf.DUMMYFUNCTION("""COMPUTED_VALUE"""),"No aplica")</f>
        <v>No aplica</v>
      </c>
      <c r="AR129" s="32" t="str">
        <f>IFERROR(__xludf.DUMMYFUNCTION("""COMPUTED_VALUE"""),"No aplica")</f>
        <v>No aplica</v>
      </c>
      <c r="AS129" s="208" t="str">
        <f>IFERROR(__xludf.DUMMYFUNCTION("""COMPUTED_VALUE"""),"Se reitera hallazgo de la evaluación realizada en el primer cuatrimestre:
El proceso no reportó soportes de la ejecución de los siguientes controles:
- Los profesionales de apoyo de jurídica realizan a diario la verificación del estado de las solicitudes "&amp;"o trámites en el correo electrónico de la oficina jurídica que permite llevar un control de todos los requerimientos para darle trámite oportuno.
- El equipo jurídico realiza reuniones periódicas para verificar el cumplimiento de los términos procesales, "&amp;"distribución de solicitudes y la socialización de los avances y asuntos de la oficina.
- Matrices de seguimiento a las acciones constitucionales y judiciales administrativas 
No se evidencia soporte de la ejecicón de acción asociada al tratamiento: 
Aseg"&amp;"urar la ejecución dentro del tèrmino establecido, de la acción asociada al tratamiento: Realizar capacitaciones orientadas a informar a la diferentes dependencias de la Universidad en cuanto al cumplimiento de los términos en acciones constitucionales.")</f>
        <v>Se reitera hallazgo de la evaluación realizada en el primer cuatrimestre:
El proceso no reportó soportes de la ejecución de los siguientes controles:
- Los profesionales de apoyo de jurídica realizan a diario la verificación del estado de las solicitudes o trámites en el correo electrónico de la oficina jurídica que permite llevar un control de todos los requerimientos para darle trámite oportuno.
- El equipo jurídico realiza reuniones periódicas para verificar el cumplimiento de los términos procesales, distribución de solicitudes y la socialización de los avances y asuntos de la oficina.
- Matrices de seguimiento a las acciones constitucionales y judiciales administrativas 
No se evidencia soporte de la ejecicón de acción asociada al tratamiento: 
Asegurar la ejecución dentro del tèrmino establecido, de la acción asociada al tratamiento: Realizar capacitaciones orientadas a informar a la diferentes dependencias de la Universidad en cuanto al cumplimiento de los términos en acciones constitucionales.</v>
      </c>
      <c r="AT129" s="161"/>
    </row>
    <row r="130">
      <c r="A130" s="161"/>
      <c r="B130" s="73"/>
      <c r="C130" s="73"/>
      <c r="D130" s="119"/>
      <c r="E130" s="119"/>
      <c r="F130" s="119"/>
      <c r="G130" s="119"/>
      <c r="H130" s="119"/>
      <c r="I130" s="119"/>
      <c r="J130" s="119"/>
      <c r="K130" s="119"/>
      <c r="L130" s="119"/>
      <c r="M130" s="119"/>
      <c r="N130" s="119"/>
      <c r="O130" s="119"/>
      <c r="P130" s="119"/>
      <c r="Q130" s="162"/>
      <c r="R130" s="163" t="str">
        <f>IFERROR(__xludf.DUMMYFUNCTION("""COMPUTED_VALUE"""),"")</f>
        <v/>
      </c>
      <c r="S130" s="164" t="str">
        <f>IFERROR(__xludf.DUMMYFUNCTION("""COMPUTED_VALUE"""),"")</f>
        <v/>
      </c>
      <c r="T130" s="176"/>
      <c r="U130" s="176"/>
      <c r="V130" s="98"/>
      <c r="W130" s="98"/>
      <c r="X130" s="98"/>
      <c r="Y130" s="98"/>
      <c r="Z130" s="208" t="str">
        <f>IFERROR(__xludf.DUMMYFUNCTION("""COMPUTED_VALUE"""),"30 de diciembre")</f>
        <v>30 de diciembre</v>
      </c>
      <c r="AA130" s="212">
        <f>IFERROR(__xludf.DUMMYFUNCTION("""COMPUTED_VALUE"""),45996.0)</f>
        <v>45996</v>
      </c>
      <c r="AB130" s="208" t="str">
        <f>IFERROR(__xludf.DUMMYFUNCTION("""COMPUTED_VALUE"""),"No obstante, para este caso no se presentan acciones de tratamiento, sin embargo, se atienden las acciones asociadas a la aplicación de controles de riesgos, a saber:
Se adjunta actas de reunión de fecha 15 de septiembre y 12 de noviembre del año en curso"&amp;", en donde se constata la realización de los controles 1 y 2, en el sentido de verificar el cumplimiento de los profesionales de apoyo respecto a la atención oportuna de los distintos requerimientos que se remiten a la Oficina Asesora Jurídica. Dicha acti"&amp;"vidad se recuerda por parte de la Dra. Diana a sus profesionales de apoyo debe realizarse su seguimiento diariamente, conforme con las etiquetas asignadas.   
Respecto al control 03 se carga la matriz de riesgo a través de la cual la Oficina Asesora Juríd"&amp;"ica, realiza seguimiento a las acciones constitucionales, judiciales y administrativas.
Aunado a lo anterior, se remite memorando No. 3010.-0423 de fecha 01 de diciembre,  mediante el cual se ratifica el cumplimiento del deber que nos asiste como servidor"&amp;"es públicos ante el Derecho Fundamental de Petición, por lo cual se recuerda a todos los servidores públicos y personal de apoyo adscrito a la Universidad de los Llanos la obligación de emitir respuesta oportuna a las peticiones radicadas en la entidad, l"&amp;"as direccionadas a cada proceso, y las allegadas a los correos institucionales;  asimismo, recordar que las respuestas deben ser otorgadas de fondo a nuestros peticionarios y respetando los términos establecidos en el Artículo 14 de la Ley 1437 de 2011, m"&amp;"odificado por el Artículo 1° de la Ley 1755 de 2015.
")</f>
        <v>No obstante, para este caso no se presentan acciones de tratamiento, sin embargo, se atienden las acciones asociadas a la aplicación de controles de riesgos, a saber:
Se adjunta actas de reunión de fecha 15 de septiembre y 12 de noviembre del año en curso, en donde se constata la realización de los controles 1 y 2, en el sentido de verificar el cumplimiento de los profesionales de apoyo respecto a la atención oportuna de los distintos requerimientos que se remiten a la Oficina Asesora Jurídica. Dicha actividad se recuerda por parte de la Dra. Diana a sus profesionales de apoyo debe realizarse su seguimiento diariamente, conforme con las etiquetas asignadas.   
Respecto al control 03 se carga la matriz de riesgo a través de la cual la Oficina Asesora Jurídica, realiza seguimiento a las acciones constitucionales, judiciales y administrativas.
Aunado a lo anterior, se remite memorando No. 3010.-0423 de fecha 01 de diciembre,  mediante el cual se ratifica el cumplimiento del deber que nos asiste como servidores públicos ante el Derecho Fundamental de Petición, por lo cual se recuerda a todos los servidores públicos y personal de apoyo adscrito a la Universidad de los Llanos la obligación de emitir respuesta oportuna a las peticiones radicadas en la entidad, las direccionadas a cada proceso, y las allegadas a los correos institucionales;  asimismo, recordar que las respuestas deben ser otorgadas de fondo a nuestros peticionarios y respetando los términos establecidos en el Artículo 14 de la Ley 1437 de 2011, modificado por el Artículo 1° de la Ley 1755 de 2015.
</v>
      </c>
      <c r="AC130" s="210" t="str">
        <f>IFERROR(__xludf.DUMMYFUNCTION("""COMPUTED_VALUE"""),"Diana Milena Salas Leal - Jefe Oficina Asesora Jurídica")</f>
        <v>Diana Milena Salas Leal - Jefe Oficina Asesora Jurídica</v>
      </c>
      <c r="AD130" s="153" t="str">
        <f>IFERROR(__xludf.DUMMYFUNCTION("""COMPUTED_VALUE"""),"Evidencia")</f>
        <v>Evidencia</v>
      </c>
      <c r="AE130" s="208" t="str">
        <f>IFERROR(__xludf.DUMMYFUNCTION("""COMPUTED_VALUE"""),"Si")</f>
        <v>Si</v>
      </c>
      <c r="AF130" s="211" t="str">
        <f>IFERROR(__xludf.DUMMYFUNCTION("""COMPUTED_VALUE"""),"Ejecutada")</f>
        <v>Ejecutada</v>
      </c>
      <c r="AG130" s="208" t="str">
        <f>IFERROR(__xludf.DUMMYFUNCTION("""COMPUTED_VALUE"""),"Durante este período de monitoreo NO se materializó el riesgo.
Controles implementados:
C1: Se evidenció la realización de reuniones de seguimiento (actas del 15 de septiembre y 12 de noviembre), en las cuales se verificó el cumplimiento por parte de lo"&amp;"s profesionales de apoyo de la Oficina Asesora Jurídica en la atención oportuna de los requerimientos remitidos a través de los diferentes canales institucionales. Así mismo, se reiteró la instrucción de realizar el seguimiento diario conforme a las etiqu"&amp;"etas asignadas.
C2: Se constató la realización de espacios de coordinación interna para verificar el cumplimiento de los términos procesales, la distribución de solicitudes y la socialización de avances y asuntos de la Oficina Asesora Jurídica.
C3: Se e"&amp;"videnció el uso de la matriz de riesgos mediante la cual la Oficina Asesora Jurídica realiza el seguimiento a las acciones constitucionales, judiciales y administrativas.
C4: Se remitió el memorando No. 3010.-0423 del 01 de diciembre, mediante el cual se"&amp;" recuerda a los servidores públicos y personal de apoyo la obligación de dar respuesta oportuna, de fondo y dentro de los términos legales a los derechos de petición, en cumplimiento de lo establecido en la Ley 1437 de 2011 y la Ley 1755 de 2015.
Accione"&amp;"s de tratamiento:
Para el período evaluado no se reportan acciones de tratamiento adicionales, toda vez que el proceso priorizó la aplicación y fortalecimiento de los controles establecidos. Se mantiene lo definido en la planeación respecto a la realizaci"&amp;"ón de capacitaciones semestrales orientadas al cumplimiento de términos legales en acciones constitucionales.")</f>
        <v>Durante este período de monitoreo NO se materializó el riesgo.
Controles implementados:
C1: Se evidenció la realización de reuniones de seguimiento (actas del 15 de septiembre y 12 de noviembre), en las cuales se verificó el cumplimiento por parte de los profesionales de apoyo de la Oficina Asesora Jurídica en la atención oportuna de los requerimientos remitidos a través de los diferentes canales institucionales. Así mismo, se reiteró la instrucción de realizar el seguimiento diario conforme a las etiquetas asignadas.
C2: Se constató la realización de espacios de coordinación interna para verificar el cumplimiento de los términos procesales, la distribución de solicitudes y la socialización de avances y asuntos de la Oficina Asesora Jurídica.
C3: Se evidenció el uso de la matriz de riesgos mediante la cual la Oficina Asesora Jurídica realiza el seguimiento a las acciones constitucionales, judiciales y administrativas.
C4: Se remitió el memorando No. 3010.-0423 del 01 de diciembre, mediante el cual se recuerda a los servidores públicos y personal de apoyo la obligación de dar respuesta oportuna, de fondo y dentro de los términos legales a los derechos de petición, en cumplimiento de lo establecido en la Ley 1437 de 2011 y la Ley 1755 de 2015.
Acciones de tratamiento:
Para el período evaluado no se reportan acciones de tratamiento adicionales, toda vez que el proceso priorizó la aplicación y fortalecimiento de los controles establecidos. Se mantiene lo definido en la planeación respecto a la realización de capacitaciones semestrales orientadas al cumplimiento de términos legales en acciones constitucionales.</v>
      </c>
      <c r="AH130" s="150" t="str">
        <f>IFERROR(__xludf.DUMMYFUNCTION("""COMPUTED_VALUE"""),"31 de diciembre")</f>
        <v>31 de diciembre</v>
      </c>
      <c r="AI130" s="32" t="str">
        <f>IFERROR(__xludf.DUMMYFUNCTION("""COMPUTED_VALUE"""),"Si")</f>
        <v>Si</v>
      </c>
      <c r="AJ130" s="32" t="str">
        <f>IFERROR(__xludf.DUMMYFUNCTION("""COMPUTED_VALUE"""),"Si")</f>
        <v>Si</v>
      </c>
      <c r="AK130" s="32" t="str">
        <f>IFERROR(__xludf.DUMMYFUNCTION("""COMPUTED_VALUE"""),"Si")</f>
        <v>Si</v>
      </c>
      <c r="AL130" s="32" t="str">
        <f>IFERROR(__xludf.DUMMYFUNCTION("""COMPUTED_VALUE"""),"Si")</f>
        <v>Si</v>
      </c>
      <c r="AM130" s="32" t="str">
        <f>IFERROR(__xludf.DUMMYFUNCTION("""COMPUTED_VALUE"""),"Parcial")</f>
        <v>Parcial</v>
      </c>
      <c r="AN130" s="32" t="str">
        <f>IFERROR(__xludf.DUMMYFUNCTION("""COMPUTED_VALUE"""),"Si")</f>
        <v>Si</v>
      </c>
      <c r="AO130" s="32" t="str">
        <f>IFERROR(__xludf.DUMMYFUNCTION("""COMPUTED_VALUE"""),"No aplica")</f>
        <v>No aplica</v>
      </c>
      <c r="AP130" s="32" t="str">
        <f>IFERROR(__xludf.DUMMYFUNCTION("""COMPUTED_VALUE"""),"No aplica")</f>
        <v>No aplica</v>
      </c>
      <c r="AQ130" s="32" t="str">
        <f>IFERROR(__xludf.DUMMYFUNCTION("""COMPUTED_VALUE"""),"No aplica")</f>
        <v>No aplica</v>
      </c>
      <c r="AR130" s="32" t="str">
        <f>IFERROR(__xludf.DUMMYFUNCTION("""COMPUTED_VALUE"""),"No aplica")</f>
        <v>No aplica</v>
      </c>
      <c r="AS130" s="208" t="str">
        <f>IFERROR(__xludf.DUMMYFUNCTION("""COMPUTED_VALUE"""),"
No se evidencia soporte de la ejecicón de acción asociada al tratamiento: 
Asegurar la ejecución dentro del tèrmino establecido, de la acción asociada al tratamiento: Realizar capacitaciones orientadas a informar a la diferentes dependencias de la Univer"&amp;"sidad en cuanto al cumplimiento de los términos en acciones constitucionales.")</f>
        <v>
No se evidencia soporte de la ejecicón de acción asociada al tratamiento: 
Asegurar la ejecución dentro del tèrmino establecido, de la acción asociada al tratamiento: Realizar capacitaciones orientadas a informar a la diferentes dependencias de la Universidad en cuanto al cumplimiento de los términos en acciones constitucionales.</v>
      </c>
      <c r="AT130" s="161"/>
    </row>
    <row r="131">
      <c r="A131" s="161"/>
      <c r="B131" s="73"/>
      <c r="C131" s="73"/>
      <c r="D131" s="206" t="str">
        <f>IFERROR(__xludf.DUMMYFUNCTION("""COMPUTED_VALUE"""),"Afectación económica y reputacional debido a la posibilidad de falencias en la ejecución y posterior liquidación de los convenios por parte de los supervisores y/o coordinadores debido a.")</f>
        <v>Afectación económica y reputacional debido a la posibilidad de falencias en la ejecución y posterior liquidación de los convenios por parte de los supervisores y/o coordinadores debido a.</v>
      </c>
      <c r="E131" s="206" t="str">
        <f>IFERROR(__xludf.DUMMYFUNCTION("""COMPUTED_VALUE"""),"Área de convenios")</f>
        <v>Área de convenios</v>
      </c>
      <c r="F131" s="206" t="str">
        <f>IFERROR(__xludf.DUMMYFUNCTION("""COMPUTED_VALUE"""),"Gestión")</f>
        <v>Gestión</v>
      </c>
      <c r="G131" s="206" t="str">
        <f>IFERROR(__xludf.DUMMYFUNCTION("""COMPUTED_VALUE"""),"Debilidades en la ejecución y liquidación de convenios por parte de los supervisores y/o coordinadores.
Falta de seguimiento de los convenios por parte de los supervisores
")</f>
        <v>Debilidades en la ejecución y liquidación de convenios por parte de los supervisores y/o coordinadores.
Falta de seguimiento de los convenios por parte de los supervisores
</v>
      </c>
      <c r="H131" s="206" t="str">
        <f>IFERROR(__xludf.DUMMYFUNCTION("""COMPUTED_VALUE"""),"1. Debilidades en el seguimiento y ejecución de los convenios.
2. No conformidades en auditoria interna por parte de control interno de gestión.
3. Hallazgos de los entes de control externos.
4. Incumplimientos y ejecuciones irregulares
5. Terminación sin"&amp;" verificar el efectivo cumplimiento de las obligaciones
6. Afectación economica y de la imagen institucional.")</f>
        <v>1. Debilidades en el seguimiento y ejecución de los convenios.
2. No conformidades en auditoria interna por parte de control interno de gestión.
3. Hallazgos de los entes de control externos.
4. Incumplimientos y ejecuciones irregulares
5. Terminación sin verificar el efectivo cumplimiento de las obligaciones
6. Afectación economica y de la imagen institucional.</v>
      </c>
      <c r="I131" s="206" t="str">
        <f>IFERROR(__xludf.DUMMYFUNCTION("""COMPUTED_VALUE"""),"JUR_02")</f>
        <v>JUR_02</v>
      </c>
      <c r="J131" s="206" t="str">
        <f>IFERROR(__xludf.DUMMYFUNCTION("""COMPUTED_VALUE"""),"Media")</f>
        <v>Media</v>
      </c>
      <c r="K131" s="206" t="str">
        <f>IFERROR(__xludf.DUMMYFUNCTION("""COMPUTED_VALUE"""),"Insignificante")</f>
        <v>Insignificante</v>
      </c>
      <c r="L131" s="206" t="str">
        <f>IFERROR(__xludf.DUMMYFUNCTION("""COMPUTED_VALUE"""),"Baja")</f>
        <v>Baja</v>
      </c>
      <c r="M131" s="206" t="str">
        <f>IFERROR(__xludf.DUMMYFUNCTION("""COMPUTED_VALUE"""),"- Capacitación a los supervisores de convenios en lo relacionado al manual de supervisión
- Envío de memorandos mensuales solicitando los informes de avances de los convenios a través de correos electrónicos y plataforma SIAU-CONVENIOS
 ")</f>
        <v>- Capacitación a los supervisores de convenios en lo relacionado al manual de supervisión
- Envío de memorandos mensuales solicitando los informes de avances de los convenios a través de correos electrónicos y plataforma SIAU-CONVENIOS
 </v>
      </c>
      <c r="N131" s="206" t="str">
        <f>IFERROR(__xludf.DUMMYFUNCTION("""COMPUTED_VALUE"""),"Baja")</f>
        <v>Baja</v>
      </c>
      <c r="O131" s="206" t="str">
        <f>IFERROR(__xludf.DUMMYFUNCTION("""COMPUTED_VALUE"""),"Insignificante")</f>
        <v>Insignificante</v>
      </c>
      <c r="P131" s="206" t="str">
        <f>IFERROR(__xludf.DUMMYFUNCTION("""COMPUTED_VALUE"""),"Baja")</f>
        <v>Baja</v>
      </c>
      <c r="Q131" s="207" t="str">
        <f>IFERROR(__xludf.DUMMYFUNCTION("""COMPUTED_VALUE"""),"Aceptar")</f>
        <v>Aceptar</v>
      </c>
      <c r="R131" s="158" t="str">
        <f>IFERROR(__xludf.DUMMYFUNCTION("""COMPUTED_VALUE"""),"N/A")</f>
        <v>N/A</v>
      </c>
      <c r="S131" s="159" t="str">
        <f>IFERROR(__xludf.DUMMYFUNCTION("""COMPUTED_VALUE"""),"N/A")</f>
        <v>N/A</v>
      </c>
      <c r="T131" s="170" t="str">
        <f>IFERROR(__xludf.DUMMYFUNCTION("""COMPUTED_VALUE"""),"N/A")</f>
        <v>N/A</v>
      </c>
      <c r="U131" s="170" t="str">
        <f>IFERROR(__xludf.DUMMYFUNCTION("""COMPUTED_VALUE"""),"N/A")</f>
        <v>N/A</v>
      </c>
      <c r="V131" s="167" t="str">
        <f>IFERROR(__xludf.DUMMYFUNCTION("""COMPUTED_VALUE"""),"Realizar reunión con los supervisores de los convenios solicitando el envio de informe acerca del avance de ejecución financiero, técnico y administrativo, las causas de las dificultades presentadas y la programación de la ejecución de las actividades pen"&amp;"dientes")</f>
        <v>Realizar reunión con los supervisores de los convenios solicitando el envio de informe acerca del avance de ejecución financiero, técnico y administrativo, las causas de las dificultades presentadas y la programación de la ejecución de las actividades pendientes</v>
      </c>
      <c r="W131" s="167" t="str">
        <f>IFERROR(__xludf.DUMMYFUNCTION("""COMPUTED_VALUE"""),"Acta de reunión")</f>
        <v>Acta de reunión</v>
      </c>
      <c r="X131" s="167" t="str">
        <f>IFERROR(__xludf.DUMMYFUNCTION("""COMPUTED_VALUE"""),"Asesora Jurídica")</f>
        <v>Asesora Jurídica</v>
      </c>
      <c r="Y131" s="167" t="str">
        <f>IFERROR(__xludf.DUMMYFUNCTION("""COMPUTED_VALUE"""),"de manera inmedianta ")</f>
        <v>de manera inmedianta </v>
      </c>
      <c r="Z131" s="208" t="str">
        <f>IFERROR(__xludf.DUMMYFUNCTION("""COMPUTED_VALUE"""),"30 de abril")</f>
        <v>30 de abril</v>
      </c>
      <c r="AA131" s="209">
        <f>IFERROR(__xludf.DUMMYFUNCTION("""COMPUTED_VALUE"""),45777.0)</f>
        <v>45777</v>
      </c>
      <c r="AB131" s="208" t="str">
        <f>IFERROR(__xludf.DUMMYFUNCTION("""COMPUTED_VALUE"""),"Durante este primer monitoreo NO se materializó el riesgo.
Debido a que se acepta el riesgo, para este caso no se presentan acciones de tratamiento, sin embargo se atienden los controles existentes:
Se adjunta carpeta en donde se allegan los memorandos "&amp;"mensuales, y evidencia de envió, emitido desde el área de convenios a los supervisores de convenios, adjunto con la Resolución Rectoral N° 1092 de 2021 “Por medio de la cual se adopta el manual de supervisión e interventoría de los contratos y convenios s"&amp;"uscritos por la Universidad de los Llanos, y se deroga la Resolución Rectoral N° 1833 de 2014.”, Lo anterior, con el propósito de reiterar el requerimiento de remisión oportuna de los informes mensuales correspondientes a los convenios actualmente vigente"&amp;"s y aquellos que se encuentran pendientes por liquidar, recordando a los supervisores las funciones que les han sido asignadas conforme a la normativa vigente.
Adicionalmente, se adjunta evidencia fotografica y lista de asistencia correspondiente a la cap"&amp;"acitación impartida a los supervisores de convenios en relación con el contenido de la Resolución Rectoral 1092 de 2021. En dicha jornada formativa se abordaron los conceptos fundamentales de la supervisión, las funciones inherentes a dicha labor, así com"&amp;"o las prohibiciones, inhabilidades e incompatibilidades, y los requisitos que deben cumplirse para la liquidación de convenios.
")</f>
        <v>Durante este primer monitoreo NO se materializó el riesgo.
Debido a que se acepta el riesgo, para este caso no se presentan acciones de tratamiento, sin embargo se atienden los controles existentes:
Se adjunta carpeta en donde se allegan los memorandos mensuales, y evidencia de envió, emitido desde el área de convenios a los supervisores de convenios, adjunto con la Resolución Rectoral N° 1092 de 2021 “Por medio de la cual se adopta el manual de supervisión e interventoría de los contratos y convenios suscritos por la Universidad de los Llanos, y se deroga la Resolución Rectoral N° 1833 de 2014.”, Lo anterior, con el propósito de reiterar el requerimiento de remisión oportuna de los informes mensuales correspondientes a los convenios actualmente vigentes y aquellos que se encuentran pendientes por liquidar, recordando a los supervisores las funciones que les han sido asignadas conforme a la normativa vigente.
Adicionalmente, se adjunta evidencia fotografica y lista de asistencia correspondiente a la capacitación impartida a los supervisores de convenios en relación con el contenido de la Resolución Rectoral 1092 de 2021. En dicha jornada formativa se abordaron los conceptos fundamentales de la supervisión, las funciones inherentes a dicha labor, así como las prohibiciones, inhabilidades e incompatibilidades, y los requisitos que deben cumplirse para la liquidación de convenios.
</v>
      </c>
      <c r="AC131" s="210" t="str">
        <f>IFERROR(__xludf.DUMMYFUNCTION("""COMPUTED_VALUE"""),"Diana Milena Salas Leal - Jefe Oficina Asesora Jurídica")</f>
        <v>Diana Milena Salas Leal - Jefe Oficina Asesora Jurídica</v>
      </c>
      <c r="AD131" s="153" t="str">
        <f>IFERROR(__xludf.DUMMYFUNCTION("""COMPUTED_VALUE"""),"Evidencia")</f>
        <v>Evidencia</v>
      </c>
      <c r="AE131" s="208" t="str">
        <f>IFERROR(__xludf.DUMMYFUNCTION("""COMPUTED_VALUE"""),"Si")</f>
        <v>Si</v>
      </c>
      <c r="AF131" s="208" t="str">
        <f>IFERROR(__xludf.DUMMYFUNCTION("""COMPUTED_VALUE"""),"En proceso")</f>
        <v>En proceso</v>
      </c>
      <c r="AG131" s="208" t="str">
        <f>IFERROR(__xludf.DUMMYFUNCTION("""COMPUTED_VALUE"""),"Durante el primer periodo de monitoreo, se reporta que no se materializó el riesgo, lo cual es positivo para la gestión institucional. Cabe destacar que este riesgo fue aceptado, por tanto, no se contemplan acciones de tratamiento.
Sin embargo, se eviden"&amp;"cia la ejecución de los controles definidos, los cuales se encuentran debidamente documentados y alineados con la estrategia de mitigación institucional. Estos controles incluyen:
Capacitación a los supervisores de convenios, enfocada en los contenidos d"&amp;"el Manual de Supervisión (Resolución Rectoral N° 1092 de 2021). Esta actividad fue soportada con evidencia fotográfica y lista de asistencia, lo cual garantiza la trazabilidad del proceso formativo.
Envío de memorandos mensuales desde el área de convenio"&amp;"s, solicitando a los supervisores la presentación de los informes de avance de los convenios, mediante correos electrónicos y la plataforma SIAU-CONVENIOS. Este procedimiento permite mantener seguimiento constante sobre el cumplimiento de las obligaciones"&amp;" contractuales.
Se concluye que los controles establecidos están siendo ejecutados adecuadamente y han contribuido a que el riesgo no se materialice en este periodo. Se recomienda mantener la periodicidad de estos controles y conservar las evidencias que"&amp;" respalden su implementación, en aras de fortalecer la gestión documental y la trazabilidad de la supervisión contractual.")</f>
        <v>Durante el primer periodo de monitoreo, se reporta que no se materializó el riesgo, lo cual es positivo para la gestión institucional. Cabe destacar que este riesgo fue aceptado, por tanto, no se contemplan acciones de tratamiento.
Sin embargo, se evidencia la ejecución de los controles definidos, los cuales se encuentran debidamente documentados y alineados con la estrategia de mitigación institucional. Estos controles incluyen:
Capacitación a los supervisores de convenios, enfocada en los contenidos del Manual de Supervisión (Resolución Rectoral N° 1092 de 2021). Esta actividad fue soportada con evidencia fotográfica y lista de asistencia, lo cual garantiza la trazabilidad del proceso formativo.
Envío de memorandos mensuales desde el área de convenios, solicitando a los supervisores la presentación de los informes de avance de los convenios, mediante correos electrónicos y la plataforma SIAU-CONVENIOS. Este procedimiento permite mantener seguimiento constante sobre el cumplimiento de las obligaciones contractuales.
Se concluye que los controles establecidos están siendo ejecutados adecuadamente y han contribuido a que el riesgo no se materialice en este periodo. Se recomienda mantener la periodicidad de estos controles y conservar las evidencias que respalden su implementación, en aras de fortalecer la gestión documental y la trazabilidad de la supervisión contractual.</v>
      </c>
      <c r="AH131" s="150" t="str">
        <f>IFERROR(__xludf.DUMMYFUNCTION("""COMPUTED_VALUE"""),"30 de abril")</f>
        <v>30 de abril</v>
      </c>
      <c r="AI131" s="32" t="str">
        <f>IFERROR(__xludf.DUMMYFUNCTION("""COMPUTED_VALUE"""),"Si")</f>
        <v>Si</v>
      </c>
      <c r="AJ131" s="32" t="str">
        <f>IFERROR(__xludf.DUMMYFUNCTION("""COMPUTED_VALUE"""),"Si")</f>
        <v>Si</v>
      </c>
      <c r="AK131" s="32" t="str">
        <f>IFERROR(__xludf.DUMMYFUNCTION("""COMPUTED_VALUE"""),"Si")</f>
        <v>Si</v>
      </c>
      <c r="AL131" s="32" t="str">
        <f>IFERROR(__xludf.DUMMYFUNCTION("""COMPUTED_VALUE"""),"Si")</f>
        <v>Si</v>
      </c>
      <c r="AM131" s="32" t="str">
        <f>IFERROR(__xludf.DUMMYFUNCTION("""COMPUTED_VALUE"""),"Si")</f>
        <v>Si</v>
      </c>
      <c r="AN131" s="32" t="str">
        <f>IFERROR(__xludf.DUMMYFUNCTION("""COMPUTED_VALUE"""),"No")</f>
        <v>No</v>
      </c>
      <c r="AO131" s="32" t="str">
        <f>IFERROR(__xludf.DUMMYFUNCTION("""COMPUTED_VALUE"""),"No aplica")</f>
        <v>No aplica</v>
      </c>
      <c r="AP131" s="32" t="str">
        <f>IFERROR(__xludf.DUMMYFUNCTION("""COMPUTED_VALUE"""),"No aplica")</f>
        <v>No aplica</v>
      </c>
      <c r="AQ131" s="32" t="str">
        <f>IFERROR(__xludf.DUMMYFUNCTION("""COMPUTED_VALUE"""),"No aplica")</f>
        <v>No aplica</v>
      </c>
      <c r="AR131" s="32" t="str">
        <f>IFERROR(__xludf.DUMMYFUNCTION("""COMPUTED_VALUE"""),"No aplica")</f>
        <v>No aplica</v>
      </c>
      <c r="AS131" s="208" t="str">
        <f>IFERROR(__xludf.DUMMYFUNCTION("""COMPUTED_VALUE"""),"Recomendación: 
*Fortalecer la descripción de los controles conforme a la metodología propuesta en la Guía para la Administración del Riesgo y el diseño de controles en entidades públicas Versión 6, que propone los elementos que debe contemplar el diseño "&amp;"del control, como son: 
Responsable de ejecutar el control: identifica el cargo del servidor que ejecuta el control, en caso de que sean controles automáticos se identificará el sistema que realiza la actividad. 
Acción: se determina mediante verbos que"&amp;" indican la acción que deben realizar como parte del control. 
Complemento: corresponde a los detalles que permiten identificar claramente el objeto del control.
")</f>
        <v>Recomendación: 
*Fortalecer la descripción de los controles conforme a la metodología propuesta en la Guía para la Administración del Riesgo y el diseño de controles en entidades públicas Versión 6, que propone los elementos que debe contemplar el diseño del control, como son: 
Responsable de ejecutar el control: identifica el cargo del servidor que ejecuta el control, en caso de que sean controles automáticos se identificará el sistema que realiza la actividad. 
Acción: se determina mediante verbos que indican la acción que deben realizar como parte del control. 
Complemento: corresponde a los detalles que permiten identificar claramente el objeto del control.
</v>
      </c>
      <c r="AT131" s="161"/>
    </row>
    <row r="132">
      <c r="A132" s="161"/>
      <c r="B132" s="73"/>
      <c r="C132" s="73"/>
      <c r="D132" s="156"/>
      <c r="E132" s="156"/>
      <c r="F132" s="156"/>
      <c r="G132" s="156"/>
      <c r="H132" s="156"/>
      <c r="I132" s="156"/>
      <c r="J132" s="156"/>
      <c r="K132" s="156"/>
      <c r="L132" s="156"/>
      <c r="M132" s="156"/>
      <c r="N132" s="156"/>
      <c r="O132" s="156"/>
      <c r="P132" s="156"/>
      <c r="Q132" s="157"/>
      <c r="R132" s="158" t="str">
        <f>IFERROR(__xludf.DUMMYFUNCTION("""COMPUTED_VALUE"""),"")</f>
        <v/>
      </c>
      <c r="S132" s="159" t="str">
        <f>IFERROR(__xludf.DUMMYFUNCTION("""COMPUTED_VALUE"""),"")</f>
        <v/>
      </c>
      <c r="T132" s="170"/>
      <c r="U132" s="170"/>
      <c r="V132" s="94"/>
      <c r="W132" s="94"/>
      <c r="X132" s="94"/>
      <c r="Y132" s="94"/>
      <c r="Z132" s="208" t="str">
        <f>IFERROR(__xludf.DUMMYFUNCTION("""COMPUTED_VALUE"""),"30 de agosto")</f>
        <v>30 de agosto</v>
      </c>
      <c r="AA132" s="209">
        <f>IFERROR(__xludf.DUMMYFUNCTION("""COMPUTED_VALUE"""),45899.0)</f>
        <v>45899</v>
      </c>
      <c r="AB132" s="208" t="str">
        <f>IFERROR(__xludf.DUMMYFUNCTION("""COMPUTED_VALUE"""),"Durante este primer monitoreo NO se materializó el riesgo.
Debido a que se acepta el riesgo, para este caso no se presentan acciones de tratamiento, sin embargo se atienden los controles existentes:
Se adjunta carpeta en donde se allegan los memorandos "&amp;"mensuales, y evidencia de envió, emitido desde el área de convenios a los supervisores de convenios. Lo anterior, con el propósito de reiterar el requerimiento de remisión oportuna de los informes mensuales correspondientes a los convenios actualmente vig"&amp;"entes y aquellos que se encuentran pendientes por liquidar, recordando a los supervisores las funciones que les han sido asignadas conforme a la normativa vigente.
Adicionalmente, se adjunta la lista de asistencia correspondiente a las capacitaciones impa"&amp;"rtidas a los supervisores y a sus respectivos apoyos profesionales de convenios, en relación con lo dispuesto en la Resolución Rectoral 1092 de 2021. Durante dichas jornadas formativas se trataron los conceptos esenciales de la supervisión, las funciones "&amp;"propias de esta labor, así como las prohibiciones, inhabilidades e incompatibilidades aplicables, y los requisitos necesarios para la adecuada liquidación de los convenios.
")</f>
        <v>Durante este primer monitoreo NO se materializó el riesgo.
Debido a que se acepta el riesgo, para este caso no se presentan acciones de tratamiento, sin embargo se atienden los controles existentes:
Se adjunta carpeta en donde se allegan los memorandos mensuales, y evidencia de envió, emitido desde el área de convenios a los supervisores de convenios. Lo anterior, con el propósito de reiterar el requerimiento de remisión oportuna de los informes mensuales correspondientes a los convenios actualmente vigentes y aquellos que se encuentran pendientes por liquidar, recordando a los supervisores las funciones que les han sido asignadas conforme a la normativa vigente.
Adicionalmente, se adjunta la lista de asistencia correspondiente a las capacitaciones impartidas a los supervisores y a sus respectivos apoyos profesionales de convenios, en relación con lo dispuesto en la Resolución Rectoral 1092 de 2021. Durante dichas jornadas formativas se trataron los conceptos esenciales de la supervisión, las funciones propias de esta labor, así como las prohibiciones, inhabilidades e incompatibilidades aplicables, y los requisitos necesarios para la adecuada liquidación de los convenios.
</v>
      </c>
      <c r="AC132" s="210" t="str">
        <f>IFERROR(__xludf.DUMMYFUNCTION("""COMPUTED_VALUE"""),"Diana Milena Salas Leal - Jefe Oficina Asesora Jurídica")</f>
        <v>Diana Milena Salas Leal - Jefe Oficina Asesora Jurídica</v>
      </c>
      <c r="AD132" s="153" t="str">
        <f>IFERROR(__xludf.DUMMYFUNCTION("""COMPUTED_VALUE"""),"Evidencia")</f>
        <v>Evidencia</v>
      </c>
      <c r="AE132" s="208" t="str">
        <f>IFERROR(__xludf.DUMMYFUNCTION("""COMPUTED_VALUE"""),"Si")</f>
        <v>Si</v>
      </c>
      <c r="AF132" s="211" t="str">
        <f>IFERROR(__xludf.DUMMYFUNCTION("""COMPUTED_VALUE"""),"En proceso")</f>
        <v>En proceso</v>
      </c>
      <c r="AG132" s="208" t="str">
        <f>IFERROR(__xludf.DUMMYFUNCTION("""COMPUTED_VALUE"""),"Durante el periodo de monitoreo NO se materializó el riesgo.
Controles aplicados:
C1: se evidencia reporte de capacitación a supervisores de convenios sobre el manual de supervisión.
C2: se evidencia el reporte de envío de memorandos mensuales solicita"&amp;"ndo los informes de avances de los convenios, a través de correos electrónicos y de la plataforma SIAU-CONVENIOS.
Acciones de tratamiento:
Para este riesgo no se contemplan acciones de tratamiento, dado que la Universidad acepta el riesgo residual. No ob"&amp;"stante, se mantienen los controles establecidos y se refuerzan con evidencias de cumplimiento.
")</f>
        <v>Durante el periodo de monitoreo NO se materializó el riesgo.
Controles aplicados:
C1: se evidencia reporte de capacitación a supervisores de convenios sobre el manual de supervisión.
C2: se evidencia el reporte de envío de memorandos mensuales solicitando los informes de avances de los convenios, a través de correos electrónicos y de la plataforma SIAU-CONVENIOS.
Acciones de tratamiento:
Para este riesgo no se contemplan acciones de tratamiento, dado que la Universidad acepta el riesgo residual. No obstante, se mantienen los controles establecidos y se refuerzan con evidencias de cumplimiento.
</v>
      </c>
      <c r="AH132" s="150" t="str">
        <f>IFERROR(__xludf.DUMMYFUNCTION("""COMPUTED_VALUE"""),"31 de agosto")</f>
        <v>31 de agosto</v>
      </c>
      <c r="AI132" s="32" t="str">
        <f>IFERROR(__xludf.DUMMYFUNCTION("""COMPUTED_VALUE"""),"Si")</f>
        <v>Si</v>
      </c>
      <c r="AJ132" s="32" t="str">
        <f>IFERROR(__xludf.DUMMYFUNCTION("""COMPUTED_VALUE"""),"Si")</f>
        <v>Si</v>
      </c>
      <c r="AK132" s="32" t="str">
        <f>IFERROR(__xludf.DUMMYFUNCTION("""COMPUTED_VALUE"""),"Si")</f>
        <v>Si</v>
      </c>
      <c r="AL132" s="32" t="str">
        <f>IFERROR(__xludf.DUMMYFUNCTION("""COMPUTED_VALUE"""),"Si")</f>
        <v>Si</v>
      </c>
      <c r="AM132" s="32" t="str">
        <f>IFERROR(__xludf.DUMMYFUNCTION("""COMPUTED_VALUE"""),"Si")</f>
        <v>Si</v>
      </c>
      <c r="AN132" s="32" t="str">
        <f>IFERROR(__xludf.DUMMYFUNCTION("""COMPUTED_VALUE"""),"No")</f>
        <v>No</v>
      </c>
      <c r="AO132" s="32" t="str">
        <f>IFERROR(__xludf.DUMMYFUNCTION("""COMPUTED_VALUE"""),"No aplica")</f>
        <v>No aplica</v>
      </c>
      <c r="AP132" s="32" t="str">
        <f>IFERROR(__xludf.DUMMYFUNCTION("""COMPUTED_VALUE"""),"No aplica")</f>
        <v>No aplica</v>
      </c>
      <c r="AQ132" s="32" t="str">
        <f>IFERROR(__xludf.DUMMYFUNCTION("""COMPUTED_VALUE"""),"No aplica")</f>
        <v>No aplica</v>
      </c>
      <c r="AR132" s="32" t="str">
        <f>IFERROR(__xludf.DUMMYFUNCTION("""COMPUTED_VALUE"""),"No aplica")</f>
        <v>No aplica</v>
      </c>
      <c r="AS132" s="208" t="str">
        <f>IFERROR(__xludf.DUMMYFUNCTION("""COMPUTED_VALUE"""),"Recomendación: 
*Fortalecer la descripción del riesgo, considerando la metodología de la Guía para la Administración del Riesgo y el diseño de controles en entidades públicas Versión 6.
*Fortalecer la descripción de los controles conforme a la metodologí"&amp;"a propuesta en la Guía para la Administración del Riesgo y el diseño de controles en entidades públicas Versión 6, que propone los elementos que debe contemplar el diseño del control, como son: 
Responsable de ejecutar el control: identifica el cargo del "&amp;"servidor que ejecuta el control, en caso de que sean controles automáticos se identificará el sistema que realiza la actividad. 
Acción: se determina mediante verbos que indican la acción que deben realizar como parte del control. 
Complemento: correspond"&amp;"e a los detalles que permiten identificar claramente el objeto del control.
")</f>
        <v>Recomendación: 
*Fortalecer la descripción del riesgo, considerando la metodología de la Guía para la Administración del Riesgo y el diseño de controles en entidades públicas Versión 6.
*Fortalecer la descripción de los controles conforme a la metodología propuesta en la Guía para la Administración del Riesgo y el diseño de controles en entidades públicas Versión 6, que propone los elementos que debe contemplar el diseño del control, como son: 
Responsable de ejecutar el control: identifica el cargo del servidor que ejecuta el control, en caso de que sean controles automáticos se identificará el sistema que realiza la actividad. 
Acción: se determina mediante verbos que indican la acción que deben realizar como parte del control. 
Complemento: corresponde a los detalles que permiten identificar claramente el objeto del control.
</v>
      </c>
      <c r="AT132" s="161"/>
    </row>
    <row r="133">
      <c r="A133" s="161"/>
      <c r="B133" s="73"/>
      <c r="C133" s="73"/>
      <c r="D133" s="119"/>
      <c r="E133" s="119"/>
      <c r="F133" s="119"/>
      <c r="G133" s="119"/>
      <c r="H133" s="119"/>
      <c r="I133" s="119"/>
      <c r="J133" s="119"/>
      <c r="K133" s="119"/>
      <c r="L133" s="119"/>
      <c r="M133" s="119"/>
      <c r="N133" s="119"/>
      <c r="O133" s="119"/>
      <c r="P133" s="119"/>
      <c r="Q133" s="162"/>
      <c r="R133" s="163" t="str">
        <f>IFERROR(__xludf.DUMMYFUNCTION("""COMPUTED_VALUE"""),"")</f>
        <v/>
      </c>
      <c r="S133" s="164" t="str">
        <f>IFERROR(__xludf.DUMMYFUNCTION("""COMPUTED_VALUE"""),"")</f>
        <v/>
      </c>
      <c r="T133" s="176"/>
      <c r="U133" s="176"/>
      <c r="V133" s="98"/>
      <c r="W133" s="98"/>
      <c r="X133" s="98"/>
      <c r="Y133" s="98"/>
      <c r="Z133" s="208" t="str">
        <f>IFERROR(__xludf.DUMMYFUNCTION("""COMPUTED_VALUE"""),"30 de diciembre")</f>
        <v>30 de diciembre</v>
      </c>
      <c r="AA133" s="212">
        <f>IFERROR(__xludf.DUMMYFUNCTION("""COMPUTED_VALUE"""),45996.0)</f>
        <v>45996</v>
      </c>
      <c r="AB133" s="208" t="str">
        <f>IFERROR(__xludf.DUMMYFUNCTION("""COMPUTED_VALUE"""),"Durante este primer monitoreo NO se materializó el riesgo.
Debido a que se acepta el riesgo, para este caso no se presentan acciones de tratamiento, sin embargo se atienden los controles existentes:
Se adjunta carpeta en donde se allegan los memorandos "&amp;"mensuales, y evidencia de envió, emitido desde el área de convenios a los supervisores de convenios dando cumplimiento al control número 02. Lo anterior, con el propósito de reiterar el requerimiento de remisión oportuna de los informes mensuales correspo"&amp;"ndientes a los convenios actualmente vigentes y aquellos que se encuentran pendientes por liquidar, recordando a los supervisores las funciones que les han sido asignadas conforme a la normativa vigente.
Adicionalmente, se adjunta los soportes de pantalla"&amp;"zos de las capacitaciones impartidas a los supervisores y a sus apoyos profesionales de convenios, en relación con lo dispuesto en la Resolución Rectoral 1092 de 2021, de acuerdo a lo establecido en el control 01. Durante dichas jornadas formativas se tra"&amp;"taron los conceptos esenciales de la supervisión, las funciones propias de esta labor, así como las prohibiciones, inhabilidades e incompatibilidades aplicables, y los requisitos necesarios para la adecuada liquidación de los convenios.
")</f>
        <v>Durante este primer monitoreo NO se materializó el riesgo.
Debido a que se acepta el riesgo, para este caso no se presentan acciones de tratamiento, sin embargo se atienden los controles existentes:
Se adjunta carpeta en donde se allegan los memorandos mensuales, y evidencia de envió, emitido desde el área de convenios a los supervisores de convenios dando cumplimiento al control número 02. Lo anterior, con el propósito de reiterar el requerimiento de remisión oportuna de los informes mensuales correspondientes a los convenios actualmente vigentes y aquellos que se encuentran pendientes por liquidar, recordando a los supervisores las funciones que les han sido asignadas conforme a la normativa vigente.
Adicionalmente, se adjunta los soportes de pantallazos de las capacitaciones impartidas a los supervisores y a sus apoyos profesionales de convenios, en relación con lo dispuesto en la Resolución Rectoral 1092 de 2021, de acuerdo a lo establecido en el control 01. Durante dichas jornadas formativas se trataron los conceptos esenciales de la supervisión, las funciones propias de esta labor, así como las prohibiciones, inhabilidades e incompatibilidades aplicables, y los requisitos necesarios para la adecuada liquidación de los convenios.
</v>
      </c>
      <c r="AC133" s="210" t="str">
        <f>IFERROR(__xludf.DUMMYFUNCTION("""COMPUTED_VALUE"""),"Diana Milena Salas Leal - Jefe Oficina Asesora Jurídica")</f>
        <v>Diana Milena Salas Leal - Jefe Oficina Asesora Jurídica</v>
      </c>
      <c r="AD133" s="153" t="str">
        <f>IFERROR(__xludf.DUMMYFUNCTION("""COMPUTED_VALUE"""),"Evidencia")</f>
        <v>Evidencia</v>
      </c>
      <c r="AE133" s="208" t="str">
        <f>IFERROR(__xludf.DUMMYFUNCTION("""COMPUTED_VALUE"""),"Si")</f>
        <v>Si</v>
      </c>
      <c r="AF133" s="211" t="str">
        <f>IFERROR(__xludf.DUMMYFUNCTION("""COMPUTED_VALUE"""),"Ejecutada")</f>
        <v>Ejecutada</v>
      </c>
      <c r="AG133" s="208" t="str">
        <f>IFERROR(__xludf.DUMMYFUNCTION("""COMPUTED_VALUE"""),"Durante este primer período de monitoreo NO se materializó el riesgo.
Controles implementados:
C1: Se evidenció la realización de capacitaciones dirigidas a los supervisores de convenios y a sus apoyos profesionales, en relación con lo establecido en la"&amp;" Resolución Rectoral 1092 de 2021. En dichas jornadas se socializaron los conceptos fundamentales de la supervisión, las funciones asignadas, así como las prohibiciones, inhabilidades e incompatibilidades aplicables, y los requisitos para la adecuada liqu"&amp;"idación de los convenios, dando cumplimiento al control establecido.
C2: Se constató el envío de memorandos mensuales desde el área de convenios a los supervisores de convenios, reiterando la obligación de remitir oportunamente los informes mensuales de "&amp;"los convenios vigentes y de aquellos pendientes por liquidar, así como las funciones asignadas conforme a la normativa vigente. Se adjuntan evidencias de envío que soportan la aplicación del control.
Acciones de tratamiento:
De acuerdo con la valoración "&amp;"realizada, el riesgo se encuentra aceptado, por lo cual no se definieron acciones de tratamiento adicionales para el período evaluado. No obstante, se evidencia la aplicación permanente de los controles existentes, los cuales contribuyen a mitigar la ocur"&amp;"rencia del riesgo.")</f>
        <v>Durante este primer período de monitoreo NO se materializó el riesgo.
Controles implementados:
C1: Se evidenció la realización de capacitaciones dirigidas a los supervisores de convenios y a sus apoyos profesionales, en relación con lo establecido en la Resolución Rectoral 1092 de 2021. En dichas jornadas se socializaron los conceptos fundamentales de la supervisión, las funciones asignadas, así como las prohibiciones, inhabilidades e incompatibilidades aplicables, y los requisitos para la adecuada liquidación de los convenios, dando cumplimiento al control establecido.
C2: Se constató el envío de memorandos mensuales desde el área de convenios a los supervisores de convenios, reiterando la obligación de remitir oportunamente los informes mensuales de los convenios vigentes y de aquellos pendientes por liquidar, así como las funciones asignadas conforme a la normativa vigente. Se adjuntan evidencias de envío que soportan la aplicación del control.
Acciones de tratamiento:
De acuerdo con la valoración realizada, el riesgo se encuentra aceptado, por lo cual no se definieron acciones de tratamiento adicionales para el período evaluado. No obstante, se evidencia la aplicación permanente de los controles existentes, los cuales contribuyen a mitigar la ocurrencia del riesgo.</v>
      </c>
      <c r="AH133" s="150" t="str">
        <f>IFERROR(__xludf.DUMMYFUNCTION("""COMPUTED_VALUE"""),"31 de diciembre")</f>
        <v>31 de diciembre</v>
      </c>
      <c r="AI133" s="32" t="str">
        <f>IFERROR(__xludf.DUMMYFUNCTION("""COMPUTED_VALUE"""),"Si")</f>
        <v>Si</v>
      </c>
      <c r="AJ133" s="32" t="str">
        <f>IFERROR(__xludf.DUMMYFUNCTION("""COMPUTED_VALUE"""),"Si")</f>
        <v>Si</v>
      </c>
      <c r="AK133" s="32" t="str">
        <f>IFERROR(__xludf.DUMMYFUNCTION("""COMPUTED_VALUE"""),"Si")</f>
        <v>Si</v>
      </c>
      <c r="AL133" s="32" t="str">
        <f>IFERROR(__xludf.DUMMYFUNCTION("""COMPUTED_VALUE"""),"Si")</f>
        <v>Si</v>
      </c>
      <c r="AM133" s="32" t="str">
        <f>IFERROR(__xludf.DUMMYFUNCTION("""COMPUTED_VALUE"""),"Si")</f>
        <v>Si</v>
      </c>
      <c r="AN133" s="32" t="str">
        <f>IFERROR(__xludf.DUMMYFUNCTION("""COMPUTED_VALUE"""),"No")</f>
        <v>No</v>
      </c>
      <c r="AO133" s="32" t="str">
        <f>IFERROR(__xludf.DUMMYFUNCTION("""COMPUTED_VALUE"""),"No aplica")</f>
        <v>No aplica</v>
      </c>
      <c r="AP133" s="32" t="str">
        <f>IFERROR(__xludf.DUMMYFUNCTION("""COMPUTED_VALUE"""),"No aplica")</f>
        <v>No aplica</v>
      </c>
      <c r="AQ133" s="32" t="str">
        <f>IFERROR(__xludf.DUMMYFUNCTION("""COMPUTED_VALUE"""),"No aplica")</f>
        <v>No aplica</v>
      </c>
      <c r="AR133" s="32" t="str">
        <f>IFERROR(__xludf.DUMMYFUNCTION("""COMPUTED_VALUE"""),"No aplica")</f>
        <v>No aplica</v>
      </c>
      <c r="AS133" s="208" t="str">
        <f>IFERROR(__xludf.DUMMYFUNCTION("""COMPUTED_VALUE"""),"Se reitera la siguiente recomendación: 
*Fortalecer la descripción del riesgo, considerando la metodología de la Guía para la Administración del Riesgo y el diseño de controles en entidades públicas Versión 6.
*Fortalecer la descripción de los controles "&amp;"conforme a la metodología propuesta en la Guía para la Administración del Riesgo y el diseño de controles en entidades públicas Versión 6, que propone los elementos que debe contemplar el diseño del control, como son: 
Responsable de ejecutar el control: "&amp;"identifica el cargo del servidor que ejecuta el control, en caso de que sean controles automáticos se identificará el sistema que realiza la actividad. 
Acción: se determina mediante verbos que indican la acción que deben realizar como parte del control. "&amp;"
Complemento: corresponde a los detalles que permiten identificar claramente el objeto del control.
")</f>
        <v>Se reitera la siguiente recomendación: 
*Fortalecer la descripción del riesgo, considerando la metodología de la Guía para la Administración del Riesgo y el diseño de controles en entidades públicas Versión 6.
*Fortalecer la descripción de los controles conforme a la metodología propuesta en la Guía para la Administración del Riesgo y el diseño de controles en entidades públicas Versión 6, que propone los elementos que debe contemplar el diseño del control, como son: 
Responsable de ejecutar el control: identifica el cargo del servidor que ejecuta el control, en caso de que sean controles automáticos se identificará el sistema que realiza la actividad. 
Acción: se determina mediante verbos que indican la acción que deben realizar como parte del control. 
Complemento: corresponde a los detalles que permiten identificar claramente el objeto del control.
</v>
      </c>
      <c r="AT133" s="161"/>
    </row>
    <row r="134">
      <c r="A134" s="161"/>
      <c r="B134" s="73"/>
      <c r="C134" s="73"/>
      <c r="D134" s="213" t="str">
        <f>IFERROR(__xludf.DUMMYFUNCTION("""COMPUTED_VALUE"""),"Materialización de conflicto de interés y soborno al solicitar o recibir dádivas o beneficios a nombre propio o de terceros")</f>
        <v>Materialización de conflicto de interés y soborno al solicitar o recibir dádivas o beneficios a nombre propio o de terceros</v>
      </c>
      <c r="E134" s="206" t="str">
        <f>IFERROR(__xludf.DUMMYFUNCTION("""COMPUTED_VALUE"""),"Oficina jurídica")</f>
        <v>Oficina jurídica</v>
      </c>
      <c r="F134" s="206" t="str">
        <f>IFERROR(__xludf.DUMMYFUNCTION("""COMPUTED_VALUE"""),"Soborno")</f>
        <v>Soborno</v>
      </c>
      <c r="G134" s="206" t="str">
        <f>IFERROR(__xludf.DUMMYFUNCTION("""COMPUTED_VALUE"""),"Procesos ejecutados de forma manual
")</f>
        <v>Procesos ejecutados de forma manual
</v>
      </c>
      <c r="H134" s="206" t="str">
        <f>IFERROR(__xludf.DUMMYFUNCTION("""COMPUTED_VALUE"""),"- Multas y sanciones por parte de entes de control 
- Procesos disciplinarios y/o sanciones penales")</f>
        <v>- Multas y sanciones por parte de entes de control 
- Procesos disciplinarios y/o sanciones penales</v>
      </c>
      <c r="I134" s="206" t="str">
        <f>IFERROR(__xludf.DUMMYFUNCTION("""COMPUTED_VALUE"""),"JUR_03")</f>
        <v>JUR_03</v>
      </c>
      <c r="J134" s="206" t="str">
        <f>IFERROR(__xludf.DUMMYFUNCTION("""COMPUTED_VALUE"""),"Baja")</f>
        <v>Baja</v>
      </c>
      <c r="K134" s="206" t="str">
        <f>IFERROR(__xludf.DUMMYFUNCTION("""COMPUTED_VALUE"""),"Mayor")</f>
        <v>Mayor</v>
      </c>
      <c r="L134" s="206" t="str">
        <f>IFERROR(__xludf.DUMMYFUNCTION("""COMPUTED_VALUE"""),"Alta")</f>
        <v>Alta</v>
      </c>
      <c r="M134" s="206" t="str">
        <f>IFERROR(__xludf.DUMMYFUNCTION("""COMPUTED_VALUE"""),"Reporte semestral del formato M-70 del SIRECI
")</f>
        <v>Reporte semestral del formato M-70 del SIRECI
</v>
      </c>
      <c r="N134" s="206" t="str">
        <f>IFERROR(__xludf.DUMMYFUNCTION("""COMPUTED_VALUE"""),"Baja")</f>
        <v>Baja</v>
      </c>
      <c r="O134" s="206" t="str">
        <f>IFERROR(__xludf.DUMMYFUNCTION("""COMPUTED_VALUE"""),"Mayor")</f>
        <v>Mayor</v>
      </c>
      <c r="P134" s="206" t="str">
        <f>IFERROR(__xludf.DUMMYFUNCTION("""COMPUTED_VALUE"""),"Alta")</f>
        <v>Alta</v>
      </c>
      <c r="Q134" s="207" t="str">
        <f>IFERROR(__xludf.DUMMYFUNCTION("""COMPUTED_VALUE"""),"Evitar")</f>
        <v>Evitar</v>
      </c>
      <c r="R134" s="158" t="str">
        <f>IFERROR(__xludf.DUMMYFUNCTION("""COMPUTED_VALUE"""),"Oficios indicando la prevención del riesgo y las consecuencias del mismo")</f>
        <v>Oficios indicando la prevención del riesgo y las consecuencias del mismo</v>
      </c>
      <c r="S134" s="159" t="str">
        <f>IFERROR(__xludf.DUMMYFUNCTION("""COMPUTED_VALUE"""),"Semestral")</f>
        <v>Semestral</v>
      </c>
      <c r="T134" s="170" t="str">
        <f>IFERROR(__xludf.DUMMYFUNCTION("""COMPUTED_VALUE"""),"Asesora Jurídica")</f>
        <v>Asesora Jurídica</v>
      </c>
      <c r="U134" s="170" t="str">
        <f>IFERROR(__xludf.DUMMYFUNCTION("""COMPUTED_VALUE"""),"Correo electrónico")</f>
        <v>Correo electrónico</v>
      </c>
      <c r="V134" s="167" t="str">
        <f>IFERROR(__xludf.DUMMYFUNCTION("""COMPUTED_VALUE"""),"Reportar ante las autoridades internas y externas ")</f>
        <v>Reportar ante las autoridades internas y externas </v>
      </c>
      <c r="W134" s="167" t="str">
        <f>IFERROR(__xludf.DUMMYFUNCTION("""COMPUTED_VALUE"""),"Oficios remisorios")</f>
        <v>Oficios remisorios</v>
      </c>
      <c r="X134" s="167" t="str">
        <f>IFERROR(__xludf.DUMMYFUNCTION("""COMPUTED_VALUE"""),"Asesora Jurídica")</f>
        <v>Asesora Jurídica</v>
      </c>
      <c r="Y134" s="167" t="str">
        <f>IFERROR(__xludf.DUMMYFUNCTION("""COMPUTED_VALUE"""),"de manera inmediata")</f>
        <v>de manera inmediata</v>
      </c>
      <c r="Z134" s="208" t="str">
        <f>IFERROR(__xludf.DUMMYFUNCTION("""COMPUTED_VALUE"""),"30 de abril")</f>
        <v>30 de abril</v>
      </c>
      <c r="AA134" s="209">
        <f>IFERROR(__xludf.DUMMYFUNCTION("""COMPUTED_VALUE"""),45777.0)</f>
        <v>45777</v>
      </c>
      <c r="AB134" s="208" t="str">
        <f>IFERROR(__xludf.DUMMYFUNCTION("""COMPUTED_VALUE"""),"Durante el periodo de monitoreo NO se materializó el riesgo.
No obstante, para este caso no se presentan acciones de tratamiento, sin embargo, se atienden las acciones asociadas a la aplicación de controles de riesgos, a saber:
Se remite memorando median"&amp;"te el cual se ratifica el cumplimiento del deber que nos asiste como servidores públicos ante el correcto ejercicio de nuestras funciones y actividades, como quiera que la actividad del Estado se encuentra sujeta a controles, así como sobre quienes presta"&amp;"n sus servicios al Estado, de tal suerte, que los servidores públicos en el desarrollo de sus funciones pueden llegar a incurrir en diferentes tipos de responsabilidades, en esta medida, una actuación que no se ajuste a la Ley y/o a los reglamentos pueden"&amp;" originar consecuencias de tipo: Fiscal, Penal, Disciplinario. Haciendo énfasis en los delitos contra la administración pública consagrados en la Ley 599 de 2000 (Código Penal).
")</f>
        <v>Durante el periodo de monitoreo NO se materializó el riesgo.
No obstante, para este caso no se presentan acciones de tratamiento, sin embargo, se atienden las acciones asociadas a la aplicación de controles de riesgos, a saber:
Se remite memorando mediante el cual se ratifica el cumplimiento del deber que nos asiste como servidores públicos ante el correcto ejercicio de nuestras funciones y actividades, como quiera que la actividad del Estado se encuentra sujeta a controles, así como sobre quienes prestan sus servicios al Estado, de tal suerte, que los servidores públicos en el desarrollo de sus funciones pueden llegar a incurrir en diferentes tipos de responsabilidades, en esta medida, una actuación que no se ajuste a la Ley y/o a los reglamentos pueden originar consecuencias de tipo: Fiscal, Penal, Disciplinario. Haciendo énfasis en los delitos contra la administración pública consagrados en la Ley 599 de 2000 (Código Penal).
</v>
      </c>
      <c r="AC134" s="210" t="str">
        <f>IFERROR(__xludf.DUMMYFUNCTION("""COMPUTED_VALUE"""),"Diana Milena Salas Leal - Jefe Oficina Asesora Jurídica")</f>
        <v>Diana Milena Salas Leal - Jefe Oficina Asesora Jurídica</v>
      </c>
      <c r="AD134" s="153" t="str">
        <f>IFERROR(__xludf.DUMMYFUNCTION("""COMPUTED_VALUE"""),"Evidencia")</f>
        <v>Evidencia</v>
      </c>
      <c r="AE134" s="208" t="str">
        <f>IFERROR(__xludf.DUMMYFUNCTION("""COMPUTED_VALUE"""),"Si")</f>
        <v>Si</v>
      </c>
      <c r="AF134" s="208" t="str">
        <f>IFERROR(__xludf.DUMMYFUNCTION("""COMPUTED_VALUE"""),"En proceso")</f>
        <v>En proceso</v>
      </c>
      <c r="AG134" s="208" t="str">
        <f>IFERROR(__xludf.DUMMYFUNCTION("""COMPUTED_VALUE"""),"Durante el primer periodo de monitoreo NO se materializó el riesgo, lo cual representa un resultado positivo en términos de prevención y control.
Sobre las acciones de tratamiento:
Aunque en el reporte de seguimiento se indica que no se presentan accione"&amp;"s de tratamiento, se observa en la matriz institucional que sí fueron programadas las siguientes:
Envío semestral de oficios informando sobre la prevención del riesgo y las consecuencias de incurrir en faltas administrativas o delitos.
Capacitaciones an"&amp;"uales orientadas a la prevención de delitos contra la administración pública.
En este sentido, es necesario ajustar el reporte, aclarando si estas acciones se ejecutaron o si están en proceso, e incluir evidencias como copias de los oficios enviados, lis"&amp;"tas de asistencia o material utilizado en las capacitaciones. La omisión de esta información representa un vacío en el seguimiento del plan de tratamiento.
Sobre los controles implementados:
Se señala como único control el reporte semestral del formato M"&amp;"-70 del SIRECI, el cual permite la trazabilidad institucional del riesgo. No obstante, sería conveniente indicar si este control ya fue diligenciado en este periodo y si se cuenta con el soporte de envío o consolidación del formato.")</f>
        <v>Durante el primer periodo de monitoreo NO se materializó el riesgo, lo cual representa un resultado positivo en términos de prevención y control.
Sobre las acciones de tratamiento:
Aunque en el reporte de seguimiento se indica que no se presentan acciones de tratamiento, se observa en la matriz institucional que sí fueron programadas las siguientes:
Envío semestral de oficios informando sobre la prevención del riesgo y las consecuencias de incurrir en faltas administrativas o delitos.
Capacitaciones anuales orientadas a la prevención de delitos contra la administración pública.
En este sentido, es necesario ajustar el reporte, aclarando si estas acciones se ejecutaron o si están en proceso, e incluir evidencias como copias de los oficios enviados, listas de asistencia o material utilizado en las capacitaciones. La omisión de esta información representa un vacío en el seguimiento del plan de tratamiento.
Sobre los controles implementados:
Se señala como único control el reporte semestral del formato M-70 del SIRECI, el cual permite la trazabilidad institucional del riesgo. No obstante, sería conveniente indicar si este control ya fue diligenciado en este periodo y si se cuenta con el soporte de envío o consolidación del formato.</v>
      </c>
      <c r="AH134" s="150" t="str">
        <f>IFERROR(__xludf.DUMMYFUNCTION("""COMPUTED_VALUE"""),"30 de abril")</f>
        <v>30 de abril</v>
      </c>
      <c r="AI134" s="32" t="str">
        <f>IFERROR(__xludf.DUMMYFUNCTION("""COMPUTED_VALUE"""),"No")</f>
        <v>No</v>
      </c>
      <c r="AJ134" s="32" t="str">
        <f>IFERROR(__xludf.DUMMYFUNCTION("""COMPUTED_VALUE"""),"No")</f>
        <v>No</v>
      </c>
      <c r="AK134" s="32" t="str">
        <f>IFERROR(__xludf.DUMMYFUNCTION("""COMPUTED_VALUE"""),"No")</f>
        <v>No</v>
      </c>
      <c r="AL134" s="32" t="str">
        <f>IFERROR(__xludf.DUMMYFUNCTION("""COMPUTED_VALUE"""),"No")</f>
        <v>No</v>
      </c>
      <c r="AM134" s="32" t="str">
        <f>IFERROR(__xludf.DUMMYFUNCTION("""COMPUTED_VALUE"""),"No aplica")</f>
        <v>No aplica</v>
      </c>
      <c r="AN134" s="32" t="str">
        <f>IFERROR(__xludf.DUMMYFUNCTION("""COMPUTED_VALUE"""),"Si")</f>
        <v>Si</v>
      </c>
      <c r="AO134" s="32" t="str">
        <f>IFERROR(__xludf.DUMMYFUNCTION("""COMPUTED_VALUE"""),"No aplica")</f>
        <v>No aplica</v>
      </c>
      <c r="AP134" s="32" t="str">
        <f>IFERROR(__xludf.DUMMYFUNCTION("""COMPUTED_VALUE"""),"Si")</f>
        <v>Si</v>
      </c>
      <c r="AQ134" s="32" t="str">
        <f>IFERROR(__xludf.DUMMYFUNCTION("""COMPUTED_VALUE"""),"No aplica")</f>
        <v>No aplica</v>
      </c>
      <c r="AR134" s="32" t="str">
        <f>IFERROR(__xludf.DUMMYFUNCTION("""COMPUTED_VALUE"""),"No aplica")</f>
        <v>No aplica</v>
      </c>
      <c r="AS134" s="208" t="str">
        <f>IFERROR(__xludf.DUMMYFUNCTION("""COMPUTED_VALUE"""),"Hallazgo: 
Se evidencia debilidad en la aplicaciòn de la metodologìa establecida en la gestión del riesgo: Materialización de conflicto de interés y soborno al solicitar o recibir dádivas o beneficios a nombre propio o de terceros, con relaciòn a los sigu"&amp;"eintes aspectos:
-La valoraciòn del riesgo inherente es igual a la valoraciòn del riesgo residual.
-El control definido no guarda concordancia con la causa raiz que genera el riesgo.
Lo anterior incumple los lineamientos establecidos en la Politica para "&amp;"la Gestiòn Integral del Riesgo adoptada por la Universidad a través del Acuerdo Superior 012 de 2020.")</f>
        <v>Hallazgo: 
Se evidencia debilidad en la aplicaciòn de la metodologìa establecida en la gestión del riesgo: Materialización de conflicto de interés y soborno al solicitar o recibir dádivas o beneficios a nombre propio o de terceros, con relaciòn a los sigueintes aspectos:
-La valoraciòn del riesgo inherente es igual a la valoraciòn del riesgo residual.
-El control definido no guarda concordancia con la causa raiz que genera el riesgo.
Lo anterior incumple los lineamientos establecidos en la Politica para la Gestiòn Integral del Riesgo adoptada por la Universidad a través del Acuerdo Superior 012 de 2020.</v>
      </c>
      <c r="AT134" s="161"/>
    </row>
    <row r="135">
      <c r="A135" s="161"/>
      <c r="B135" s="73"/>
      <c r="C135" s="73"/>
      <c r="D135" s="94"/>
      <c r="E135" s="156"/>
      <c r="F135" s="156"/>
      <c r="G135" s="156"/>
      <c r="H135" s="156"/>
      <c r="I135" s="156"/>
      <c r="J135" s="156"/>
      <c r="K135" s="156"/>
      <c r="L135" s="156"/>
      <c r="M135" s="156"/>
      <c r="N135" s="156"/>
      <c r="O135" s="156"/>
      <c r="P135" s="156"/>
      <c r="Q135" s="157"/>
      <c r="R135" s="158" t="str">
        <f>IFERROR(__xludf.DUMMYFUNCTION("""COMPUTED_VALUE"""),"Capacitaciones previniendo la comisión de delitos contra la administración pública")</f>
        <v>Capacitaciones previniendo la comisión de delitos contra la administración pública</v>
      </c>
      <c r="S135" s="159" t="str">
        <f>IFERROR(__xludf.DUMMYFUNCTION("""COMPUTED_VALUE"""),"Anual")</f>
        <v>Anual</v>
      </c>
      <c r="T135" s="170" t="str">
        <f>IFERROR(__xludf.DUMMYFUNCTION("""COMPUTED_VALUE"""),"Asesora Jurídica")</f>
        <v>Asesora Jurídica</v>
      </c>
      <c r="U135" s="170" t="str">
        <f>IFERROR(__xludf.DUMMYFUNCTION("""COMPUTED_VALUE"""),"Lista de asistencia a las capacitaciones")</f>
        <v>Lista de asistencia a las capacitaciones</v>
      </c>
      <c r="V135" s="94"/>
      <c r="W135" s="94"/>
      <c r="X135" s="94"/>
      <c r="Y135" s="94"/>
      <c r="Z135" s="208" t="str">
        <f>IFERROR(__xludf.DUMMYFUNCTION("""COMPUTED_VALUE"""),"30 de agosto")</f>
        <v>30 de agosto</v>
      </c>
      <c r="AA135" s="209">
        <f>IFERROR(__xludf.DUMMYFUNCTION("""COMPUTED_VALUE"""),45897.0)</f>
        <v>45897</v>
      </c>
      <c r="AB135" s="208" t="str">
        <f>IFERROR(__xludf.DUMMYFUNCTION("""COMPUTED_VALUE"""),"Durante el periodo de monitoreo NO se materializó el riesgo.
No obstante, para este caso no se presentan acciones de tratamiento, sin embargo, se atienden las acciones asociadas a la aplicación de controles de riesgos, a saber:
Se remite memorando median"&amp;"te el cual se ratifica el cumplimiento del deber que nos asiste como servidores públicos ante el correcto ejercicio de nuestras funciones y actividades, como quiera que la actividad del Estado se encuentra sujeta a controles, así como sobre quienes presta"&amp;"n sus servicios al Estado, de tal suerte, que los servidores públicos en el desarrollo de sus funciones pueden llegar a incurrir en diferentes tipos de responsabilidades, en esta medida, una actuación que no se ajuste a la Ley y/o a los reglamentos pueden"&amp;" originar consecuencias de tipo: Fiscal, Penal, Disciplinario. Haciendo énfasis en los delitos contra la administración pública consagrados en la Ley 599 de 2000 (Código Penal).
")</f>
        <v>Durante el periodo de monitoreo NO se materializó el riesgo.
No obstante, para este caso no se presentan acciones de tratamiento, sin embargo, se atienden las acciones asociadas a la aplicación de controles de riesgos, a saber:
Se remite memorando mediante el cual se ratifica el cumplimiento del deber que nos asiste como servidores públicos ante el correcto ejercicio de nuestras funciones y actividades, como quiera que la actividad del Estado se encuentra sujeta a controles, así como sobre quienes prestan sus servicios al Estado, de tal suerte, que los servidores públicos en el desarrollo de sus funciones pueden llegar a incurrir en diferentes tipos de responsabilidades, en esta medida, una actuación que no se ajuste a la Ley y/o a los reglamentos pueden originar consecuencias de tipo: Fiscal, Penal, Disciplinario. Haciendo énfasis en los delitos contra la administración pública consagrados en la Ley 599 de 2000 (Código Penal).
</v>
      </c>
      <c r="AC135" s="210" t="str">
        <f>IFERROR(__xludf.DUMMYFUNCTION("""COMPUTED_VALUE"""),"Diana Milena Salas Leal - Jefe Oficina Asesora Jurídica")</f>
        <v>Diana Milena Salas Leal - Jefe Oficina Asesora Jurídica</v>
      </c>
      <c r="AD135" s="153" t="str">
        <f>IFERROR(__xludf.DUMMYFUNCTION("""COMPUTED_VALUE"""),"Evidencia")</f>
        <v>Evidencia</v>
      </c>
      <c r="AE135" s="208" t="str">
        <f>IFERROR(__xludf.DUMMYFUNCTION("""COMPUTED_VALUE"""),"Si")</f>
        <v>Si</v>
      </c>
      <c r="AF135" s="211" t="str">
        <f>IFERROR(__xludf.DUMMYFUNCTION("""COMPUTED_VALUE"""),"En proceso")</f>
        <v>En proceso</v>
      </c>
      <c r="AG135" s="208" t="str">
        <f>IFERROR(__xludf.DUMMYFUNCTION("""COMPUTED_VALUE"""),"Durante el periodo de monitoreo NO se materializó el riesgo.
Controles aplicados:
C1: Se evidencia la aplicación del reporte semestral del Formato M-70 del SIRECI, como mecanismo de seguimiento al posible conflicto de interés y situaciones de soborno.
"&amp;"Acciones de tratamiento:
A1 (Semestral): Oficios emitidos a las dependencias indicando la prevención del riesgo y las consecuencias derivadas del mismo. Evidencia: correo electrónico.
A2 (Anual): Capacitaciones dirigidas a los servidores públicos de la "&amp;"Universidad, enfocadas en la prevención de la comisión de delitos contra la administración pública. Evidencia: listas de asistencia.
Adicionalmente, se remitió memorando mediante el cual se ratifica el deber de los servidores públicos de actuar conforme "&amp;"a la Ley y a los reglamentos, recordando que una actuación contraria puede generar responsabilidades fiscales, penales y disciplinarias. Se hizo énfasis en los delitos contra la administración pública contemplados en la Ley 599 de 2000 (Código Penal).")</f>
        <v>Durante el periodo de monitoreo NO se materializó el riesgo.
Controles aplicados:
C1: Se evidencia la aplicación del reporte semestral del Formato M-70 del SIRECI, como mecanismo de seguimiento al posible conflicto de interés y situaciones de soborno.
Acciones de tratamiento:
A1 (Semestral): Oficios emitidos a las dependencias indicando la prevención del riesgo y las consecuencias derivadas del mismo. Evidencia: correo electrónico.
A2 (Anual): Capacitaciones dirigidas a los servidores públicos de la Universidad, enfocadas en la prevención de la comisión de delitos contra la administración pública. Evidencia: listas de asistencia.
Adicionalmente, se remitió memorando mediante el cual se ratifica el deber de los servidores públicos de actuar conforme a la Ley y a los reglamentos, recordando que una actuación contraria puede generar responsabilidades fiscales, penales y disciplinarias. Se hizo énfasis en los delitos contra la administración pública contemplados en la Ley 599 de 2000 (Código Penal).</v>
      </c>
      <c r="AH135" s="150" t="str">
        <f>IFERROR(__xludf.DUMMYFUNCTION("""COMPUTED_VALUE"""),"31 de agosto")</f>
        <v>31 de agosto</v>
      </c>
      <c r="AI135" s="32" t="str">
        <f>IFERROR(__xludf.DUMMYFUNCTION("""COMPUTED_VALUE"""),"No")</f>
        <v>No</v>
      </c>
      <c r="AJ135" s="32" t="str">
        <f>IFERROR(__xludf.DUMMYFUNCTION("""COMPUTED_VALUE"""),"No")</f>
        <v>No</v>
      </c>
      <c r="AK135" s="32" t="str">
        <f>IFERROR(__xludf.DUMMYFUNCTION("""COMPUTED_VALUE"""),"No")</f>
        <v>No</v>
      </c>
      <c r="AL135" s="32" t="str">
        <f>IFERROR(__xludf.DUMMYFUNCTION("""COMPUTED_VALUE"""),"No")</f>
        <v>No</v>
      </c>
      <c r="AM135" s="32" t="str">
        <f>IFERROR(__xludf.DUMMYFUNCTION("""COMPUTED_VALUE"""),"No aplica")</f>
        <v>No aplica</v>
      </c>
      <c r="AN135" s="32" t="str">
        <f>IFERROR(__xludf.DUMMYFUNCTION("""COMPUTED_VALUE"""),"Si")</f>
        <v>Si</v>
      </c>
      <c r="AO135" s="32" t="str">
        <f>IFERROR(__xludf.DUMMYFUNCTION("""COMPUTED_VALUE"""),"No aplica")</f>
        <v>No aplica</v>
      </c>
      <c r="AP135" s="32" t="str">
        <f>IFERROR(__xludf.DUMMYFUNCTION("""COMPUTED_VALUE"""),"Si")</f>
        <v>Si</v>
      </c>
      <c r="AQ135" s="32" t="str">
        <f>IFERROR(__xludf.DUMMYFUNCTION("""COMPUTED_VALUE"""),"No aplica")</f>
        <v>No aplica</v>
      </c>
      <c r="AR135" s="32" t="str">
        <f>IFERROR(__xludf.DUMMYFUNCTION("""COMPUTED_VALUE"""),"No aplica")</f>
        <v>No aplica</v>
      </c>
      <c r="AS135" s="208" t="str">
        <f>IFERROR(__xludf.DUMMYFUNCTION("""COMPUTED_VALUE"""),"Se reitera y complementa el hallazgo resultante de la evaluación del primer cuatrimestre: 
Se evidencia debilidad en la aplicaciòn de la metodologìa establecida en la gestión del riesgo: Materialización de conflicto de interés y soborno al solicitar o rec"&amp;"ibir dádivas o beneficios a nombre propio o de terceros, con relaciòn a los sigueintes aspectos:
-No se evidencia alineación y coherencia entre las causas del riesgo, las consecuencias y el riesgo descrito. 
-La valoraciòn del riesgo inherente es igual a "&amp;"la valoraciòn del riesgo residual.
-El control definido no guarda concordancia con la causa raiz que genera el riesgo.
Lo anterior incumple los lineamientos establecidos en la Politica para la Gestiòn Integral del Riesgo adoptada por la Universidad a tra"&amp;"vés del Acuerdo Superior 012 de 2020.")</f>
        <v>Se reitera y complementa el hallazgo resultante de la evaluación del primer cuatrimestre: 
Se evidencia debilidad en la aplicaciòn de la metodologìa establecida en la gestión del riesgo: Materialización de conflicto de interés y soborno al solicitar o recibir dádivas o beneficios a nombre propio o de terceros, con relaciòn a los sigueintes aspectos:
-No se evidencia alineación y coherencia entre las causas del riesgo, las consecuencias y el riesgo descrito. 
-La valoraciòn del riesgo inherente es igual a la valoraciòn del riesgo residual.
-El control definido no guarda concordancia con la causa raiz que genera el riesgo.
Lo anterior incumple los lineamientos establecidos en la Politica para la Gestiòn Integral del Riesgo adoptada por la Universidad a través del Acuerdo Superior 012 de 2020.</v>
      </c>
      <c r="AT135" s="161"/>
    </row>
    <row r="136">
      <c r="A136" s="161"/>
      <c r="B136" s="38"/>
      <c r="C136" s="38"/>
      <c r="D136" s="98"/>
      <c r="E136" s="119"/>
      <c r="F136" s="119"/>
      <c r="G136" s="119"/>
      <c r="H136" s="119"/>
      <c r="I136" s="119"/>
      <c r="J136" s="119"/>
      <c r="K136" s="119"/>
      <c r="L136" s="119"/>
      <c r="M136" s="119"/>
      <c r="N136" s="119"/>
      <c r="O136" s="119"/>
      <c r="P136" s="119"/>
      <c r="Q136" s="162"/>
      <c r="R136" s="163" t="str">
        <f>IFERROR(__xludf.DUMMYFUNCTION("""COMPUTED_VALUE"""),"")</f>
        <v/>
      </c>
      <c r="S136" s="164" t="str">
        <f>IFERROR(__xludf.DUMMYFUNCTION("""COMPUTED_VALUE"""),"")</f>
        <v/>
      </c>
      <c r="T136" s="176"/>
      <c r="U136" s="176"/>
      <c r="V136" s="98"/>
      <c r="W136" s="98"/>
      <c r="X136" s="98"/>
      <c r="Y136" s="98"/>
      <c r="Z136" s="208" t="str">
        <f>IFERROR(__xludf.DUMMYFUNCTION("""COMPUTED_VALUE"""),"30 de diciembre")</f>
        <v>30 de diciembre</v>
      </c>
      <c r="AA136" s="212">
        <f>IFERROR(__xludf.DUMMYFUNCTION("""COMPUTED_VALUE"""),45996.0)</f>
        <v>45996</v>
      </c>
      <c r="AB136" s="208" t="str">
        <f>IFERROR(__xludf.DUMMYFUNCTION("""COMPUTED_VALUE"""),"
Durante el periodo de monitoreo NO se materializó el riesgo.
No obstante, para este caso no se presentan acciones de tratamiento, sin embargo, se atienden las acciones asociadas a la aplicación de controles de riesgos, a saber:
Respecto al único control"&amp;" asignado para el presente riesgo se informa que teniendo en cuenta que el reporte SIRECI con el formato M-70 se debe presentar semestralmente, para lo cual, en el presente monitoreo todavía no se ha hecho la realización del diligenciamiento SIRECI (El re"&amp;"porte se realizara a inicios del mes de enero de 2026).
Sin embargo y de carácter preventivo , se remite memorando No 010.-0421  de fecha 01 de diciembre de 2025, mediante el cual se ratifica el cumplimiento del deber que nos asiste como servidores públic"&amp;"os ante el correcto ejercicio de nuestras funciones y actividades, como quiera que la actividad del Estado se encuentra sujeta a controles, así como sobre quienes prestan sus servicios al Estado, de tal suerte, que los servidores públicos en el desarrollo"&amp;" de sus funciones pueden llegar a incurrir en diferentes tipos de responsabilidades, en esta medida, una actuación que no se ajuste a la Ley y/o a los reglamentos pueden originar consecuencias de tipo: Fiscal, Civil, Penal, Disciplinario. Haciendo énfasis"&amp;" en los delitos contra la administración pública.
")</f>
        <v>
Durante el periodo de monitoreo NO se materializó el riesgo.
No obstante, para este caso no se presentan acciones de tratamiento, sin embargo, se atienden las acciones asociadas a la aplicación de controles de riesgos, a saber:
Respecto al único control asignado para el presente riesgo se informa que teniendo en cuenta que el reporte SIRECI con el formato M-70 se debe presentar semestralmente, para lo cual, en el presente monitoreo todavía no se ha hecho la realización del diligenciamiento SIRECI (El reporte se realizara a inicios del mes de enero de 2026).
Sin embargo y de carácter preventivo , se remite memorando No 010.-0421  de fecha 01 de diciembre de 2025, mediante el cual se ratifica el cumplimiento del deber que nos asiste como servidores públicos ante el correcto ejercicio de nuestras funciones y actividades, como quiera que la actividad del Estado se encuentra sujeta a controles, así como sobre quienes prestan sus servicios al Estado, de tal suerte, que los servidores públicos en el desarrollo de sus funciones pueden llegar a incurrir en diferentes tipos de responsabilidades, en esta medida, una actuación que no se ajuste a la Ley y/o a los reglamentos pueden originar consecuencias de tipo: Fiscal, Civil, Penal, Disciplinario. Haciendo énfasis en los delitos contra la administración pública.
</v>
      </c>
      <c r="AC136" s="210" t="str">
        <f>IFERROR(__xludf.DUMMYFUNCTION("""COMPUTED_VALUE"""),"Diana Milena Salas Leal - Jefe Oficina Asesora Jurídica")</f>
        <v>Diana Milena Salas Leal - Jefe Oficina Asesora Jurídica</v>
      </c>
      <c r="AD136" s="153" t="str">
        <f>IFERROR(__xludf.DUMMYFUNCTION("""COMPUTED_VALUE"""),"Evidencia")</f>
        <v>Evidencia</v>
      </c>
      <c r="AE136" s="208" t="str">
        <f>IFERROR(__xludf.DUMMYFUNCTION("""COMPUTED_VALUE"""),"Si")</f>
        <v>Si</v>
      </c>
      <c r="AF136" s="211" t="str">
        <f>IFERROR(__xludf.DUMMYFUNCTION("""COMPUTED_VALUE"""),"Ejecutada")</f>
        <v>Ejecutada</v>
      </c>
      <c r="AG136" s="208" t="str">
        <f>IFERROR(__xludf.DUMMYFUNCTION("""COMPUTED_VALUE"""),"Durante el período de monitoreo NO se materializó el riesgo.
Controles aplicados:
C1: Para el período evaluado se informa que el reporte semestral del Formato M-70 del SIRECI aún no ha sido diligenciado, dado que su presentación se encuentra programada "&amp;"para el inicio del mes de enero de 2026, conforme a la periodicidad establecida.
Acciones de tratamiento:
Si bien para el período evaluado no se ejecutaron acciones de tratamiento programadas, el proceso adelantó una acción preventiva consistente en la "&amp;"remisión del memorando No. 010.-0421 del 01 de diciembre de 2025, mediante el cual se reiteró a los servidores públicos el deber de actuar conforme a la Ley y a los reglamentos que regulan el ejercicio de la función pública. Así mismo, se recordó que el i"&amp;"ncumplimiento de dichas disposiciones puede derivar en responsabilidades de carácter fiscal, penal, civil y disciplinario, con especial énfasis en los delitos contra la administración pública.
Esta acción preventiva contribuye al fortalecimiento de la cu"&amp;"ltura de legalidad y a la mitigación del riesgo, en concordancia con los lineamientos de control definidos por la Universidad.")</f>
        <v>Durante el período de monitoreo NO se materializó el riesgo.
Controles aplicados:
C1: Para el período evaluado se informa que el reporte semestral del Formato M-70 del SIRECI aún no ha sido diligenciado, dado que su presentación se encuentra programada para el inicio del mes de enero de 2026, conforme a la periodicidad establecida.
Acciones de tratamiento:
Si bien para el período evaluado no se ejecutaron acciones de tratamiento programadas, el proceso adelantó una acción preventiva consistente en la remisión del memorando No. 010.-0421 del 01 de diciembre de 2025, mediante el cual se reiteró a los servidores públicos el deber de actuar conforme a la Ley y a los reglamentos que regulan el ejercicio de la función pública. Así mismo, se recordó que el incumplimiento de dichas disposiciones puede derivar en responsabilidades de carácter fiscal, penal, civil y disciplinario, con especial énfasis en los delitos contra la administración pública.
Esta acción preventiva contribuye al fortalecimiento de la cultura de legalidad y a la mitigación del riesgo, en concordancia con los lineamientos de control definidos por la Universidad.</v>
      </c>
      <c r="AH136" s="150" t="str">
        <f>IFERROR(__xludf.DUMMYFUNCTION("""COMPUTED_VALUE"""),"31 de diciembre")</f>
        <v>31 de diciembre</v>
      </c>
      <c r="AI136" s="32" t="str">
        <f>IFERROR(__xludf.DUMMYFUNCTION("""COMPUTED_VALUE"""),"No")</f>
        <v>No</v>
      </c>
      <c r="AJ136" s="32" t="str">
        <f>IFERROR(__xludf.DUMMYFUNCTION("""COMPUTED_VALUE"""),"No")</f>
        <v>No</v>
      </c>
      <c r="AK136" s="32" t="str">
        <f>IFERROR(__xludf.DUMMYFUNCTION("""COMPUTED_VALUE"""),"No")</f>
        <v>No</v>
      </c>
      <c r="AL136" s="32" t="str">
        <f>IFERROR(__xludf.DUMMYFUNCTION("""COMPUTED_VALUE"""),"No")</f>
        <v>No</v>
      </c>
      <c r="AM136" s="32" t="str">
        <f>IFERROR(__xludf.DUMMYFUNCTION("""COMPUTED_VALUE"""),"No aplica")</f>
        <v>No aplica</v>
      </c>
      <c r="AN136" s="32" t="str">
        <f>IFERROR(__xludf.DUMMYFUNCTION("""COMPUTED_VALUE"""),"Si")</f>
        <v>Si</v>
      </c>
      <c r="AO136" s="32" t="str">
        <f>IFERROR(__xludf.DUMMYFUNCTION("""COMPUTED_VALUE"""),"No aplica")</f>
        <v>No aplica</v>
      </c>
      <c r="AP136" s="32" t="str">
        <f>IFERROR(__xludf.DUMMYFUNCTION("""COMPUTED_VALUE"""),"Si")</f>
        <v>Si</v>
      </c>
      <c r="AQ136" s="32" t="str">
        <f>IFERROR(__xludf.DUMMYFUNCTION("""COMPUTED_VALUE"""),"No aplica")</f>
        <v>No aplica</v>
      </c>
      <c r="AR136" s="32" t="str">
        <f>IFERROR(__xludf.DUMMYFUNCTION("""COMPUTED_VALUE"""),"No aplica")</f>
        <v>No aplica</v>
      </c>
      <c r="AS136" s="208" t="str">
        <f>IFERROR(__xludf.DUMMYFUNCTION("""COMPUTED_VALUE"""),"Se reitera el siguiente hallazgo resultante de la evaluación del primer y segundo  cuatrimestre: 
Se evidencia debilidad en la aplicaciòn de la metodologìa establecida en la gestión del riesgo: Materialización de conflicto de interés y soborno al solicita"&amp;"r o recibir dádivas o beneficios a nombre propio o de terceros, con relaciòn a los sigueintes aspectos:
-No se evidencia alineación y coherencia entre las causas del riesgo, las consecuencias y el riesgo descrito. 
-La valoraciòn del riesgo inherente es i"&amp;"gual a la valoraciòn del riesgo residual.
-El control definido no guarda concordancia con la causa raiz que genera el riesgo.
Lo anterior incumple los lineamientos establecidos en la Politica para la Gestiòn Integral del Riesgo adoptada por la Universida"&amp;"d a través del Acuerdo Superior 012 de 2020.")</f>
        <v>Se reitera el siguiente hallazgo resultante de la evaluación del primer y segundo  cuatrimestre: 
Se evidencia debilidad en la aplicaciòn de la metodologìa establecida en la gestión del riesgo: Materialización de conflicto de interés y soborno al solicitar o recibir dádivas o beneficios a nombre propio o de terceros, con relaciòn a los sigueintes aspectos:
-No se evidencia alineación y coherencia entre las causas del riesgo, las consecuencias y el riesgo descrito. 
-La valoraciòn del riesgo inherente es igual a la valoraciòn del riesgo residual.
-El control definido no guarda concordancia con la causa raiz que genera el riesgo.
Lo anterior incumple los lineamientos establecidos en la Politica para la Gestiòn Integral del Riesgo adoptada por la Universidad a través del Acuerdo Superior 012 de 2020.</v>
      </c>
      <c r="AT136" s="161"/>
    </row>
    <row r="137">
      <c r="A137" s="86"/>
      <c r="B137" s="140" t="s">
        <v>232</v>
      </c>
      <c r="C137" s="203" t="str">
        <f>IFERROR(__xludf.DUMMYFUNCTION("IMPORTRANGE(""https://docs.google.com/spreadsheets/d/1ax7Wy146UEWwhqn3bBa7TaWz3VIjC9kNQNZkAToRkzU/edit?gid=318156647#gid=318156647"",""Matriz_riesgos!C11:AS22"")"),"Planear, definir y desarrollar con eficiencia y eficacia los servicios administrativos para la gestión del talento humano en la Universidad de los Llanos mediante el establecimiento de lineamientos, ejecución de acciones y seguimiento en las etapas de sel"&amp;"ección, vinculación, trayectoria y desvinculación del personal en la Institución; cumpliendo los requerimientos técnicos y legales vigentes; así como la ralización de la autoevaluación del proceso para promover la mejora continua, orientada a la misión, v"&amp;"isión y objetivos institucionales. ")</f>
        <v>Planear, definir y desarrollar con eficiencia y eficacia los servicios administrativos para la gestión del talento humano en la Universidad de los Llanos mediante el establecimiento de lineamientos, ejecución de acciones y seguimiento en las etapas de selección, vinculación, trayectoria y desvinculación del personal en la Institución; cumpliendo los requerimientos técnicos y legales vigentes; así como la ralización de la autoevaluación del proceso para promover la mejora continua, orientada a la misión, visión y objetivos institucionales. </v>
      </c>
      <c r="D137" s="214" t="str">
        <f>IFERROR(__xludf.DUMMYFUNCTION("""COMPUTED_VALUE"""),"Afectación reputacional por vinculación y/o promoción de docentes que no cumplan con los requisitos y competencias especificas de la labor docente.")</f>
        <v>Afectación reputacional por vinculación y/o promoción de docentes que no cumplan con los requisitos y competencias especificas de la labor docente.</v>
      </c>
      <c r="E137" s="215" t="str">
        <f>IFERROR(__xludf.DUMMYFUNCTION("""COMPUTED_VALUE"""),"Oficina de asuntos docentes")</f>
        <v>Oficina de asuntos docentes</v>
      </c>
      <c r="F137" s="215" t="str">
        <f>IFERROR(__xludf.DUMMYFUNCTION("""COMPUTED_VALUE"""),"Gestión")</f>
        <v>Gestión</v>
      </c>
      <c r="G137" s="215" t="str">
        <f>IFERROR(__xludf.DUMMYFUNCTION("""COMPUTED_VALUE"""),"- Ausencia de controles efectivos para la contratación de docentes idóneos
- Aprobación de perfiles por necesidad
- Omitir los procedimientos para contratación de docentes")</f>
        <v>- Ausencia de controles efectivos para la contratación de docentes idóneos
- Aprobación de perfiles por necesidad
- Omitir los procedimientos para contratación de docentes</v>
      </c>
      <c r="H137" s="215" t="str">
        <f>IFERROR(__xludf.DUMMYFUNCTION("""COMPUTED_VALUE"""),"1. Incumplimiento de los principios de transparencia y seleccion de la contrataciòn pública
2. Procesos sancionatorios, Disciplinarios y penales
3. Pérdida de la imagen y credibilidad institucional
4. Intervencion de organos de control")</f>
        <v>1. Incumplimiento de los principios de transparencia y seleccion de la contrataciòn pública
2. Procesos sancionatorios, Disciplinarios y penales
3. Pérdida de la imagen y credibilidad institucional
4. Intervencion de organos de control</v>
      </c>
      <c r="I137" s="215" t="str">
        <f>IFERROR(__xludf.DUMMYFUNCTION("""COMPUTED_VALUE"""),"GTH_01")</f>
        <v>GTH_01</v>
      </c>
      <c r="J137" s="215" t="str">
        <f>IFERROR(__xludf.DUMMYFUNCTION("""COMPUTED_VALUE"""),"Media")</f>
        <v>Media</v>
      </c>
      <c r="K137" s="215" t="str">
        <f>IFERROR(__xludf.DUMMYFUNCTION("""COMPUTED_VALUE"""),"Menor")</f>
        <v>Menor</v>
      </c>
      <c r="L137" s="215" t="str">
        <f>IFERROR(__xludf.DUMMYFUNCTION("""COMPUTED_VALUE"""),"Media")</f>
        <v>Media</v>
      </c>
      <c r="M137" s="215" t="str">
        <f>IFERROR(__xludf.DUMMYFUNCTION("""COMPUTED_VALUE"""),"- Hacer uso de la base de datos docente, para registrar o encontrar docentes idóneos a contratar
- Validación del título docente
 - Evaluación de la hoja de vida por el CARP  
  ")</f>
        <v>- Hacer uso de la base de datos docente, para registrar o encontrar docentes idóneos a contratar
- Validación del título docente
 - Evaluación de la hoja de vida por el CARP  
  </v>
      </c>
      <c r="N137" s="215" t="str">
        <f>IFERROR(__xludf.DUMMYFUNCTION("""COMPUTED_VALUE"""),"Muy baja")</f>
        <v>Muy baja</v>
      </c>
      <c r="O137" s="215" t="str">
        <f>IFERROR(__xludf.DUMMYFUNCTION("""COMPUTED_VALUE"""),"Menor")</f>
        <v>Menor</v>
      </c>
      <c r="P137" s="215" t="str">
        <f>IFERROR(__xludf.DUMMYFUNCTION("""COMPUTED_VALUE"""),"Baja")</f>
        <v>Baja</v>
      </c>
      <c r="Q137" s="216" t="str">
        <f>IFERROR(__xludf.DUMMYFUNCTION("""COMPUTED_VALUE"""),"Aceptar")</f>
        <v>Aceptar</v>
      </c>
      <c r="R137" s="217" t="str">
        <f>IFERROR(__xludf.DUMMYFUNCTION("""COMPUTED_VALUE"""),"Debido a que se acepta el riesgo, no se establecen acciones de tratamiento, sin embargo, se monitorea la aplicación de controles")</f>
        <v>Debido a que se acepta el riesgo, no se establecen acciones de tratamiento, sin embargo, se monitorea la aplicación de controles</v>
      </c>
      <c r="S137" s="218" t="str">
        <f>IFERROR(__xludf.DUMMYFUNCTION("""COMPUTED_VALUE"""),"N/A")</f>
        <v>N/A</v>
      </c>
      <c r="T137" s="218" t="str">
        <f>IFERROR(__xludf.DUMMYFUNCTION("""COMPUTED_VALUE"""),"N/A")</f>
        <v>N/A</v>
      </c>
      <c r="U137" s="218" t="str">
        <f>IFERROR(__xludf.DUMMYFUNCTION("""COMPUTED_VALUE"""),"N/A")</f>
        <v>N/A</v>
      </c>
      <c r="V137" s="219" t="str">
        <f>IFERROR(__xludf.DUMMYFUNCTION("""COMPUTED_VALUE"""),"Se remite a la Oficina jurídica para aplicar los correctivos pertinentes")</f>
        <v>Se remite a la Oficina jurídica para aplicar los correctivos pertinentes</v>
      </c>
      <c r="W137" s="219" t="str">
        <f>IFERROR(__xludf.DUMMYFUNCTION("""COMPUTED_VALUE"""),"Correos electronicos enviados ")</f>
        <v>Correos electronicos enviados </v>
      </c>
      <c r="X137" s="219" t="str">
        <f>IFERROR(__xludf.DUMMYFUNCTION("""COMPUTED_VALUE"""),"Jefe de Oficina Asuntos Docentes")</f>
        <v>Jefe de Oficina Asuntos Docentes</v>
      </c>
      <c r="Y137" s="219" t="str">
        <f>IFERROR(__xludf.DUMMYFUNCTION("""COMPUTED_VALUE"""),"Inmediato ")</f>
        <v>Inmediato </v>
      </c>
      <c r="Z137" s="208" t="str">
        <f>IFERROR(__xludf.DUMMYFUNCTION("""COMPUTED_VALUE"""),"30 de abril")</f>
        <v>30 de abril</v>
      </c>
      <c r="AA137" s="208" t="str">
        <f>IFERROR(__xludf.DUMMYFUNCTION("""COMPUTED_VALUE"""),"Desde enero de 2025")</f>
        <v>Desde enero de 2025</v>
      </c>
      <c r="AB137" s="208" t="str">
        <f>IFERROR(__xludf.DUMMYFUNCTION("""COMPUTED_VALUE"""),"Al 30 de abril de 2025 se han realizado 86  valoraciones de hojas de vida de docentes catedráticos y dos de docentes ocasionales, las cuales fueron revisadas y  avaladas por el Comité de Asignación y Reconocimiento de Puntaje CARP.")</f>
        <v>Al 30 de abril de 2025 se han realizado 86  valoraciones de hojas de vida de docentes catedráticos y dos de docentes ocasionales, las cuales fueron revisadas y  avaladas por el Comité de Asignación y Reconocimiento de Puntaje CARP.</v>
      </c>
      <c r="AC137" s="210" t="str">
        <f>IFERROR(__xludf.DUMMYFUNCTION("""COMPUTED_VALUE"""),"Jefe de Oficina Asuntos Docentes")</f>
        <v>Jefe de Oficina Asuntos Docentes</v>
      </c>
      <c r="AD137" s="153" t="str">
        <f>IFERROR(__xludf.DUMMYFUNCTION("""COMPUTED_VALUE"""),"Evidencia")</f>
        <v>Evidencia</v>
      </c>
      <c r="AE137" s="208" t="str">
        <f>IFERROR(__xludf.DUMMYFUNCTION("""COMPUTED_VALUE"""),"Si")</f>
        <v>Si</v>
      </c>
      <c r="AF137" s="208" t="str">
        <f>IFERROR(__xludf.DUMMYFUNCTION("""COMPUTED_VALUE"""),"En proceso")</f>
        <v>En proceso</v>
      </c>
      <c r="AG137" s="208" t="str">
        <f>IFERROR(__xludf.DUMMYFUNCTION("""COMPUTED_VALUE"""),"Al revisar el reporte generado por la dependencia, se recomienda mejorar la justificación de las acciones realizadas ya que: 
No se menciona si se materializó o no el riesgo
No se especifican acciones de control al aceptar el riesgo, se recomienda eviden"&amp;"ciar por cada control su respectivo avance, para este monitoreo solamente se esta reportando el avance en validación de hojas de vida siendo un reporte del control 2, no se observa evidencia que precise el control 1 y 3 del riesgo, se recomienda mejorar l"&amp;"a redacción y sus evidencias para el proximo monitoreo. ")</f>
        <v>Al revisar el reporte generado por la dependencia, se recomienda mejorar la justificación de las acciones realizadas ya que: 
No se menciona si se materializó o no el riesgo
No se especifican acciones de control al aceptar el riesgo, se recomienda evidenciar por cada control su respectivo avance, para este monitoreo solamente se esta reportando el avance en validación de hojas de vida siendo un reporte del control 2, no se observa evidencia que precise el control 1 y 3 del riesgo, se recomienda mejorar la redacción y sus evidencias para el proximo monitoreo. </v>
      </c>
      <c r="AH137" s="150" t="str">
        <f>IFERROR(__xludf.DUMMYFUNCTION("""COMPUTED_VALUE"""),"30 de abril")</f>
        <v>30 de abril</v>
      </c>
      <c r="AI137" s="32" t="str">
        <f>IFERROR(__xludf.DUMMYFUNCTION("""COMPUTED_VALUE"""),"Si")</f>
        <v>Si</v>
      </c>
      <c r="AJ137" s="32" t="str">
        <f>IFERROR(__xludf.DUMMYFUNCTION("""COMPUTED_VALUE"""),"Si")</f>
        <v>Si</v>
      </c>
      <c r="AK137" s="32" t="str">
        <f>IFERROR(__xludf.DUMMYFUNCTION("""COMPUTED_VALUE"""),"Si")</f>
        <v>Si</v>
      </c>
      <c r="AL137" s="32" t="str">
        <f>IFERROR(__xludf.DUMMYFUNCTION("""COMPUTED_VALUE"""),"Si")</f>
        <v>Si</v>
      </c>
      <c r="AM137" s="32" t="str">
        <f>IFERROR(__xludf.DUMMYFUNCTION("""COMPUTED_VALUE"""),"No")</f>
        <v>No</v>
      </c>
      <c r="AN137" s="32" t="str">
        <f>IFERROR(__xludf.DUMMYFUNCTION("""COMPUTED_VALUE"""),"No aplica")</f>
        <v>No aplica</v>
      </c>
      <c r="AO137" s="32" t="str">
        <f>IFERROR(__xludf.DUMMYFUNCTION("""COMPUTED_VALUE"""),"No aplica")</f>
        <v>No aplica</v>
      </c>
      <c r="AP137" s="32" t="str">
        <f>IFERROR(__xludf.DUMMYFUNCTION("""COMPUTED_VALUE"""),"No aplica")</f>
        <v>No aplica</v>
      </c>
      <c r="AQ137" s="32" t="str">
        <f>IFERROR(__xludf.DUMMYFUNCTION("""COMPUTED_VALUE"""),"No aplica")</f>
        <v>No aplica</v>
      </c>
      <c r="AR137" s="32" t="str">
        <f>IFERROR(__xludf.DUMMYFUNCTION("""COMPUTED_VALUE"""),"No aplica")</f>
        <v>No aplica</v>
      </c>
      <c r="AS137" s="208" t="str">
        <f>IFERROR(__xludf.DUMMYFUNCTION("""COMPUTED_VALUE"""),"Recomendación: 
*Reevaluar el riesgo, considerando el tipo de vinculación de los docentes (de planta, ocasional y catedrático), teniendo en cuenta que los factores de riesgo, en cada caso, pueden corresponder a aspectos diferentes, adicionalmente al no ap"&amp;"licar de manera rigurosa los criterios objetivos y méritos, la contratación puede ser utilizada para favorecer a terceros, lo que genera una situación de inequidad y un posible hecho de corrupción.  
* Fortalecer la descripción de los controles conforme "&amp;"a la metodogía propuesta en la Guía para la Administración del Riesgo y el diseño de controles en entidades públicas Versión 6, que propone los elementos que debe contemplar el diseño del control, con relación a los riesgos de gestión, como son: 
Responsa"&amp;"ble de ejecutar el control: identifica el cargo del servidor que ejecuta el control, en caso de que sean controles automáticos se identificará el sistema que realiza la actividad. 
Acción: se determina mediante verbos que indican la acción que deben reali"&amp;"zar como parte del control (ejemplos de verbos que indican control: Verificar, autorizar validar, regular, dirigir, guiar, supervisar, manejar, prohibir, permitir). 
Complemento: corresponde a los detalles que permiten identificar claramente el objeto del"&amp;" control. 
* Mejorar el reporte de la ejecución de los controles, teniendo en cuenta las observaciones realizadas por parte de la Segunda Línea de Defensa.
*Solicitar asesoría y acompañamiento desde la Segunda Línea de Defensa, con el fin de fortalecer "&amp;"la aplicación de la metodología establecida por la Universidad, para la gestión del riesgo.")</f>
        <v>Recomendación: 
*Reevaluar el riesgo, considerando el tipo de vinculación de los docentes (de planta, ocasional y catedrático), teniendo en cuenta que los factores de riesgo, en cada caso, pueden corresponder a aspectos diferentes, adicionalmente al no aplicar de manera rigurosa los criterios objetivos y méritos, la contratación puede ser utilizada para favorecer a terceros, lo que genera una situación de inequidad y un posible hecho de corrupción.  
* Fortalecer la descripción de los controles conforme a la metodogía propuesta en la Guía para la Administración del Riesgo y el diseño de controles en entidades públicas Versión 6, que propone los elementos que debe contemplar el diseño del control, con relación a los riesgos de gestión, como son: 
Responsable de ejecutar el control: identifica el cargo del servidor que ejecuta el control, en caso de que sean controles automáticos se identificará el sistema que realiza la actividad. 
Acción: se determina mediante verbos que indican la acción que deben realizar como parte del control (ejemplos de verbos que indican control: Verificar, autorizar validar, regular, dirigir, guiar, supervisar, manejar, prohibir, permitir). 
Complemento: corresponde a los detalles que permiten identificar claramente el objeto del control. 
* Mejorar el reporte de la ejecución de los controles, teniendo en cuenta las observaciones realizadas por parte de la Segunda Línea de Defensa.
*Solicitar asesoría y acompañamiento desde la Segunda Línea de Defensa, con el fin de fortalecer la aplicación de la metodología establecida por la Universidad, para la gestión del riesgo.</v>
      </c>
      <c r="AT137" s="161"/>
    </row>
    <row r="138">
      <c r="A138" s="86"/>
      <c r="B138" s="73"/>
      <c r="C138" s="73"/>
      <c r="D138" s="94"/>
      <c r="E138" s="156"/>
      <c r="F138" s="156"/>
      <c r="G138" s="156"/>
      <c r="H138" s="156"/>
      <c r="I138" s="156"/>
      <c r="J138" s="156"/>
      <c r="K138" s="156"/>
      <c r="L138" s="156"/>
      <c r="M138" s="156"/>
      <c r="N138" s="156"/>
      <c r="O138" s="156"/>
      <c r="P138" s="156"/>
      <c r="Q138" s="157"/>
      <c r="R138" s="192" t="str">
        <f>IFERROR(__xludf.DUMMYFUNCTION("""COMPUTED_VALUE"""),"")</f>
        <v/>
      </c>
      <c r="S138" s="159" t="str">
        <f>IFERROR(__xludf.DUMMYFUNCTION("""COMPUTED_VALUE"""),"")</f>
        <v/>
      </c>
      <c r="T138" s="170"/>
      <c r="U138" s="170"/>
      <c r="V138" s="94"/>
      <c r="W138" s="94"/>
      <c r="X138" s="94"/>
      <c r="Y138" s="94"/>
      <c r="Z138" s="208" t="str">
        <f>IFERROR(__xludf.DUMMYFUNCTION("""COMPUTED_VALUE"""),"30 de agosto")</f>
        <v>30 de agosto</v>
      </c>
      <c r="AA138" s="208" t="str">
        <f>IFERROR(__xludf.DUMMYFUNCTION("""COMPUTED_VALUE"""),"a 29/08/2025")</f>
        <v>a 29/08/2025</v>
      </c>
      <c r="AB138" s="208" t="str">
        <f>IFERROR(__xludf.DUMMYFUNCTION("""COMPUTED_VALUE"""),"Al corte del monitoreo NO se materializó el riesgo. 
Reporte acciones de tratamiento: 
Debido a que se acepta el riesgo, no se establecen acciones de tratamiento, sin embargo se aplican los controles establecidos.
Reporte sobre los controles:
Control "&amp;"1: A fin de dar cumplimiento a este control, el día 15 de julio 2025 de se presentó a los nuevos secretarios académicos y directores de unidades académicas en una inducción organizada por la Vicerrectoría Académica,  el instructivo para acceder al banco d"&amp;"e datos. Se adjunta el correo de invitación a la jornada y la presentación con el instructivo.
Control 2: Se inició el proceso de verificación de los títulos académicos de los docentes nuevos. Se adjuntan una muestra de las verificaciones realizadas. 
C"&amp;"ontrol 3: En este periodo se realizaron las sesiones número 13 (21/07/2025), 14 (04/08/2025), 15 (11/08/2025) y 16 (25/08/2025) del Comité de Asignación y Reconocimiento de Puntaje CARP, donde se avalaron las valoraciones de hoja de vida de docentes nuevo"&amp;"s ocasionales y catedráticos seleccionados por convocatoria, y docentes catedráticos que ingresan por necesidad de servicio. Se adjuntan las valoraciones avaladas en estas sesiones.
")</f>
        <v>Al corte del monitoreo NO se materializó el riesgo. 
Reporte acciones de tratamiento: 
Debido a que se acepta el riesgo, no se establecen acciones de tratamiento, sin embargo se aplican los controles establecidos.
Reporte sobre los controles:
Control 1: A fin de dar cumplimiento a este control, el día 15 de julio 2025 de se presentó a los nuevos secretarios académicos y directores de unidades académicas en una inducción organizada por la Vicerrectoría Académica,  el instructivo para acceder al banco de datos. Se adjunta el correo de invitación a la jornada y la presentación con el instructivo.
Control 2: Se inició el proceso de verificación de los títulos académicos de los docentes nuevos. Se adjuntan una muestra de las verificaciones realizadas. 
Control 3: En este periodo se realizaron las sesiones número 13 (21/07/2025), 14 (04/08/2025), 15 (11/08/2025) y 16 (25/08/2025) del Comité de Asignación y Reconocimiento de Puntaje CARP, donde se avalaron las valoraciones de hoja de vida de docentes nuevos ocasionales y catedráticos seleccionados por convocatoria, y docentes catedráticos que ingresan por necesidad de servicio. Se adjuntan las valoraciones avaladas en estas sesiones.
</v>
      </c>
      <c r="AC138" s="210" t="str">
        <f>IFERROR(__xludf.DUMMYFUNCTION("""COMPUTED_VALUE"""),"Jefe Oficina de Asuntos Docentes")</f>
        <v>Jefe Oficina de Asuntos Docentes</v>
      </c>
      <c r="AD138" s="153" t="str">
        <f>IFERROR(__xludf.DUMMYFUNCTION("""COMPUTED_VALUE"""),"Evidencia")</f>
        <v>Evidencia</v>
      </c>
      <c r="AE138" s="208" t="str">
        <f>IFERROR(__xludf.DUMMYFUNCTION("""COMPUTED_VALUE"""),"Si")</f>
        <v>Si</v>
      </c>
      <c r="AF138" s="208" t="str">
        <f>IFERROR(__xludf.DUMMYFUNCTION("""COMPUTED_VALUE"""),"En proceso")</f>
        <v>En proceso</v>
      </c>
      <c r="AG138" s="208" t="str">
        <f>IFERROR(__xludf.DUMMYFUNCTION("""COMPUTED_VALUE"""),"Durante este monitoreo verifiqué que NO se materializó el riesgo de afectación reputacional por vinculación y/o promoción de docentes que no cumplan con los requisitos y competencias específicas de la labor docente.
Acciones de tratamiento:
Debido a que "&amp;"el riesgo fue aceptado, no se establecieron acciones de tratamiento adicionales. Sin embargo, se constató el cumplimiento y aplicación de los controles definidos.
Controles aplicados:
C1. Uso de la base de datos docente
Se verificó que el 15 de julio de"&amp;" 2025 la Vicerrectoría Académica realizó una inducción dirigida a los nuevos secretarios académicos y directores de unidades académicas, en la cual se socializó el instructivo para acceder al banco de datos docentes. Como evidencia, se anexan el correo de"&amp;" invitación y la presentación utilizada en la jornada.
C2. Validación del título docente
Se constató el inicio del proceso de verificación de títulos académicos de los nuevos docentes vinculados. Se adjunta una muestra de las verificaciones realizadas co"&amp;"mo soporte de este control.
C3. Evaluación de hoja de vida por el CARP
Se verificó la realización de las sesiones del Comité de Asignación y Reconocimiento de Puntaje (CARP), llevadas a cabo los días 21 de julio (sesión 13), 4 de agosto (sesión 14), 11 d"&amp;"e agosto (sesión 15) y 25 de agosto (sesión 16) de 2025. En dichas sesiones se avalaron las valoraciones de hojas de vida de docentes ocasionales y catedráticos seleccionados por convocatoria, así como de docentes catedráticos vinculados por necesidad del"&amp;" servicio. Se adjuntan las valoraciones avaladas en estas sesiones como evidencia.")</f>
        <v>Durante este monitoreo verifiqué que NO se materializó el riesgo de afectación reputacional por vinculación y/o promoción de docentes que no cumplan con los requisitos y competencias específicas de la labor docente.
Acciones de tratamiento:
Debido a que el riesgo fue aceptado, no se establecieron acciones de tratamiento adicionales. Sin embargo, se constató el cumplimiento y aplicación de los controles definidos.
Controles aplicados:
C1. Uso de la base de datos docente
Se verificó que el 15 de julio de 2025 la Vicerrectoría Académica realizó una inducción dirigida a los nuevos secretarios académicos y directores de unidades académicas, en la cual se socializó el instructivo para acceder al banco de datos docentes. Como evidencia, se anexan el correo de invitación y la presentación utilizada en la jornada.
C2. Validación del título docente
Se constató el inicio del proceso de verificación de títulos académicos de los nuevos docentes vinculados. Se adjunta una muestra de las verificaciones realizadas como soporte de este control.
C3. Evaluación de hoja de vida por el CARP
Se verificó la realización de las sesiones del Comité de Asignación y Reconocimiento de Puntaje (CARP), llevadas a cabo los días 21 de julio (sesión 13), 4 de agosto (sesión 14), 11 de agosto (sesión 15) y 25 de agosto (sesión 16) de 2025. En dichas sesiones se avalaron las valoraciones de hojas de vida de docentes ocasionales y catedráticos seleccionados por convocatoria, así como de docentes catedráticos vinculados por necesidad del servicio. Se adjuntan las valoraciones avaladas en estas sesiones como evidencia.</v>
      </c>
      <c r="AH138" s="150" t="str">
        <f>IFERROR(__xludf.DUMMYFUNCTION("""COMPUTED_VALUE"""),"31 de agosto")</f>
        <v>31 de agosto</v>
      </c>
      <c r="AI138" s="32" t="str">
        <f>IFERROR(__xludf.DUMMYFUNCTION("""COMPUTED_VALUE"""),"Si")</f>
        <v>Si</v>
      </c>
      <c r="AJ138" s="32" t="str">
        <f>IFERROR(__xludf.DUMMYFUNCTION("""COMPUTED_VALUE"""),"Si")</f>
        <v>Si</v>
      </c>
      <c r="AK138" s="32" t="str">
        <f>IFERROR(__xludf.DUMMYFUNCTION("""COMPUTED_VALUE"""),"Si")</f>
        <v>Si</v>
      </c>
      <c r="AL138" s="32" t="str">
        <f>IFERROR(__xludf.DUMMYFUNCTION("""COMPUTED_VALUE"""),"Si")</f>
        <v>Si</v>
      </c>
      <c r="AM138" s="32" t="str">
        <f>IFERROR(__xludf.DUMMYFUNCTION("""COMPUTED_VALUE"""),"No")</f>
        <v>No</v>
      </c>
      <c r="AN138" s="32" t="str">
        <f>IFERROR(__xludf.DUMMYFUNCTION("""COMPUTED_VALUE"""),"No aplica")</f>
        <v>No aplica</v>
      </c>
      <c r="AO138" s="32" t="str">
        <f>IFERROR(__xludf.DUMMYFUNCTION("""COMPUTED_VALUE"""),"No aplica")</f>
        <v>No aplica</v>
      </c>
      <c r="AP138" s="32" t="str">
        <f>IFERROR(__xludf.DUMMYFUNCTION("""COMPUTED_VALUE"""),"No aplica")</f>
        <v>No aplica</v>
      </c>
      <c r="AQ138" s="32" t="str">
        <f>IFERROR(__xludf.DUMMYFUNCTION("""COMPUTED_VALUE"""),"No aplica")</f>
        <v>No aplica</v>
      </c>
      <c r="AR138" s="32" t="str">
        <f>IFERROR(__xludf.DUMMYFUNCTION("""COMPUTED_VALUE"""),"No aplica")</f>
        <v>No aplica</v>
      </c>
      <c r="AS138" s="208" t="str">
        <f>IFERROR(__xludf.DUMMYFUNCTION("""COMPUTED_VALUE"""),"Se reiteran recomendaciones realizadas como resultado de la evaluación del primer cuatrimestre: 
*Reevaluar el riesgo, considerando el tipo de vinculación de los docentes (de planta, ocasional y catedrático), teniendo en cuenta que los factores de riesgo,"&amp;" en cada caso, pueden corresponder a aspectos diferentes, adicionalmente al no aplicar de manera rigurosa los criterios objetivos y méritos, la contratación puede ser utilizada para favorecer a terceros, lo que genera una situación de inequidad y un posib"&amp;"le hecho de corrupción.  
* Fortalecer la descripción de los controles conforme a la metodogía propuesta en la Guía para la Administración del Riesgo y el diseño de controles en entidades públicas Versión 6, que propone los elementos que debe contemplar "&amp;"el diseño del control, con relación a los riesgos de gestión, como son: 
Responsable de ejecutar el control: identifica el cargo del servidor que ejecuta el control, en caso de que sean controles automáticos se identificará el sistema que realiza la activ"&amp;"idad. 
Acción: se determina mediante verbos que indican la acción que deben realizar como parte del control (ejemplos de verbos que indican control: Verificar, autorizar validar, regular, dirigir, guiar, supervisar, manejar, prohibir, permitir). 
Compleme"&amp;"nto: corresponde a los detalles que permiten identificar claramente el objeto del control. 
*Solicitar asesoría y acompañamiento desde la Segunda Línea de Defensa, con el fin de fortalecer la aplicación de la metodología establecida por la Universidad, p"&amp;"ara la gestión del riesgo.")</f>
        <v>Se reiteran recomendaciones realizadas como resultado de la evaluación del primer cuatrimestre: 
*Reevaluar el riesgo, considerando el tipo de vinculación de los docentes (de planta, ocasional y catedrático), teniendo en cuenta que los factores de riesgo, en cada caso, pueden corresponder a aspectos diferentes, adicionalmente al no aplicar de manera rigurosa los criterios objetivos y méritos, la contratación puede ser utilizada para favorecer a terceros, lo que genera una situación de inequidad y un posible hecho de corrupción.  
* Fortalecer la descripción de los controles conforme a la metodogía propuesta en la Guía para la Administración del Riesgo y el diseño de controles en entidades públicas Versión 6, que propone los elementos que debe contemplar el diseño del control, con relación a los riesgos de gestión, como son: 
Responsable de ejecutar el control: identifica el cargo del servidor que ejecuta el control, en caso de que sean controles automáticos se identificará el sistema que realiza la actividad. 
Acción: se determina mediante verbos que indican la acción que deben realizar como parte del control (ejemplos de verbos que indican control: Verificar, autorizar validar, regular, dirigir, guiar, supervisar, manejar, prohibir, permitir). 
Complemento: corresponde a los detalles que permiten identificar claramente el objeto del control. 
*Solicitar asesoría y acompañamiento desde la Segunda Línea de Defensa, con el fin de fortalecer la aplicación de la metodología establecida por la Universidad, para la gestión del riesgo.</v>
      </c>
      <c r="AT138" s="161"/>
    </row>
    <row r="139">
      <c r="A139" s="86"/>
      <c r="B139" s="73"/>
      <c r="C139" s="73"/>
      <c r="D139" s="98"/>
      <c r="E139" s="119"/>
      <c r="F139" s="119"/>
      <c r="G139" s="119"/>
      <c r="H139" s="119"/>
      <c r="I139" s="119"/>
      <c r="J139" s="119"/>
      <c r="K139" s="119"/>
      <c r="L139" s="119"/>
      <c r="M139" s="119"/>
      <c r="N139" s="119"/>
      <c r="O139" s="119"/>
      <c r="P139" s="119"/>
      <c r="Q139" s="162"/>
      <c r="R139" s="195" t="str">
        <f>IFERROR(__xludf.DUMMYFUNCTION("""COMPUTED_VALUE"""),"")</f>
        <v/>
      </c>
      <c r="S139" s="164" t="str">
        <f>IFERROR(__xludf.DUMMYFUNCTION("""COMPUTED_VALUE"""),"")</f>
        <v/>
      </c>
      <c r="T139" s="176"/>
      <c r="U139" s="176"/>
      <c r="V139" s="98"/>
      <c r="W139" s="98"/>
      <c r="X139" s="98"/>
      <c r="Y139" s="98"/>
      <c r="Z139" s="208" t="str">
        <f>IFERROR(__xludf.DUMMYFUNCTION("""COMPUTED_VALUE"""),"30 de diciembre")</f>
        <v>30 de diciembre</v>
      </c>
      <c r="AA139" s="208" t="str">
        <f>IFERROR(__xludf.DUMMYFUNCTION("""COMPUTED_VALUE"""),"a 05/12/2025")</f>
        <v>a 05/12/2025</v>
      </c>
      <c r="AB139" s="208" t="str">
        <f>IFERROR(__xludf.DUMMYFUNCTION("""COMPUTED_VALUE"""),"Al corte del monitoreo NO se materializó el riesgo. 
Reporte acciones de tratamiento: 
Debido a que se acepta el riesgo, no se establecen acciones de tratamiento, sin embargo se aplican los controles establecidos.
Reporte sobre los controles:
Control "&amp;"1: A fin de dar cumplimiento a este control, el día 16 de octubre de 2025 se remitió a la Oficina de Sistemas una actualización para el Banco de Datos de docentes en el SIAU corespondiente a 2025. Se adjunta el correo de confirmación de la actualización p"&amp;"or parte de la Oficina de sistemas el día 21 de octubre de 2025.
Control 2: Se continúo el proceso de verificación de los títulos académicos de los docentes nuevos. Se adjunta una muestra de las verificaciones realizadas. 
Control 3: En este periodo se "&amp;"realizaron las sesiones número19 (06/10/2025) y 20 (10/11/2025) del Comité de Asignación y Reconocimiento de Puntaje CARP, donde se avalaron las valoraciones de hoja de vida de docentes docentes catedráticos nuevos que ingresan por necesidad de servicio. "&amp;"Se adjuntan las valoraciones avaladas en estas sesiones.
")</f>
        <v>Al corte del monitoreo NO se materializó el riesgo. 
Reporte acciones de tratamiento: 
Debido a que se acepta el riesgo, no se establecen acciones de tratamiento, sin embargo se aplican los controles establecidos.
Reporte sobre los controles:
Control 1: A fin de dar cumplimiento a este control, el día 16 de octubre de 2025 se remitió a la Oficina de Sistemas una actualización para el Banco de Datos de docentes en el SIAU corespondiente a 2025. Se adjunta el correo de confirmación de la actualización por parte de la Oficina de sistemas el día 21 de octubre de 2025.
Control 2: Se continúo el proceso de verificación de los títulos académicos de los docentes nuevos. Se adjunta una muestra de las verificaciones realizadas. 
Control 3: En este periodo se realizaron las sesiones número19 (06/10/2025) y 20 (10/11/2025) del Comité de Asignación y Reconocimiento de Puntaje CARP, donde se avalaron las valoraciones de hoja de vida de docentes docentes catedráticos nuevos que ingresan por necesidad de servicio. Se adjuntan las valoraciones avaladas en estas sesiones.
</v>
      </c>
      <c r="AC139" s="210" t="str">
        <f>IFERROR(__xludf.DUMMYFUNCTION("""COMPUTED_VALUE"""),"Jefe Oficina de Asuntos Docentes")</f>
        <v>Jefe Oficina de Asuntos Docentes</v>
      </c>
      <c r="AD139" s="153" t="str">
        <f>IFERROR(__xludf.DUMMYFUNCTION("""COMPUTED_VALUE"""),"Evidencia")</f>
        <v>Evidencia</v>
      </c>
      <c r="AE139" s="208" t="str">
        <f>IFERROR(__xludf.DUMMYFUNCTION("""COMPUTED_VALUE"""),"Si")</f>
        <v>Si</v>
      </c>
      <c r="AF139" s="208" t="str">
        <f>IFERROR(__xludf.DUMMYFUNCTION("""COMPUTED_VALUE"""),"Ejecutada")</f>
        <v>Ejecutada</v>
      </c>
      <c r="AG139" s="208" t="str">
        <f>IFERROR(__xludf.DUMMYFUNCTION("""COMPUTED_VALUE"""),"-Durante el presente monitoreo no se materializó el riesgo. Los controles definidos se aplicaron de manera adecuada durante el periodo evaluado:
Control 1: El 16/10/2025 se gestionó ante la Oficina de Sistemas la actualización del Banco de Datos de docen"&amp;"tes en el SIAU para la vigencia 2025, obteniendo confirmación el 21/10/2025.
Control 2: Se continuó con el proceso de verificación de los títulos académicos de los docentes nuevos.
Control 3: Se realizaron las sesiones 19 (06/10/2025) y 20 (10/11/2025) "&amp;"del Comité CARP, en las cuales se avalaron las valoraciones de hoja de vida de los docentes catedráticos nuevos que ingresan por necesidad del servicio.                                                                                                       "&amp;"                                                                                                            - Se recomienda mantener el seguimiento periódico para garantizar la actualización oportuna del Banco de Datos, la verificación académica y el aval"&amp;" correspondiente en Comité, asegurando la continuidad y eficacia de los controles establecidos.")</f>
        <v>-Durante el presente monitoreo no se materializó el riesgo. Los controles definidos se aplicaron de manera adecuada durante el periodo evaluado:
Control 1: El 16/10/2025 se gestionó ante la Oficina de Sistemas la actualización del Banco de Datos de docentes en el SIAU para la vigencia 2025, obteniendo confirmación el 21/10/2025.
Control 2: Se continuó con el proceso de verificación de los títulos académicos de los docentes nuevos.
Control 3: Se realizaron las sesiones 19 (06/10/2025) y 20 (10/11/2025) del Comité CARP, en las cuales se avalaron las valoraciones de hoja de vida de los docentes catedráticos nuevos que ingresan por necesidad del servicio.                                                                                                                                                                                                                   - Se recomienda mantener el seguimiento periódico para garantizar la actualización oportuna del Banco de Datos, la verificación académica y el aval correspondiente en Comité, asegurando la continuidad y eficacia de los controles establecidos.</v>
      </c>
      <c r="AH139" s="150" t="str">
        <f>IFERROR(__xludf.DUMMYFUNCTION("""COMPUTED_VALUE"""),"31 de diciembre")</f>
        <v>31 de diciembre</v>
      </c>
      <c r="AI139" s="32" t="str">
        <f>IFERROR(__xludf.DUMMYFUNCTION("""COMPUTED_VALUE"""),"Si")</f>
        <v>Si</v>
      </c>
      <c r="AJ139" s="32" t="str">
        <f>IFERROR(__xludf.DUMMYFUNCTION("""COMPUTED_VALUE"""),"Si")</f>
        <v>Si</v>
      </c>
      <c r="AK139" s="32" t="str">
        <f>IFERROR(__xludf.DUMMYFUNCTION("""COMPUTED_VALUE"""),"Si")</f>
        <v>Si</v>
      </c>
      <c r="AL139" s="32" t="str">
        <f>IFERROR(__xludf.DUMMYFUNCTION("""COMPUTED_VALUE"""),"Si")</f>
        <v>Si</v>
      </c>
      <c r="AM139" s="32" t="str">
        <f>IFERROR(__xludf.DUMMYFUNCTION("""COMPUTED_VALUE"""),"No")</f>
        <v>No</v>
      </c>
      <c r="AN139" s="32" t="str">
        <f>IFERROR(__xludf.DUMMYFUNCTION("""COMPUTED_VALUE"""),"No aplica")</f>
        <v>No aplica</v>
      </c>
      <c r="AO139" s="32" t="str">
        <f>IFERROR(__xludf.DUMMYFUNCTION("""COMPUTED_VALUE"""),"No aplica")</f>
        <v>No aplica</v>
      </c>
      <c r="AP139" s="32" t="str">
        <f>IFERROR(__xludf.DUMMYFUNCTION("""COMPUTED_VALUE"""),"No aplica")</f>
        <v>No aplica</v>
      </c>
      <c r="AQ139" s="32" t="str">
        <f>IFERROR(__xludf.DUMMYFUNCTION("""COMPUTED_VALUE"""),"No aplica")</f>
        <v>No aplica</v>
      </c>
      <c r="AR139" s="32" t="str">
        <f>IFERROR(__xludf.DUMMYFUNCTION("""COMPUTED_VALUE"""),"No aplica")</f>
        <v>No aplica</v>
      </c>
      <c r="AS139" s="208" t="str">
        <f>IFERROR(__xludf.DUMMYFUNCTION("""COMPUTED_VALUE"""),"Se reiteran recomendaciones realizadas como resultado de la evaluación del primer y segundo cuatrimestre: 
*Reevaluar el riesgo, considerando el tipo de vinculación de los docentes (de planta, ocasional y catedrático), teniendo en cuenta que los factores "&amp;"de riesgo, en cada caso, pueden corresponder a aspectos diferentes, adicionalmente al no aplicar de manera rigurosa los criterios objetivos y méritos, la contratación puede ser utilizada para favorecer a terceros, lo que genera una situación de inequidad "&amp;"y un posible hecho de corrupción.  
* Fortalecer la descripción de los controles conforme a la metodogía propuesta en la Guía para la Administración del Riesgo y el diseño de controles en entidades públicas Versión 6, que propone los elementos que debe c"&amp;"ontemplar el diseño del control, con relación a los riesgos de gestión, como son: 
Responsable de ejecutar el control: identifica el cargo del servidor que ejecuta el control, en caso de que sean controles automáticos se identificará el sistema que realiz"&amp;"a la actividad. 
Acción: se determina mediante verbos que indican la acción que deben realizar como parte del control (ejemplos de verbos que indican control: Verificar, autorizar validar, regular, dirigir, guiar, supervisar, manejar, prohibir, permitir)."&amp;" 
Complemento: corresponde a los detalles que permiten identificar claramente el objeto del control. 
*Solicitar asesoría y acompañamiento desde la Segunda Línea de Defensa, con el fin de fortalecer la aplicación de la metodología establecida por la Univ"&amp;"ersidad, para la gestión del riesgo.")</f>
        <v>Se reiteran recomendaciones realizadas como resultado de la evaluación del primer y segundo cuatrimestre: 
*Reevaluar el riesgo, considerando el tipo de vinculación de los docentes (de planta, ocasional y catedrático), teniendo en cuenta que los factores de riesgo, en cada caso, pueden corresponder a aspectos diferentes, adicionalmente al no aplicar de manera rigurosa los criterios objetivos y méritos, la contratación puede ser utilizada para favorecer a terceros, lo que genera una situación de inequidad y un posible hecho de corrupción.  
* Fortalecer la descripción de los controles conforme a la metodogía propuesta en la Guía para la Administración del Riesgo y el diseño de controles en entidades públicas Versión 6, que propone los elementos que debe contemplar el diseño del control, con relación a los riesgos de gestión, como son: 
Responsable de ejecutar el control: identifica el cargo del servidor que ejecuta el control, en caso de que sean controles automáticos se identificará el sistema que realiza la actividad. 
Acción: se determina mediante verbos que indican la acción que deben realizar como parte del control (ejemplos de verbos que indican control: Verificar, autorizar validar, regular, dirigir, guiar, supervisar, manejar, prohibir, permitir). 
Complemento: corresponde a los detalles que permiten identificar claramente el objeto del control. 
*Solicitar asesoría y acompañamiento desde la Segunda Línea de Defensa, con el fin de fortalecer la aplicación de la metodología establecida por la Universidad, para la gestión del riesgo.</v>
      </c>
      <c r="AT139" s="161"/>
    </row>
    <row r="140">
      <c r="A140" s="86"/>
      <c r="B140" s="73"/>
      <c r="C140" s="73"/>
      <c r="D140" s="214" t="str">
        <f>IFERROR(__xludf.DUMMYFUNCTION("""COMPUTED_VALUE"""),"Afectación reputacional por ausencia de evaluación de docentes de los programas de posgrado, por parte de los estudiantes")</f>
        <v>Afectación reputacional por ausencia de evaluación de docentes de los programas de posgrado, por parte de los estudiantes</v>
      </c>
      <c r="E140" s="215" t="str">
        <f>IFERROR(__xludf.DUMMYFUNCTION("""COMPUTED_VALUE"""),"Evaluación docente")</f>
        <v>Evaluación docente</v>
      </c>
      <c r="F140" s="215" t="str">
        <f>IFERROR(__xludf.DUMMYFUNCTION("""COMPUTED_VALUE"""),"Gestión")</f>
        <v>Gestión</v>
      </c>
      <c r="G140" s="215" t="str">
        <f>IFERROR(__xludf.DUMMYFUNCTION("""COMPUTED_VALUE"""),"-Falta de articulación y gestión entre las unidades que llevan a cabo actividades necesarias para poder realizar la evaluación de los docentes de programas de posgrado
- Omisión por parte de los estudiantes
- Omisión del envío de cronograma de cursos y co"&amp;"hortes programado para el periodo académico")</f>
        <v>-Falta de articulación y gestión entre las unidades que llevan a cabo actividades necesarias para poder realizar la evaluación de los docentes de programas de posgrado
- Omisión por parte de los estudiantes
- Omisión del envío de cronograma de cursos y cohortes programado para el periodo académico</v>
      </c>
      <c r="H140" s="215" t="str">
        <f>IFERROR(__xludf.DUMMYFUNCTION("""COMPUTED_VALUE"""),"1. Intervención de órganos de control
2. Afectación de la calidad en la prestación del servicio")</f>
        <v>1. Intervención de órganos de control
2. Afectación de la calidad en la prestación del servicio</v>
      </c>
      <c r="I140" s="215" t="str">
        <f>IFERROR(__xludf.DUMMYFUNCTION("""COMPUTED_VALUE"""),"GTH_02")</f>
        <v>GTH_02</v>
      </c>
      <c r="J140" s="215" t="str">
        <f>IFERROR(__xludf.DUMMYFUNCTION("""COMPUTED_VALUE"""),"Media")</f>
        <v>Media</v>
      </c>
      <c r="K140" s="215" t="str">
        <f>IFERROR(__xludf.DUMMYFUNCTION("""COMPUTED_VALUE"""),"Moderado")</f>
        <v>Moderado</v>
      </c>
      <c r="L140" s="215" t="str">
        <f>IFERROR(__xludf.DUMMYFUNCTION("""COMPUTED_VALUE"""),"Alta")</f>
        <v>Alta</v>
      </c>
      <c r="M140" s="215" t="str">
        <f>IFERROR(__xludf.DUMMYFUNCTION("""COMPUTED_VALUE"""),"- Solicitud a los programas, docentes y secretarías académicas en fechas establecidas según la normatividad
- Solicitud a los estudiantes de diligenciamiento de la evaluación docente por correo institucional
 - Informar mediante correo electrónico  el gra"&amp;"do de avance de la evaluación docente  
 ")</f>
        <v>- Solicitud a los programas, docentes y secretarías académicas en fechas establecidas según la normatividad
- Solicitud a los estudiantes de diligenciamiento de la evaluación docente por correo institucional
 - Informar mediante correo electrónico  el grado de avance de la evaluación docente  
 </v>
      </c>
      <c r="N140" s="215" t="str">
        <f>IFERROR(__xludf.DUMMYFUNCTION("""COMPUTED_VALUE"""),"Muy baja")</f>
        <v>Muy baja</v>
      </c>
      <c r="O140" s="215" t="str">
        <f>IFERROR(__xludf.DUMMYFUNCTION("""COMPUTED_VALUE"""),"Moderado")</f>
        <v>Moderado</v>
      </c>
      <c r="P140" s="215" t="str">
        <f>IFERROR(__xludf.DUMMYFUNCTION("""COMPUTED_VALUE"""),"Media")</f>
        <v>Media</v>
      </c>
      <c r="Q140" s="216" t="str">
        <f>IFERROR(__xludf.DUMMYFUNCTION("""COMPUTED_VALUE"""),"Reducir")</f>
        <v>Reducir</v>
      </c>
      <c r="R140" s="217" t="str">
        <f>IFERROR(__xludf.DUMMYFUNCTION("""COMPUTED_VALUE"""),"- Actualizar manuales de procedimiento en los procesos de evaluación de posgrados")</f>
        <v>- Actualizar manuales de procedimiento en los procesos de evaluación de posgrados</v>
      </c>
      <c r="S140" s="218" t="str">
        <f>IFERROR(__xludf.DUMMYFUNCTION("""COMPUTED_VALUE"""),"Diciembre")</f>
        <v>Diciembre</v>
      </c>
      <c r="T140" s="220" t="str">
        <f>IFERROR(__xludf.DUMMYFUNCTION("""COMPUTED_VALUE"""),"Tecnico de apoyo secretaria de evaluación docente. ")</f>
        <v>Tecnico de apoyo secretaria de evaluación docente. </v>
      </c>
      <c r="U140" s="220" t="str">
        <f>IFERROR(__xludf.DUMMYFUNCTION("""COMPUTED_VALUE"""),"Manual publicado")</f>
        <v>Manual publicado</v>
      </c>
      <c r="V140" s="219" t="str">
        <f>IFERROR(__xludf.DUMMYFUNCTION("""COMPUTED_VALUE"""),"Informar la situación al comité de evaluación y promoción docente")</f>
        <v>Informar la situación al comité de evaluación y promoción docente</v>
      </c>
      <c r="W140" s="219" t="str">
        <f>IFERROR(__xludf.DUMMYFUNCTION("""COMPUTED_VALUE"""),"Acta de reunión del comité ")</f>
        <v>Acta de reunión del comité </v>
      </c>
      <c r="X140" s="219" t="str">
        <f>IFERROR(__xludf.DUMMYFUNCTION("""COMPUTED_VALUE"""),"Secretaría técnica de evaluación y promoción docente.")</f>
        <v>Secretaría técnica de evaluación y promoción docente.</v>
      </c>
      <c r="Y140" s="219" t="str">
        <f>IFERROR(__xludf.DUMMYFUNCTION("""COMPUTED_VALUE"""),"Máximo  1 mes después de la materialización del riesgo")</f>
        <v>Máximo  1 mes después de la materialización del riesgo</v>
      </c>
      <c r="Z140" s="208" t="str">
        <f>IFERROR(__xludf.DUMMYFUNCTION("""COMPUTED_VALUE"""),"30 de abril")</f>
        <v>30 de abril</v>
      </c>
      <c r="AA140" s="208" t="str">
        <f>IFERROR(__xludf.DUMMYFUNCTION("""COMPUTED_VALUE"""),"27/01/2025 al 30/04/2025 ")</f>
        <v>27/01/2025 al 30/04/2025 </v>
      </c>
      <c r="AB140" s="208" t="str">
        <f>IFERROR(__xludf.DUMMYFUNCTION("""COMPUTED_VALUE"""),"El proceso de evaluación se realiza informando a todas las fuentes evaluadora (Estudiantes, Docente, Consejo de Facultad) de acuerdo a los establecido en el acuerdo 005 del 2022, 
")</f>
        <v>El proceso de evaluación se realiza informando a todas las fuentes evaluadora (Estudiantes, Docente, Consejo de Facultad) de acuerdo a los establecido en el acuerdo 005 del 2022, 
</v>
      </c>
      <c r="AC140" s="210" t="str">
        <f>IFERROR(__xludf.DUMMYFUNCTION("""COMPUTED_VALUE"""),"Secretaria Tecnica de Evaluacion y Promocion Docente ")</f>
        <v>Secretaria Tecnica de Evaluacion y Promocion Docente </v>
      </c>
      <c r="AD140" s="153" t="str">
        <f>IFERROR(__xludf.DUMMYFUNCTION("""COMPUTED_VALUE"""),"Evidencia")</f>
        <v>Evidencia</v>
      </c>
      <c r="AE140" s="208" t="str">
        <f>IFERROR(__xludf.DUMMYFUNCTION("""COMPUTED_VALUE"""),"Si")</f>
        <v>Si</v>
      </c>
      <c r="AF140" s="208" t="str">
        <f>IFERROR(__xludf.DUMMYFUNCTION("""COMPUTED_VALUE"""),"En proceso")</f>
        <v>En proceso</v>
      </c>
      <c r="AG140" s="208" t="str">
        <f>IFERROR(__xludf.DUMMYFUNCTION("""COMPUTED_VALUE"""),"Al revisar el reporte generado por la dependencia, se recomienda mejorar la justificación de las acciones realizadas reportadas dentro del avance del monitoreo de la primera linea de defensa ya que: 
No se menciona si se materializó o no el riesgo
Se rec"&amp;"omienda mejorar la redacción sobre las acciones de control debido a que se relaciona avance del proceso de evaluación docente la cual es 1 de las 3 acciones de control establecidas para el riesgo, sin embargo es necesario documentar el avance de las demás"&amp;" acciones de control. 
Al verificar la carpeta de evidencias se encuentra reporte de acciones realizadas, sin embargo dentro del reporte del monitoreo estas no se encuentran bien redactadas, se recomienda mejorar para el proximo monitoreo. ")</f>
        <v>Al revisar el reporte generado por la dependencia, se recomienda mejorar la justificación de las acciones realizadas reportadas dentro del avance del monitoreo de la primera linea de defensa ya que: 
No se menciona si se materializó o no el riesgo
Se recomienda mejorar la redacción sobre las acciones de control debido a que se relaciona avance del proceso de evaluación docente la cual es 1 de las 3 acciones de control establecidas para el riesgo, sin embargo es necesario documentar el avance de las demás acciones de control. 
Al verificar la carpeta de evidencias se encuentra reporte de acciones realizadas, sin embargo dentro del reporte del monitoreo estas no se encuentran bien redactadas, se recomienda mejorar para el proximo monitoreo. </v>
      </c>
      <c r="AH140" s="150" t="str">
        <f>IFERROR(__xludf.DUMMYFUNCTION("""COMPUTED_VALUE"""),"30 de abril")</f>
        <v>30 de abril</v>
      </c>
      <c r="AI140" s="32" t="str">
        <f>IFERROR(__xludf.DUMMYFUNCTION("""COMPUTED_VALUE"""),"Si")</f>
        <v>Si</v>
      </c>
      <c r="AJ140" s="32" t="str">
        <f>IFERROR(__xludf.DUMMYFUNCTION("""COMPUTED_VALUE"""),"Si")</f>
        <v>Si</v>
      </c>
      <c r="AK140" s="32" t="str">
        <f>IFERROR(__xludf.DUMMYFUNCTION("""COMPUTED_VALUE"""),"Si")</f>
        <v>Si</v>
      </c>
      <c r="AL140" s="32" t="str">
        <f>IFERROR(__xludf.DUMMYFUNCTION("""COMPUTED_VALUE"""),"Si")</f>
        <v>Si</v>
      </c>
      <c r="AM140" s="32" t="str">
        <f>IFERROR(__xludf.DUMMYFUNCTION("""COMPUTED_VALUE"""),"Si")</f>
        <v>Si</v>
      </c>
      <c r="AN140" s="32" t="str">
        <f>IFERROR(__xludf.DUMMYFUNCTION("""COMPUTED_VALUE"""),"No")</f>
        <v>No</v>
      </c>
      <c r="AO140" s="32" t="str">
        <f>IFERROR(__xludf.DUMMYFUNCTION("""COMPUTED_VALUE"""),"No")</f>
        <v>No</v>
      </c>
      <c r="AP140" s="32" t="str">
        <f>IFERROR(__xludf.DUMMYFUNCTION("""COMPUTED_VALUE"""),"No aplica")</f>
        <v>No aplica</v>
      </c>
      <c r="AQ140" s="32" t="str">
        <f>IFERROR(__xludf.DUMMYFUNCTION("""COMPUTED_VALUE"""),"No aplica")</f>
        <v>No aplica</v>
      </c>
      <c r="AR140" s="32" t="str">
        <f>IFERROR(__xludf.DUMMYFUNCTION("""COMPUTED_VALUE"""),"No aplica")</f>
        <v>No aplica</v>
      </c>
      <c r="AS140" s="208" t="str">
        <f>IFERROR(__xludf.DUMMYFUNCTION("""COMPUTED_VALUE"""),"Recomendaciones:
*Fortalecer la descripción del riesgo, considerando la metodología de la Guía para la Administración del Riesgo y el diseño de controles en entidades públicas Versión 6, que propone los elementos para la descripción del riesgo, como son: "&amp;"
Impacto: las consecuencias que puede ocasionar a la organización la materialización del riesgo.
Causa inmediata: circunstancias o situaciones más evidentes sobre las cuales se presenta el riesgo, las mismas no constituyen la causa principal o base para q"&amp;"ue se presente el riesgo.
Causa raíz: es la causa principal o básica, corresponden a las razones por la cuales se puede presentar el riesgo, son la base para la definición de controles en la etapa de valoración del riesgo. Se debe tener en cuenta que para"&amp;" un mismo riesgo pueden existir más de una causa o subcausas que pueden ser analizadas.
*Fortalecer la descripción de los controles conforme a la metodología propuesta en la Guía para la Administración del Riesgo y el diseño de controles en entidades púb"&amp;"licas Versión 6, que propone los elementos que debe contemplar el diseño del control, como son: 
Responsable de ejecutar el control: identifica el cargo del servidor que ejecuta el control, en caso de que sean controles automáticos se identificará el sist"&amp;"ema que realiza la actividad. 
Acción: se determina mediante verbos que indican la acción que deben realizar como parte del control. 
Complemento: corresponde a los detalles que permiten identificar claramente el objeto del control.
*Teniendo en cuenta q"&amp;"ue la opción de manejo del riesgo residual se estableció como “Reducir” se recomienda considerando lo propuesto en la Guía para la Administración del Riesgo y el diseño de controles en entidades públicas Versión 6, con relación a los siguientes aspectos:
"&amp;"-Después de realizar un análisis y considerar los niveles de riesgo, se implementan acciones que mitiguen el nivel de riesgo. No necesariamente es un control adicional.
 -Frente al plan de acción referido para la opción de reducir, es importante mencionar"&amp;" que, conceptualmente y de manera general, se trata de una herramienta de planificación empleada para la gestión y control de tareas o proyectos. Para efectos del mapa de riesgos, cuando se define la opción de reducir, se requerirá la definición de un pla"&amp;"n de acción que especifique: 
i)        responsable,
ii)         ii) fecha de implementación, y
iii)         iii) fecha de seguimiento.
*Fortalecer la calidad del reporte, por parte de la Primera Línea de Defensa, teniendo en cuenta las orientaciones reg"&amp;"istradas en el encabezado que indica: ""Acciones realizadas (En esta celda, registre el resultado de la aplicación de los controles y de las acciones asociadas al tratamiento, así mismo, indique si se materializó o no el riesgo, y las acciones realizadas "&amp;"en caso de materialización)"".
*Solicitar asesoría y acompañamiento desde la Segunda Línea de Defensa, con el fin de fortalecer la aplicación de la metodología establecida por la Universidad, para la gestión del riesgo.
")</f>
        <v>Recomendaciones:
*Fortalecer la descripción del riesgo, considerando la metodología de la Guía para la Administración del Riesgo y el diseño de controles en entidades públicas Versión 6, que propone los elementos para la descripción del riesgo, como son: 
Impacto: las consecuencias que puede ocasionar a la organización la materialización del riesgo.
Causa inmediata: circunstancias o situaciones más evidentes sobre las cuales se presenta el riesgo, las mismas no constituyen la causa principal o base para que se presente el riesgo.
Causa raíz: es la causa principal o básica, corresponden a las razones por la cuales se puede presentar el riesgo, son la base para la definición de controles en la etapa de valoración del riesgo. Se debe tener en cuenta que para un mismo riesgo pueden existir más de una causa o subcausas que pueden ser analizadas.
*Fortalecer la descripción de los controles conforme a la metodología propuesta en la Guía para la Administración del Riesgo y el diseño de controles en entidades públicas Versión 6, que propone los elementos que debe contemplar el diseño del control, como son: 
Responsable de ejecutar el control: identifica el cargo del servidor que ejecuta el control, en caso de que sean controles automáticos se identificará el sistema que realiza la actividad. 
Acción: se determina mediante verbos que indican la acción que deben realizar como parte del control. 
Complemento: corresponde a los detalles que permiten identificar claramente el objeto del control.
*Teniendo en cuenta que la opción de manejo del riesgo residual se estableció como “Reducir” se recomienda considerando lo propuesto en la Guía para la Administración del Riesgo y el diseño de controles en entidades públicas Versión 6, con relación a los siguientes aspectos:
-Después de realizar un análisis y considerar los niveles de riesgo, se implementan acciones que mitiguen el nivel de riesgo. No necesariamente es un control adicional.
 -Frente al plan de acción referido para la opción de reducir, es importante mencionar que, conceptualmente y de manera general, se trata de una herramienta de planificación empleada para la gestión y control de tareas o proyectos. Para efectos del mapa de riesgos, cuando se define la opción de reducir, se requerirá la definición de un plan de acción que especifique: 
i)        responsable,
ii)         ii) fecha de implementación, y
iii)         iii) fecha de seguimiento.
*Fortalecer la calidad del reporte, por parte de la Primera Línea de Defensa, teniendo en cuenta las orientaciones registradas en el encabezado que indica: "Acciones realizadas (En esta celda, registre el resultado de la aplicación de los controles y de las acciones asociadas al tratamiento, así mismo, indique si se materializó o no el riesgo, y las acciones realizadas en caso de materialización)".
*Solicitar asesoría y acompañamiento desde la Segunda Línea de Defensa, con el fin de fortalecer la aplicación de la metodología establecida por la Universidad, para la gestión del riesgo.
</v>
      </c>
      <c r="AT140" s="161"/>
    </row>
    <row r="141">
      <c r="A141" s="86"/>
      <c r="B141" s="73"/>
      <c r="C141" s="73"/>
      <c r="D141" s="94"/>
      <c r="E141" s="156"/>
      <c r="F141" s="156"/>
      <c r="G141" s="156"/>
      <c r="H141" s="156"/>
      <c r="I141" s="156"/>
      <c r="J141" s="156"/>
      <c r="K141" s="156"/>
      <c r="L141" s="156"/>
      <c r="M141" s="156"/>
      <c r="N141" s="156"/>
      <c r="O141" s="156"/>
      <c r="P141" s="156"/>
      <c r="Q141" s="157"/>
      <c r="R141" s="192" t="str">
        <f>IFERROR(__xludf.DUMMYFUNCTION("""COMPUTED_VALUE"""),"")</f>
        <v/>
      </c>
      <c r="S141" s="159" t="str">
        <f>IFERROR(__xludf.DUMMYFUNCTION("""COMPUTED_VALUE"""),"")</f>
        <v/>
      </c>
      <c r="T141" s="170"/>
      <c r="U141" s="170"/>
      <c r="V141" s="94"/>
      <c r="W141" s="94"/>
      <c r="X141" s="94"/>
      <c r="Y141" s="94"/>
      <c r="Z141" s="208" t="str">
        <f>IFERROR(__xludf.DUMMYFUNCTION("""COMPUTED_VALUE"""),"30 de agosto")</f>
        <v>30 de agosto</v>
      </c>
      <c r="AA141" s="221">
        <f>IFERROR(__xludf.DUMMYFUNCTION("""COMPUTED_VALUE"""),45870.0)</f>
        <v>45870</v>
      </c>
      <c r="AB141" s="208" t="str">
        <f>IFERROR(__xludf.DUMMYFUNCTION("""COMPUTED_VALUE"""),"Al corte del monitoreo NO se materializó el riesgo. 
Reporte acciones de tratamiento: 
Manual
Actualizar manuales de procedimiento en los procesos de evaluación de Posgrado: 
PD-GTH-11 Procedimiento Evaluación de Desempeño Docente Nivel Posgrado, fue mo"&amp;"dificado el año 2024 avalado en Comité.
Reporte sobre los controles:
Control 1: El proceso de evaluación se realiza informando a todas las fuentes evaluadora (Estudiantes, Docente, Consejo de Facultad) de acuerdo a los establecido en el acuerdo 005 del 20"&amp;"22, 
Para este segundo informe se realizaron 118 solicitudes de Evaluación de Desempeño Docente en Programas Posgrado. 
Control 2: se realizar por parte de la secretaria a los estudiantes directamente 
Control 3:  Mediante el seguimiento que se realiza al"&amp;" Proceso de Evaluación en el caso que alguna de las fuentes no realiza la evaluación es informado al Programa siguiendo el hilo de la solicitud de evaluación por curso 
")</f>
        <v>Al corte del monitoreo NO se materializó el riesgo. 
Reporte acciones de tratamiento: 
Manual
Actualizar manuales de procedimiento en los procesos de evaluación de Posgrado: 
PD-GTH-11 Procedimiento Evaluación de Desempeño Docente Nivel Posgrado, fue modificado el año 2024 avalado en Comité.
Reporte sobre los controles:
Control 1: El proceso de evaluación se realiza informando a todas las fuentes evaluadora (Estudiantes, Docente, Consejo de Facultad) de acuerdo a los establecido en el acuerdo 005 del 2022, 
Para este segundo informe se realizaron 118 solicitudes de Evaluación de Desempeño Docente en Programas Posgrado. 
Control 2: se realizar por parte de la secretaria a los estudiantes directamente 
Control 3:  Mediante el seguimiento que se realiza al Proceso de Evaluación en el caso que alguna de las fuentes no realiza la evaluación es informado al Programa siguiendo el hilo de la solicitud de evaluación por curso 
</v>
      </c>
      <c r="AC141" s="210" t="str">
        <f>IFERROR(__xludf.DUMMYFUNCTION("""COMPUTED_VALUE"""),"Secretaria Tecnica de Evaluacion y Promocion Docente ")</f>
        <v>Secretaria Tecnica de Evaluacion y Promocion Docente </v>
      </c>
      <c r="AD141" s="153" t="str">
        <f>IFERROR(__xludf.DUMMYFUNCTION("""COMPUTED_VALUE"""),"Evidencia")</f>
        <v>Evidencia</v>
      </c>
      <c r="AE141" s="208" t="str">
        <f>IFERROR(__xludf.DUMMYFUNCTION("""COMPUTED_VALUE"""),"Si")</f>
        <v>Si</v>
      </c>
      <c r="AF141" s="208" t="str">
        <f>IFERROR(__xludf.DUMMYFUNCTION("""COMPUTED_VALUE"""),"En proceso")</f>
        <v>En proceso</v>
      </c>
      <c r="AG141" s="208" t="str">
        <f>IFERROR(__xludf.DUMMYFUNCTION("""COMPUTED_VALUE"""),"Durante este monitoreo verifiqué que NO se materializó el riesgo de afectación reputacional por ausencia de evaluación de docentes de los programas de posgrado, por parte de los estudiantes.
Acciones de tratamiento:
Se constató la actualización del manua"&amp;"l de procedimientos para la evaluación de desempeño docente en programas de posgrado, específicamente el documento PD-GTH-11, el cual fue modificado en 2024 y avalado en Comité. Dicho manual se encuentra publicado como parte de la documentación institucio"&amp;"nal.
Controles aplicados:
C1. Solicitud a programas, docentes y secretarías académicas
Se verificó que el proceso de evaluación se realizó conforme al Acuerdo 005 de 2022, notificando a todas las fuentes evaluadoras (estudiantes, docentes y Consejo de F"&amp;"acultad). Para este corte se registraron 118 solicitudes de Evaluación de Desempeño Docente en Programas de Posgrado.
C2. Solicitud a los estudiantes
Se constató que las secretarías académicas realizaron directamente las solicitudes a los estudiantes par"&amp;"a el diligenciamiento de la evaluación docente, a través del correo institucional.
C3. Informe de avance de la evaluación
Se verificó que el seguimiento al proceso incluyó la identificación de fuentes evaluadoras que no realizaron la evaluación, situació"&amp;"n que fue informada al programa correspondiente siguiendo el hilo de solicitudes por curso.")</f>
        <v>Durante este monitoreo verifiqué que NO se materializó el riesgo de afectación reputacional por ausencia de evaluación de docentes de los programas de posgrado, por parte de los estudiantes.
Acciones de tratamiento:
Se constató la actualización del manual de procedimientos para la evaluación de desempeño docente en programas de posgrado, específicamente el documento PD-GTH-11, el cual fue modificado en 2024 y avalado en Comité. Dicho manual se encuentra publicado como parte de la documentación institucional.
Controles aplicados:
C1. Solicitud a programas, docentes y secretarías académicas
Se verificó que el proceso de evaluación se realizó conforme al Acuerdo 005 de 2022, notificando a todas las fuentes evaluadoras (estudiantes, docentes y Consejo de Facultad). Para este corte se registraron 118 solicitudes de Evaluación de Desempeño Docente en Programas de Posgrado.
C2. Solicitud a los estudiantes
Se constató que las secretarías académicas realizaron directamente las solicitudes a los estudiantes para el diligenciamiento de la evaluación docente, a través del correo institucional.
C3. Informe de avance de la evaluación
Se verificó que el seguimiento al proceso incluyó la identificación de fuentes evaluadoras que no realizaron la evaluación, situación que fue informada al programa correspondiente siguiendo el hilo de solicitudes por curso.</v>
      </c>
      <c r="AH141" s="150" t="str">
        <f>IFERROR(__xludf.DUMMYFUNCTION("""COMPUTED_VALUE"""),"31 de agosto")</f>
        <v>31 de agosto</v>
      </c>
      <c r="AI141" s="32" t="str">
        <f>IFERROR(__xludf.DUMMYFUNCTION("""COMPUTED_VALUE"""),"Si")</f>
        <v>Si</v>
      </c>
      <c r="AJ141" s="32" t="str">
        <f>IFERROR(__xludf.DUMMYFUNCTION("""COMPUTED_VALUE"""),"Si")</f>
        <v>Si</v>
      </c>
      <c r="AK141" s="32" t="str">
        <f>IFERROR(__xludf.DUMMYFUNCTION("""COMPUTED_VALUE"""),"Si")</f>
        <v>Si</v>
      </c>
      <c r="AL141" s="32" t="str">
        <f>IFERROR(__xludf.DUMMYFUNCTION("""COMPUTED_VALUE"""),"Si")</f>
        <v>Si</v>
      </c>
      <c r="AM141" s="32" t="str">
        <f>IFERROR(__xludf.DUMMYFUNCTION("""COMPUTED_VALUE"""),"Si")</f>
        <v>Si</v>
      </c>
      <c r="AN141" s="32" t="str">
        <f>IFERROR(__xludf.DUMMYFUNCTION("""COMPUTED_VALUE"""),"No")</f>
        <v>No</v>
      </c>
      <c r="AO141" s="32" t="str">
        <f>IFERROR(__xludf.DUMMYFUNCTION("""COMPUTED_VALUE"""),"No")</f>
        <v>No</v>
      </c>
      <c r="AP141" s="32" t="str">
        <f>IFERROR(__xludf.DUMMYFUNCTION("""COMPUTED_VALUE"""),"No aplica")</f>
        <v>No aplica</v>
      </c>
      <c r="AQ141" s="32" t="str">
        <f>IFERROR(__xludf.DUMMYFUNCTION("""COMPUTED_VALUE"""),"No aplica")</f>
        <v>No aplica</v>
      </c>
      <c r="AR141" s="32" t="str">
        <f>IFERROR(__xludf.DUMMYFUNCTION("""COMPUTED_VALUE"""),"No aplica")</f>
        <v>No aplica</v>
      </c>
      <c r="AS141" s="208" t="str">
        <f>IFERROR(__xludf.DUMMYFUNCTION("""COMPUTED_VALUE"""),"Se reiteran las recomendaciones generadas en el primer cuatrimestre:
*Fortalecer la descripción del riesgo, considerando la metodología de la Guía para la Administración del Riesgo y el diseño de controles en entidades públicas Versión 6, que propone los "&amp;"elementos para la descripción del riesgo, como son: 
Impacto: las consecuencias que puede ocasionar a la organización la materialización del riesgo.
Causa inmediata: circunstancias o situaciones más evidentes sobre las cuales se presenta el riesgo, las mi"&amp;"smas no constituyen la causa principal o base para que se presente el riesgo.
Causa raíz: es la causa principal o básica, corresponden a las razones por la cuales se puede presentar el riesgo, son la base para la definición de controles en la etapa de val"&amp;"oración del riesgo. Se debe tener en cuenta que para un mismo riesgo pueden existir más de una causa o subcausas que pueden ser analizadas.
*Fortalecer la descripción de los controles conforme a la metodología propuesta en la Guía para la Administración "&amp;"del Riesgo y el diseño de controles en entidades públicas Versión 6, que propone los elementos que debe contemplar el diseño del control, como son: 
Responsable de ejecutar el control: identifica el cargo del servidor que ejecuta el control, en caso de qu"&amp;"e sean controles automáticos se identificará el sistema que realiza la actividad. 
Acción: se determina mediante verbos que indican la acción que deben realizar como parte del control. 
Complemento: corresponde a los detalles que permiten identificar clar"&amp;"amente el objeto del control.
*Teniendo en cuenta que la opción de manejo del riesgo residual se estableció como “Reducir” se recomienda considerando lo propuesto en la Guía para la Administración del Riesgo y el diseño de controles en entidades públicas"&amp;" Versión 6, con relación a los siguientes aspectos:
-Después de realizar un análisis y considerar los niveles de riesgo, se implementan acciones que mitiguen el nivel de riesgo. No necesariamente es un control adicional.
 -Frente al plan de acción referid"&amp;"o para la opción de reducir, es importante mencionar que, conceptualmente y de manera general, se trata de una herramienta de planificación empleada para la gestión y control de tareas o proyectos. Para efectos del mapa de riesgos, cuando se define la opc"&amp;"ión de reducir, se requerirá la definición de un plan de acción que especifique: 
i)        responsable,
ii)         ii) fecha de implementación, y
iii)         iii) fecha de seguimiento.
*Fortalecer la calidad del reporte, por parte de la Primera Línea "&amp;"de Defensa, teniendo en cuenta las orientaciones registradas en el encabezado que indica: ""Acciones realizadas (En esta celda, registre el resultado de la aplicación de los controles y de las acciones asociadas al tratamiento, así mismo, indique si se ma"&amp;"terializó o no el riesgo, y las acciones realizadas en caso de materialización)"".
*Solicitar asesoría y acompañamiento desde la Segunda Línea de Defensa, con el fin de fortalecer la aplicación de la metodología establecida por la Universidad, para la ge"&amp;"stión del riesgo.
")</f>
        <v>Se reiteran las recomendaciones generadas en el primer cuatrimestre:
*Fortalecer la descripción del riesgo, considerando la metodología de la Guía para la Administración del Riesgo y el diseño de controles en entidades públicas Versión 6, que propone los elementos para la descripción del riesgo, como son: 
Impacto: las consecuencias que puede ocasionar a la organización la materialización del riesgo.
Causa inmediata: circunstancias o situaciones más evidentes sobre las cuales se presenta el riesgo, las mismas no constituyen la causa principal o base para que se presente el riesgo.
Causa raíz: es la causa principal o básica, corresponden a las razones por la cuales se puede presentar el riesgo, son la base para la definición de controles en la etapa de valoración del riesgo. Se debe tener en cuenta que para un mismo riesgo pueden existir más de una causa o subcausas que pueden ser analizadas.
*Fortalecer la descripción de los controles conforme a la metodología propuesta en la Guía para la Administración del Riesgo y el diseño de controles en entidades públicas Versión 6, que propone los elementos que debe contemplar el diseño del control, como son: 
Responsable de ejecutar el control: identifica el cargo del servidor que ejecuta el control, en caso de que sean controles automáticos se identificará el sistema que realiza la actividad. 
Acción: se determina mediante verbos que indican la acción que deben realizar como parte del control. 
Complemento: corresponde a los detalles que permiten identificar claramente el objeto del control.
*Teniendo en cuenta que la opción de manejo del riesgo residual se estableció como “Reducir” se recomienda considerando lo propuesto en la Guía para la Administración del Riesgo y el diseño de controles en entidades públicas Versión 6, con relación a los siguientes aspectos:
-Después de realizar un análisis y considerar los niveles de riesgo, se implementan acciones que mitiguen el nivel de riesgo. No necesariamente es un control adicional.
 -Frente al plan de acción referido para la opción de reducir, es importante mencionar que, conceptualmente y de manera general, se trata de una herramienta de planificación empleada para la gestión y control de tareas o proyectos. Para efectos del mapa de riesgos, cuando se define la opción de reducir, se requerirá la definición de un plan de acción que especifique: 
i)        responsable,
ii)         ii) fecha de implementación, y
iii)         iii) fecha de seguimiento.
*Fortalecer la calidad del reporte, por parte de la Primera Línea de Defensa, teniendo en cuenta las orientaciones registradas en el encabezado que indica: "Acciones realizadas (En esta celda, registre el resultado de la aplicación de los controles y de las acciones asociadas al tratamiento, así mismo, indique si se materializó o no el riesgo, y las acciones realizadas en caso de materialización)".
*Solicitar asesoría y acompañamiento desde la Segunda Línea de Defensa, con el fin de fortalecer la aplicación de la metodología establecida por la Universidad, para la gestión del riesgo.
</v>
      </c>
      <c r="AT141" s="161"/>
    </row>
    <row r="142">
      <c r="A142" s="86"/>
      <c r="B142" s="73"/>
      <c r="C142" s="73"/>
      <c r="D142" s="98"/>
      <c r="E142" s="119"/>
      <c r="F142" s="119"/>
      <c r="G142" s="119"/>
      <c r="H142" s="119"/>
      <c r="I142" s="119"/>
      <c r="J142" s="119"/>
      <c r="K142" s="119"/>
      <c r="L142" s="119"/>
      <c r="M142" s="119"/>
      <c r="N142" s="119"/>
      <c r="O142" s="119"/>
      <c r="P142" s="119"/>
      <c r="Q142" s="162"/>
      <c r="R142" s="195" t="str">
        <f>IFERROR(__xludf.DUMMYFUNCTION("""COMPUTED_VALUE"""),"")</f>
        <v/>
      </c>
      <c r="S142" s="164" t="str">
        <f>IFERROR(__xludf.DUMMYFUNCTION("""COMPUTED_VALUE"""),"")</f>
        <v/>
      </c>
      <c r="T142" s="176"/>
      <c r="U142" s="176"/>
      <c r="V142" s="98"/>
      <c r="W142" s="98"/>
      <c r="X142" s="98"/>
      <c r="Y142" s="98"/>
      <c r="Z142" s="208" t="str">
        <f>IFERROR(__xludf.DUMMYFUNCTION("""COMPUTED_VALUE"""),"30 de diciembre")</f>
        <v>30 de diciembre</v>
      </c>
      <c r="AA142" s="222">
        <f>IFERROR(__xludf.DUMMYFUNCTION("""COMPUTED_VALUE"""),45996.0)</f>
        <v>45996</v>
      </c>
      <c r="AB142" s="208" t="str">
        <f>IFERROR(__xludf.DUMMYFUNCTION("""COMPUTED_VALUE"""),"Al corte del monitoreo NO se materializó el riesgo. 
Reporte sobre los controles:
                                                                                                                                                                            "&amp;"                                                                 Control 1: El proceso de evaluación se realiza informando a todas las fuentes evaluadora (Estudiantes, Docente, Consejo de Facultad) de acuerdo a los establecido en el acuerdo 005 del 2022, "&amp;"Al mes de diciembre se realizaron 108 solicitudes de Evaluación de Desempeño Docente en Programas Posgrado. 
                                                                                                                                                  "&amp;"                                                                                                                                                                                                                                                               "&amp;"                               Control 2:  En el Proceso de Evaluación de Desempeño Docente la fuente evaluadora que no evalúa durante el tiempo habilitado, se informa a la fuente evaluadora y al programa con el fin de dar continuidad al proceso.
")</f>
        <v>Al corte del monitoreo NO se materializó el riesgo. 
Reporte sobre los controles:
                                                                                                                                                                                                                                             Control 1: El proceso de evaluación se realiza informando a todas las fuentes evaluadora (Estudiantes, Docente, Consejo de Facultad) de acuerdo a los establecido en el acuerdo 005 del 2022, Al mes de diciembre se realizaron 108 solicitudes de Evaluación de Desempeño Docente en Programas Posgrado. 
                                                                                                                                                                                                                                                                                                                                                                                                                                                Control 2:  En el Proceso de Evaluación de Desempeño Docente la fuente evaluadora que no evalúa durante el tiempo habilitado, se informa a la fuente evaluadora y al programa con el fin de dar continuidad al proceso.
</v>
      </c>
      <c r="AC142" s="210" t="str">
        <f>IFERROR(__xludf.DUMMYFUNCTION("""COMPUTED_VALUE"""),"Secretaria Tecnica de Evaluacion y Promocion Docente ")</f>
        <v>Secretaria Tecnica de Evaluacion y Promocion Docente </v>
      </c>
      <c r="AD142" s="153" t="str">
        <f>IFERROR(__xludf.DUMMYFUNCTION("""COMPUTED_VALUE"""),"Evidencia")</f>
        <v>Evidencia</v>
      </c>
      <c r="AE142" s="208" t="str">
        <f>IFERROR(__xludf.DUMMYFUNCTION("""COMPUTED_VALUE"""),"Si")</f>
        <v>Si</v>
      </c>
      <c r="AF142" s="208" t="str">
        <f>IFERROR(__xludf.DUMMYFUNCTION("""COMPUTED_VALUE"""),"En proceso")</f>
        <v>En proceso</v>
      </c>
      <c r="AG142" s="208" t="str">
        <f>IFERROR(__xludf.DUMMYFUNCTION("""COMPUTED_VALUE"""),"-Durante el presente monitoreo no se materializó el riesgo. Los controles se aplicaron conforme a lo establecido:
-Control 1: El proceso de evaluación se desarrolló informando oportunamente a todas las fuentes evaluadoras, conforme al Acuerdo 005 de 2022"&amp;". A diciembre se registraron 108 solicitudes de Evaluación de Desempeño Docente en programas de posgrado. Se identificó como acción de mejora la actualización de los manuales de procedimiento; sin embargo, el manual actualizado no fue reportado.
-Control"&amp;" 2: Para las fuentes evaluadoras que no realizaron la evaluación dentro del plazo, se efectuaron las notificaciones correspondientes a los evaluadores y a los programas, manteniendo la continuidad del proceso. Los controles definidos (comunicaciones a pro"&amp;"gramas, docentes, secretarías y estudiantes, así como el reporte del grado de avance) se ejecutaron en los tiempos previstos.                                                                                                                                  "&amp;"                                                                                          -Se recuerda la importancia de finalizar y reportar la actualización del manual de procedimiento, dado que es un insumo clave para estandarizar el proceso y asegurar"&amp;" la trazabilidad del control.")</f>
        <v>-Durante el presente monitoreo no se materializó el riesgo. Los controles se aplicaron conforme a lo establecido:
-Control 1: El proceso de evaluación se desarrolló informando oportunamente a todas las fuentes evaluadoras, conforme al Acuerdo 005 de 2022. A diciembre se registraron 108 solicitudes de Evaluación de Desempeño Docente en programas de posgrado. Se identificó como acción de mejora la actualización de los manuales de procedimiento; sin embargo, el manual actualizado no fue reportado.
-Control 2: Para las fuentes evaluadoras que no realizaron la evaluación dentro del plazo, se efectuaron las notificaciones correspondientes a los evaluadores y a los programas, manteniendo la continuidad del proceso. Los controles definidos (comunicaciones a programas, docentes, secretarías y estudiantes, así como el reporte del grado de avance) se ejecutaron en los tiempos previstos.                                                                                                                                                                                                                            -Se recuerda la importancia de finalizar y reportar la actualización del manual de procedimiento, dado que es un insumo clave para estandarizar el proceso y asegurar la trazabilidad del control.</v>
      </c>
      <c r="AH142" s="150" t="str">
        <f>IFERROR(__xludf.DUMMYFUNCTION("""COMPUTED_VALUE"""),"31 de diciembre")</f>
        <v>31 de diciembre</v>
      </c>
      <c r="AI142" s="32" t="str">
        <f>IFERROR(__xludf.DUMMYFUNCTION("""COMPUTED_VALUE"""),"Si")</f>
        <v>Si</v>
      </c>
      <c r="AJ142" s="32" t="str">
        <f>IFERROR(__xludf.DUMMYFUNCTION("""COMPUTED_VALUE"""),"Si")</f>
        <v>Si</v>
      </c>
      <c r="AK142" s="32" t="str">
        <f>IFERROR(__xludf.DUMMYFUNCTION("""COMPUTED_VALUE"""),"Si")</f>
        <v>Si</v>
      </c>
      <c r="AL142" s="32" t="str">
        <f>IFERROR(__xludf.DUMMYFUNCTION("""COMPUTED_VALUE"""),"Si")</f>
        <v>Si</v>
      </c>
      <c r="AM142" s="32" t="str">
        <f>IFERROR(__xludf.DUMMYFUNCTION("""COMPUTED_VALUE"""),"Si")</f>
        <v>Si</v>
      </c>
      <c r="AN142" s="32" t="str">
        <f>IFERROR(__xludf.DUMMYFUNCTION("""COMPUTED_VALUE"""),"No")</f>
        <v>No</v>
      </c>
      <c r="AO142" s="32" t="str">
        <f>IFERROR(__xludf.DUMMYFUNCTION("""COMPUTED_VALUE"""),"No")</f>
        <v>No</v>
      </c>
      <c r="AP142" s="32" t="str">
        <f>IFERROR(__xludf.DUMMYFUNCTION("""COMPUTED_VALUE"""),"No aplica")</f>
        <v>No aplica</v>
      </c>
      <c r="AQ142" s="32" t="str">
        <f>IFERROR(__xludf.DUMMYFUNCTION("""COMPUTED_VALUE"""),"No aplica")</f>
        <v>No aplica</v>
      </c>
      <c r="AR142" s="32" t="str">
        <f>IFERROR(__xludf.DUMMYFUNCTION("""COMPUTED_VALUE"""),"No aplica")</f>
        <v>No aplica</v>
      </c>
      <c r="AS142" s="208" t="str">
        <f>IFERROR(__xludf.DUMMYFUNCTION("""COMPUTED_VALUE"""),"Se reiteran las recomendaciones generadas en el primer y segundo cuatrimestre:
*Fortalecer la descripción del riesgo, considerando la metodología de la Guía para la Administración del Riesgo y el diseño de controles en entidades públicas Versión 6, que pr"&amp;"opone los elementos para la descripción del riesgo, como son: 
Impacto: las consecuencias que puede ocasionar a la organización la materialización del riesgo.
Causa inmediata: circunstancias o situaciones más evidentes sobre las cuales se presenta el ries"&amp;"go, las mismas no constituyen la causa principal o base para que se presente el riesgo.
Causa raíz: es la causa principal o básica, corresponden a las razones por la cuales se puede presentar el riesgo, son la base para la definición de controles en la et"&amp;"apa de valoración del riesgo. Se debe tener en cuenta que para un mismo riesgo pueden existir más de una causa o subcausas que pueden ser analizadas.
*Fortalecer la descripción de los controles conforme a la metodología propuesta en la Guía para la Admin"&amp;"istración del Riesgo y el diseño de controles en entidades públicas Versión 6, que propone los elementos que debe contemplar el diseño del control, como son: 
Responsable de ejecutar el control: identifica el cargo del servidor que ejecuta el control, en "&amp;"caso de que sean controles automáticos se identificará el sistema que realiza la actividad. 
Acción: se determina mediante verbos que indican la acción que deben realizar como parte del control. 
Complemento: corresponde a los detalles que permiten identi"&amp;"ficar claramente el objeto del control.
*Teniendo en cuenta que la opción de manejo del riesgo residual se estableció como “Reducir” se recomienda considerando lo propuesto en la Guía para la Administración del Riesgo y el diseño de controles en entidade"&amp;"s públicas Versión 6, con relación a los siguientes aspectos:
-Después de realizar un análisis y considerar los niveles de riesgo, se implementan acciones que mitiguen el nivel de riesgo. No necesariamente es un control adicional.
 -Frente al plan de acci"&amp;"ón referido para la opción de reducir, es importante mencionar que, conceptualmente y de manera general, se trata de una herramienta de planificación empleada para la gestión y control de tareas o proyectos. Para efectos del mapa de riesgos, cuando se def"&amp;"ine la opción de reducir, se requerirá la definición de un plan de acción que especifique: 
i)        responsable,
ii)         ii) fecha de implementación, y
iii)         iii) fecha de seguimiento.
*Fortalecer la calidad del reporte, por parte de la Prim"&amp;"era Línea de Defensa, teniendo en cuenta las orientaciones registradas en el encabezado que indica: ""Acciones realizadas (En esta celda, registre el resultado de la aplicación de los controles y de las acciones asociadas al tratamiento, así mismo, indiqu"&amp;"e si se materializó o no el riesgo, y las acciones realizadas en caso de materialización)"".
*Solicitar asesoría y acompañamiento desde la Segunda Línea de Defensa, con el fin de fortalecer la aplicación de la metodología establecida por la Universidad, "&amp;"para la gestión del riesgo.
")</f>
        <v>Se reiteran las recomendaciones generadas en el primer y segundo cuatrimestre:
*Fortalecer la descripción del riesgo, considerando la metodología de la Guía para la Administración del Riesgo y el diseño de controles en entidades públicas Versión 6, que propone los elementos para la descripción del riesgo, como son: 
Impacto: las consecuencias que puede ocasionar a la organización la materialización del riesgo.
Causa inmediata: circunstancias o situaciones más evidentes sobre las cuales se presenta el riesgo, las mismas no constituyen la causa principal o base para que se presente el riesgo.
Causa raíz: es la causa principal o básica, corresponden a las razones por la cuales se puede presentar el riesgo, son la base para la definición de controles en la etapa de valoración del riesgo. Se debe tener en cuenta que para un mismo riesgo pueden existir más de una causa o subcausas que pueden ser analizadas.
*Fortalecer la descripción de los controles conforme a la metodología propuesta en la Guía para la Administración del Riesgo y el diseño de controles en entidades públicas Versión 6, que propone los elementos que debe contemplar el diseño del control, como son: 
Responsable de ejecutar el control: identifica el cargo del servidor que ejecuta el control, en caso de que sean controles automáticos se identificará el sistema que realiza la actividad. 
Acción: se determina mediante verbos que indican la acción que deben realizar como parte del control. 
Complemento: corresponde a los detalles que permiten identificar claramente el objeto del control.
*Teniendo en cuenta que la opción de manejo del riesgo residual se estableció como “Reducir” se recomienda considerando lo propuesto en la Guía para la Administración del Riesgo y el diseño de controles en entidades públicas Versión 6, con relación a los siguientes aspectos:
-Después de realizar un análisis y considerar los niveles de riesgo, se implementan acciones que mitiguen el nivel de riesgo. No necesariamente es un control adicional.
 -Frente al plan de acción referido para la opción de reducir, es importante mencionar que, conceptualmente y de manera general, se trata de una herramienta de planificación empleada para la gestión y control de tareas o proyectos. Para efectos del mapa de riesgos, cuando se define la opción de reducir, se requerirá la definición de un plan de acción que especifique: 
i)        responsable,
ii)         ii) fecha de implementación, y
iii)         iii) fecha de seguimiento.
*Fortalecer la calidad del reporte, por parte de la Primera Línea de Defensa, teniendo en cuenta las orientaciones registradas en el encabezado que indica: "Acciones realizadas (En esta celda, registre el resultado de la aplicación de los controles y de las acciones asociadas al tratamiento, así mismo, indique si se materializó o no el riesgo, y las acciones realizadas en caso de materialización)".
*Solicitar asesoría y acompañamiento desde la Segunda Línea de Defensa, con el fin de fortalecer la aplicación de la metodología establecida por la Universidad, para la gestión del riesgo.
</v>
      </c>
      <c r="AT142" s="161"/>
    </row>
    <row r="143">
      <c r="A143" s="86"/>
      <c r="B143" s="73"/>
      <c r="C143" s="73"/>
      <c r="D143" s="214" t="str">
        <f>IFERROR(__xludf.DUMMYFUNCTION("""COMPUTED_VALUE"""),"Afectación económica y reputacional por vinculación de personal sin el cumplimiento de los requisitos especificados para el cargo")</f>
        <v>Afectación económica y reputacional por vinculación de personal sin el cumplimiento de los requisitos especificados para el cargo</v>
      </c>
      <c r="E143" s="215" t="str">
        <f>IFERROR(__xludf.DUMMYFUNCTION("""COMPUTED_VALUE"""),"División de servicios administrativos")</f>
        <v>División de servicios administrativos</v>
      </c>
      <c r="F143" s="215" t="str">
        <f>IFERROR(__xludf.DUMMYFUNCTION("""COMPUTED_VALUE"""),"Gestión")</f>
        <v>Gestión</v>
      </c>
      <c r="G143" s="215" t="str">
        <f>IFERROR(__xludf.DUMMYFUNCTION("""COMPUTED_VALUE"""),"- Debilidades en los controles asociados a la viculación de personal administrativo")</f>
        <v>- Debilidades en los controles asociados a la viculación de personal administrativo</v>
      </c>
      <c r="H143" s="215" t="str">
        <f>IFERROR(__xludf.DUMMYFUNCTION("""COMPUTED_VALUE"""),"1. Procesos sancionatorios, disciplinarios y fiscales
2. Pérdida de imagen y credibilidad institucional
3. Intervención de órganos de control")</f>
        <v>1. Procesos sancionatorios, disciplinarios y fiscales
2. Pérdida de imagen y credibilidad institucional
3. Intervención de órganos de control</v>
      </c>
      <c r="I143" s="215" t="str">
        <f>IFERROR(__xludf.DUMMYFUNCTION("""COMPUTED_VALUE"""),"GTH_03")</f>
        <v>GTH_03</v>
      </c>
      <c r="J143" s="215" t="str">
        <f>IFERROR(__xludf.DUMMYFUNCTION("""COMPUTED_VALUE"""),"Baja")</f>
        <v>Baja</v>
      </c>
      <c r="K143" s="215" t="str">
        <f>IFERROR(__xludf.DUMMYFUNCTION("""COMPUTED_VALUE"""),"Menor")</f>
        <v>Menor</v>
      </c>
      <c r="L143" s="215" t="str">
        <f>IFERROR(__xludf.DUMMYFUNCTION("""COMPUTED_VALUE"""),"Baja")</f>
        <v>Baja</v>
      </c>
      <c r="M143" s="215" t="str">
        <f>IFERROR(__xludf.DUMMYFUNCTION("""COMPUTED_VALUE"""),"- Cuando se presentan nombramientos, el profesional de apoyo de Servicios Adminsitrativos realiza la verificación de los documentos que soportan la hoja de vida de los aspirantes a cargos administrativos y de libre nombramiento y remosión
- El jefe de per"&amp;"sonal emite certificación de cumplimiento de requisitos para nombramiento, en el caso del personal administrativo, para todos los casos de nombramientos
")</f>
        <v>- Cuando se presentan nombramientos, el profesional de apoyo de Servicios Adminsitrativos realiza la verificación de los documentos que soportan la hoja de vida de los aspirantes a cargos administrativos y de libre nombramiento y remosión
- El jefe de personal emite certificación de cumplimiento de requisitos para nombramiento, en el caso del personal administrativo, para todos los casos de nombramientos
</v>
      </c>
      <c r="N143" s="215" t="str">
        <f>IFERROR(__xludf.DUMMYFUNCTION("""COMPUTED_VALUE"""),"Muy baja")</f>
        <v>Muy baja</v>
      </c>
      <c r="O143" s="215" t="str">
        <f>IFERROR(__xludf.DUMMYFUNCTION("""COMPUTED_VALUE"""),"Menor")</f>
        <v>Menor</v>
      </c>
      <c r="P143" s="215" t="str">
        <f>IFERROR(__xludf.DUMMYFUNCTION("""COMPUTED_VALUE"""),"Baja")</f>
        <v>Baja</v>
      </c>
      <c r="Q143" s="223" t="str">
        <f>IFERROR(__xludf.DUMMYFUNCTION("""COMPUTED_VALUE"""),"Reducir")</f>
        <v>Reducir</v>
      </c>
      <c r="R143" s="217" t="str">
        <f>IFERROR(__xludf.DUMMYFUNCTION("""COMPUTED_VALUE"""),"Dado que el la zona del riesgo residual es baja, se acepta el riesgo, por lo tanto no establecen acciones para el tratamiento, sin embargo, se monitorea la aplicación de los controles")</f>
        <v>Dado que el la zona del riesgo residual es baja, se acepta el riesgo, por lo tanto no establecen acciones para el tratamiento, sin embargo, se monitorea la aplicación de los controles</v>
      </c>
      <c r="S143" s="218" t="str">
        <f>IFERROR(__xludf.DUMMYFUNCTION("""COMPUTED_VALUE"""),"N/A")</f>
        <v>N/A</v>
      </c>
      <c r="T143" s="220" t="str">
        <f>IFERROR(__xludf.DUMMYFUNCTION("""COMPUTED_VALUE"""),"N/A")</f>
        <v>N/A</v>
      </c>
      <c r="U143" s="220" t="str">
        <f>IFERROR(__xludf.DUMMYFUNCTION("""COMPUTED_VALUE"""),"N/A")</f>
        <v>N/A</v>
      </c>
      <c r="V143" s="219" t="str">
        <f>IFERROR(__xludf.DUMMYFUNCTION("""COMPUTED_VALUE"""),"Revocatoria del nombramiento sin el lleno de requisitos legales")</f>
        <v>Revocatoria del nombramiento sin el lleno de requisitos legales</v>
      </c>
      <c r="W143" s="219" t="str">
        <f>IFERROR(__xludf.DUMMYFUNCTION("""COMPUTED_VALUE"""),"Acto administrativo")</f>
        <v>Acto administrativo</v>
      </c>
      <c r="X143" s="219" t="str">
        <f>IFERROR(__xludf.DUMMYFUNCTION("""COMPUTED_VALUE"""),"El rector - Consejo Superior")</f>
        <v>El rector - Consejo Superior</v>
      </c>
      <c r="Y143" s="219" t="str">
        <f>IFERROR(__xludf.DUMMYFUNCTION("""COMPUTED_VALUE"""),"Inmediato")</f>
        <v>Inmediato</v>
      </c>
      <c r="Z143" s="208" t="str">
        <f>IFERROR(__xludf.DUMMYFUNCTION("""COMPUTED_VALUE"""),"30 de abril")</f>
        <v>30 de abril</v>
      </c>
      <c r="AA143" s="222">
        <f>IFERROR(__xludf.DUMMYFUNCTION("""COMPUTED_VALUE"""),45784.0)</f>
        <v>45784</v>
      </c>
      <c r="AB143" s="208" t="str">
        <f>IFERROR(__xludf.DUMMYFUNCTION("""COMPUTED_VALUE"""),"1.Durante este primer monitoreo NO SE MATERIALIZÓ EL RIESGO
Acciones asociadas a los controles del riesgo:
C1: Hasta el momento se han realizado las respectiva verificaciónes y certificaciónes del cumplimiento de los requisitos exigidos en la normativid"&amp;"ad, esto se hace mediante un formato llamado lista de chequeo de vinculación de personal administrativo de planta.Se ha llevado a cabo la verificación de los títulos de las hojas de vida por parte del profesional de apoyo encargado de la actividad, con el"&amp;" fin de proceder a la acción contractual, para este corte se han presentado 3 nombramientos los cuales se anexan a la evidencia.                  
                                                                                                            "&amp;"                                                                                                                                                                                                                                                               "&amp;"                                             C2: En el enlace drive se pueden observar los certificiados del personal, que han ingresado en este primer cutrimestre a la planta administrativa de la Universidad de los Llanos. 
Acciones asociadas al tratam"&amp;"iento del riesgo:
Debido a que se acepta el riesgo, no se aplican acciones de tratamiento solamente de control. ")</f>
        <v>1.Durante este primer monitoreo NO SE MATERIALIZÓ EL RIESGO
Acciones asociadas a los controles del riesgo:
C1: Hasta el momento se han realizado las respectiva verificaciónes y certificaciónes del cumplimiento de los requisitos exigidos en la normatividad, esto se hace mediante un formato llamado lista de chequeo de vinculación de personal administrativo de planta.Se ha llevado a cabo la verificación de los títulos de las hojas de vida por parte del profesional de apoyo encargado de la actividad, con el fin de proceder a la acción contractual, para este corte se han presentado 3 nombramientos los cuales se anexan a la evidencia.                  
                                                                                                                                                                                                                                                                                                                                                                                                                        C2: En el enlace drive se pueden observar los certificiados del personal, que han ingresado en este primer cutrimestre a la planta administrativa de la Universidad de los Llanos. 
Acciones asociadas al tratamiento del riesgo:
Debido a que se acepta el riesgo, no se aplican acciones de tratamiento solamente de control. </v>
      </c>
      <c r="AC143" s="210" t="str">
        <f>IFERROR(__xludf.DUMMYFUNCTION("""COMPUTED_VALUE"""),"Jefe División de Servicios Administrativos")</f>
        <v>Jefe División de Servicios Administrativos</v>
      </c>
      <c r="AD143" s="153" t="str">
        <f>IFERROR(__xludf.DUMMYFUNCTION("""COMPUTED_VALUE"""),"Evidencia")</f>
        <v>Evidencia</v>
      </c>
      <c r="AE143" s="208" t="str">
        <f>IFERROR(__xludf.DUMMYFUNCTION("""COMPUTED_VALUE"""),"Si")</f>
        <v>Si</v>
      </c>
      <c r="AF143" s="208" t="str">
        <f>IFERROR(__xludf.DUMMYFUNCTION("""COMPUTED_VALUE"""),"En proceso")</f>
        <v>En proceso</v>
      </c>
      <c r="AG143" s="208" t="str">
        <f>IFERROR(__xludf.DUMMYFUNCTION("""COMPUTED_VALUE"""),"Se evidencia reporte sobre la NO materialización del riesgo. 
Sobre las acciones asociadas a los controles: 
Se verifica reporte oportuno sobre el control 1 y 2 del riesgo, siendo acorde a lo proyectado para este primer monitoreo, las evidencias justifi"&amp;"can los controles establecidos. 
Sobre las acciones de tratamiento: Se acepta el riesgo en donde solamente se adoptan las acciones de control")</f>
        <v>Se evidencia reporte sobre la NO materialización del riesgo. 
Sobre las acciones asociadas a los controles: 
Se verifica reporte oportuno sobre el control 1 y 2 del riesgo, siendo acorde a lo proyectado para este primer monitoreo, las evidencias justifican los controles establecidos. 
Sobre las acciones de tratamiento: Se acepta el riesgo en donde solamente se adoptan las acciones de control</v>
      </c>
      <c r="AH143" s="150" t="str">
        <f>IFERROR(__xludf.DUMMYFUNCTION("""COMPUTED_VALUE"""),"30 de abril")</f>
        <v>30 de abril</v>
      </c>
      <c r="AI143" s="32" t="str">
        <f>IFERROR(__xludf.DUMMYFUNCTION("""COMPUTED_VALUE"""),"Si")</f>
        <v>Si</v>
      </c>
      <c r="AJ143" s="32" t="str">
        <f>IFERROR(__xludf.DUMMYFUNCTION("""COMPUTED_VALUE"""),"Si")</f>
        <v>Si</v>
      </c>
      <c r="AK143" s="32" t="str">
        <f>IFERROR(__xludf.DUMMYFUNCTION("""COMPUTED_VALUE"""),"Si")</f>
        <v>Si</v>
      </c>
      <c r="AL143" s="32" t="str">
        <f>IFERROR(__xludf.DUMMYFUNCTION("""COMPUTED_VALUE"""),"Si")</f>
        <v>Si</v>
      </c>
      <c r="AM143" s="32" t="str">
        <f>IFERROR(__xludf.DUMMYFUNCTION("""COMPUTED_VALUE"""),"Si")</f>
        <v>Si</v>
      </c>
      <c r="AN143" s="32" t="str">
        <f>IFERROR(__xludf.DUMMYFUNCTION("""COMPUTED_VALUE"""),"No aplica")</f>
        <v>No aplica</v>
      </c>
      <c r="AO143" s="32" t="str">
        <f>IFERROR(__xludf.DUMMYFUNCTION("""COMPUTED_VALUE"""),"No aplica")</f>
        <v>No aplica</v>
      </c>
      <c r="AP143" s="32" t="str">
        <f>IFERROR(__xludf.DUMMYFUNCTION("""COMPUTED_VALUE"""),"No aplica")</f>
        <v>No aplica</v>
      </c>
      <c r="AQ143" s="32" t="str">
        <f>IFERROR(__xludf.DUMMYFUNCTION("""COMPUTED_VALUE"""),"No aplica")</f>
        <v>No aplica</v>
      </c>
      <c r="AR143" s="32" t="str">
        <f>IFERROR(__xludf.DUMMYFUNCTION("""COMPUTED_VALUE"""),"No aplica")</f>
        <v>No aplica</v>
      </c>
      <c r="AS143" s="208" t="str">
        <f>IFERROR(__xludf.DUMMYFUNCTION("""COMPUTED_VALUE"""),"Recomendaciones:
*Reevaluar el riesgo, considerando el tipo de vinculación de personal administrativo, teniendo en cuenta que al no aplicar de manera rigurosa los criterios objetivos y méritos, la contratación puede ser utilizada para favorecer a terceros"&amp;", lo que genera una situación de inequidad y un posible hecho de corrupción.  
*También se recomienda reevaluar el ""Impacto"" del riesgo inherente, considerando las consecuencias que se identificaron y la premisa de que la valoración del riesgo inherent"&amp;"e se da bajo el supuesto de la ausencia de controles, con el fin de establecer un nivel de riesgo acorde a la criticidad de la actividad.
*Solicitar asesoría y acompañamiento desde la Segunda Línea de Defensa, con el fin de fortalecer la aplicación de la"&amp;" metodología establecida por la Universidad, para la gestión del riesgo.")</f>
        <v>Recomendaciones:
*Reevaluar el riesgo, considerando el tipo de vinculación de personal administrativo, teniendo en cuenta que al no aplicar de manera rigurosa los criterios objetivos y méritos, la contratación puede ser utilizada para favorecer a terceros, lo que genera una situación de inequidad y un posible hecho de corrupción.  
*También se recomienda reevaluar el "Impacto" del riesgo inherente, considerando las consecuencias que se identificaron y la premisa de que la valoración del riesgo inherente se da bajo el supuesto de la ausencia de controles, con el fin de establecer un nivel de riesgo acorde a la criticidad de la actividad.
*Solicitar asesoría y acompañamiento desde la Segunda Línea de Defensa, con el fin de fortalecer la aplicación de la metodología establecida por la Universidad, para la gestión del riesgo.</v>
      </c>
      <c r="AT143" s="161"/>
    </row>
    <row r="144">
      <c r="A144" s="86"/>
      <c r="B144" s="73"/>
      <c r="C144" s="73"/>
      <c r="D144" s="94"/>
      <c r="E144" s="156"/>
      <c r="F144" s="156"/>
      <c r="G144" s="156"/>
      <c r="H144" s="156"/>
      <c r="I144" s="156"/>
      <c r="J144" s="156"/>
      <c r="K144" s="156"/>
      <c r="L144" s="156"/>
      <c r="M144" s="156"/>
      <c r="N144" s="156"/>
      <c r="O144" s="156"/>
      <c r="P144" s="156"/>
      <c r="Q144" s="93"/>
      <c r="R144" s="192" t="str">
        <f>IFERROR(__xludf.DUMMYFUNCTION("""COMPUTED_VALUE"""),"")</f>
        <v/>
      </c>
      <c r="S144" s="159" t="str">
        <f>IFERROR(__xludf.DUMMYFUNCTION("""COMPUTED_VALUE"""),"")</f>
        <v/>
      </c>
      <c r="T144" s="170"/>
      <c r="U144" s="170"/>
      <c r="V144" s="94"/>
      <c r="W144" s="94"/>
      <c r="X144" s="94"/>
      <c r="Y144" s="94"/>
      <c r="Z144" s="208" t="str">
        <f>IFERROR(__xludf.DUMMYFUNCTION("""COMPUTED_VALUE"""),"30 de agosto")</f>
        <v>30 de agosto</v>
      </c>
      <c r="AA144" s="209">
        <f>IFERROR(__xludf.DUMMYFUNCTION("""COMPUTED_VALUE"""),45899.0)</f>
        <v>45899</v>
      </c>
      <c r="AB144" s="208" t="str">
        <f>IFERROR(__xludf.DUMMYFUNCTION("""COMPUTED_VALUE"""),"2.Durante este segundo monitoreo NO SE MATERIALIZÓ EL RIESGO
Acciones asociadas a los controles del riesgo:
C1: Hasta el momento se han realizado las respectiva verificaciónes y certificaciónes del cumplimiento de los requisitos exigidos en la normativi"&amp;"dad, esto se hace mediante un formato llamado lista de chequeo de vinculación de personal administrativo de planta.Se ha llevado a cabo la verificación de los títulos de las hojas de vida por parte del profesional de apoyo encargado de la actividad, con e"&amp;"l fin de proceder a la acción contractual. Para este corte no se han presentado nombramientos.                  
                                                                                                                                              "&amp;"                                                                                                                                                                                                                                                               "&amp;"           C2: No se observan certificados del personal en este cuatrimestre debido a que no se presentarón nombramientos en la planta administrativa de la Universidad de los Llanos para este monitoreo. 
Acciones asociadas al tratamiento del riesgo:
De"&amp;"bido a que se acepta el riesgo, no se aplican acciones de tratamiento solamente de control.")</f>
        <v>2.Durante este segundo monitoreo NO SE MATERIALIZÓ EL RIESGO
Acciones asociadas a los controles del riesgo:
C1: Hasta el momento se han realizado las respectiva verificaciónes y certificaciónes del cumplimiento de los requisitos exigidos en la normatividad, esto se hace mediante un formato llamado lista de chequeo de vinculación de personal administrativo de planta.Se ha llevado a cabo la verificación de los títulos de las hojas de vida por parte del profesional de apoyo encargado de la actividad, con el fin de proceder a la acción contractual. Para este corte no se han presentado nombramientos.                  
                                                                                                                                                                                                                                                                                                                                                                                                                        C2: No se observan certificados del personal en este cuatrimestre debido a que no se presentarón nombramientos en la planta administrativa de la Universidad de los Llanos para este monitoreo. 
Acciones asociadas al tratamiento del riesgo:
Debido a que se acepta el riesgo, no se aplican acciones de tratamiento solamente de control.</v>
      </c>
      <c r="AC144" s="210" t="str">
        <f>IFERROR(__xludf.DUMMYFUNCTION("""COMPUTED_VALUE"""),"Jefe División de Servicios Administrativos")</f>
        <v>Jefe División de Servicios Administrativos</v>
      </c>
      <c r="AD144" s="153" t="str">
        <f>IFERROR(__xludf.DUMMYFUNCTION("""COMPUTED_VALUE"""),"Evidencia")</f>
        <v>Evidencia</v>
      </c>
      <c r="AE144" s="208" t="str">
        <f>IFERROR(__xludf.DUMMYFUNCTION("""COMPUTED_VALUE"""),"Si")</f>
        <v>Si</v>
      </c>
      <c r="AF144" s="208" t="str">
        <f>IFERROR(__xludf.DUMMYFUNCTION("""COMPUTED_VALUE"""),"En proceso")</f>
        <v>En proceso</v>
      </c>
      <c r="AG144" s="208" t="str">
        <f>IFERROR(__xludf.DUMMYFUNCTION("""COMPUTED_VALUE"""),"Durante este monitoreo verifiqué que NO se materializó el riesgo de afectación económica y reputacional por vinculación de personal sin el cumplimiento de los requisitos especificados para el cargo.
Acciones asociadas a los controles del riesgo:
C1. Ver"&amp;"ificación de documentos y requisitos
Se constató que el profesional de apoyo de Servicios Administrativos mantuvo el procedimiento de verificación de los documentos que soportan las hojas de vida de los aspirantes, utilizando el formato denominado lista d"&amp;"e chequeo de vinculación de personal administrativo de planta. En este corte no se presentaron nombramientos; sin embargo, se confirmó que la verificación de títulos y soportes académicos sigue siendo un requisito previo a cualquier acción contractual.
C"&amp;"2. Certificación de cumplimiento de requisitos
No se evidenciaron certificaciones emitidas por el Jefe de Personal durante este periodo, dado que no se realizaron nombramientos en la planta administrativa de la Universidad de los Llanos.
Acciones asociad"&amp;"as al tratamiento del riesgo:
Dado que el riesgo residual se mantiene en zona baja, el riesgo es aceptado. Por tanto, no se aplican acciones de tratamiento adicionales, limitándose el proceso a mantener el monitoreo de los controles establecidos.")</f>
        <v>Durante este monitoreo verifiqué que NO se materializó el riesgo de afectación económica y reputacional por vinculación de personal sin el cumplimiento de los requisitos especificados para el cargo.
Acciones asociadas a los controles del riesgo:
C1. Verificación de documentos y requisitos
Se constató que el profesional de apoyo de Servicios Administrativos mantuvo el procedimiento de verificación de los documentos que soportan las hojas de vida de los aspirantes, utilizando el formato denominado lista de chequeo de vinculación de personal administrativo de planta. En este corte no se presentaron nombramientos; sin embargo, se confirmó que la verificación de títulos y soportes académicos sigue siendo un requisito previo a cualquier acción contractual.
C2. Certificación de cumplimiento de requisitos
No se evidenciaron certificaciones emitidas por el Jefe de Personal durante este periodo, dado que no se realizaron nombramientos en la planta administrativa de la Universidad de los Llanos.
Acciones asociadas al tratamiento del riesgo:
Dado que el riesgo residual se mantiene en zona baja, el riesgo es aceptado. Por tanto, no se aplican acciones de tratamiento adicionales, limitándose el proceso a mantener el monitoreo de los controles establecidos.</v>
      </c>
      <c r="AH144" s="150" t="str">
        <f>IFERROR(__xludf.DUMMYFUNCTION("""COMPUTED_VALUE"""),"31 de agosto")</f>
        <v>31 de agosto</v>
      </c>
      <c r="AI144" s="32" t="str">
        <f>IFERROR(__xludf.DUMMYFUNCTION("""COMPUTED_VALUE"""),"Si")</f>
        <v>Si</v>
      </c>
      <c r="AJ144" s="32" t="str">
        <f>IFERROR(__xludf.DUMMYFUNCTION("""COMPUTED_VALUE"""),"Si")</f>
        <v>Si</v>
      </c>
      <c r="AK144" s="32" t="str">
        <f>IFERROR(__xludf.DUMMYFUNCTION("""COMPUTED_VALUE"""),"Si")</f>
        <v>Si</v>
      </c>
      <c r="AL144" s="32" t="str">
        <f>IFERROR(__xludf.DUMMYFUNCTION("""COMPUTED_VALUE"""),"Si")</f>
        <v>Si</v>
      </c>
      <c r="AM144" s="32" t="str">
        <f>IFERROR(__xludf.DUMMYFUNCTION("""COMPUTED_VALUE"""),"Si")</f>
        <v>Si</v>
      </c>
      <c r="AN144" s="32" t="str">
        <f>IFERROR(__xludf.DUMMYFUNCTION("""COMPUTED_VALUE"""),"No aplica")</f>
        <v>No aplica</v>
      </c>
      <c r="AO144" s="32" t="str">
        <f>IFERROR(__xludf.DUMMYFUNCTION("""COMPUTED_VALUE"""),"No aplica")</f>
        <v>No aplica</v>
      </c>
      <c r="AP144" s="32" t="str">
        <f>IFERROR(__xludf.DUMMYFUNCTION("""COMPUTED_VALUE"""),"No aplica")</f>
        <v>No aplica</v>
      </c>
      <c r="AQ144" s="32" t="str">
        <f>IFERROR(__xludf.DUMMYFUNCTION("""COMPUTED_VALUE"""),"No aplica")</f>
        <v>No aplica</v>
      </c>
      <c r="AR144" s="32" t="str">
        <f>IFERROR(__xludf.DUMMYFUNCTION("""COMPUTED_VALUE"""),"No aplica")</f>
        <v>No aplica</v>
      </c>
      <c r="AS144" s="208" t="str">
        <f>IFERROR(__xludf.DUMMYFUNCTION("""COMPUTED_VALUE"""),"Recomendaciones:
*Reevaluar el riesgo, considerando el tipo de vinculación de personal administrativo, teniendo en cuenta que al no aplicar de manera rigurosa los criterios objetivos y méritos, la contratación puede ser utilizada para favorecer a terceros"&amp;", lo que genera una situación de inequidad y un posible hecho de corrupción.  
*También se recomienda reevaluar el ""Impacto"" del riesgo inherente, considerando las consecuencias que se identificaron y la premisa de que la valoración del riesgo inherent"&amp;"e se da bajo el supuesto de la ausencia de controles, con el fin de establecer un nivel de riesgo acorde a la criticidad de la actividad.
*Revisar y ajustar la opción de manejo con relación a la zona del nivel de riesgo residual, de acuerdo con los crite"&amp;"rios de la metodología aplicada.
*Solicitar asesoría y acompañamiento desde la Segunda Línea de Defensa, con el fin de fortalecer la aplicación de la metodología establecida por la Universidad, para la gestión del riesgo.")</f>
        <v>Recomendaciones:
*Reevaluar el riesgo, considerando el tipo de vinculación de personal administrativo, teniendo en cuenta que al no aplicar de manera rigurosa los criterios objetivos y méritos, la contratación puede ser utilizada para favorecer a terceros, lo que genera una situación de inequidad y un posible hecho de corrupción.  
*También se recomienda reevaluar el "Impacto" del riesgo inherente, considerando las consecuencias que se identificaron y la premisa de que la valoración del riesgo inherente se da bajo el supuesto de la ausencia de controles, con el fin de establecer un nivel de riesgo acorde a la criticidad de la actividad.
*Revisar y ajustar la opción de manejo con relación a la zona del nivel de riesgo residual, de acuerdo con los criterios de la metodología aplicada.
*Solicitar asesoría y acompañamiento desde la Segunda Línea de Defensa, con el fin de fortalecer la aplicación de la metodología establecida por la Universidad, para la gestión del riesgo.</v>
      </c>
      <c r="AT144" s="161"/>
    </row>
    <row r="145">
      <c r="A145" s="86"/>
      <c r="B145" s="73"/>
      <c r="C145" s="73"/>
      <c r="D145" s="98"/>
      <c r="E145" s="119"/>
      <c r="F145" s="119"/>
      <c r="G145" s="119"/>
      <c r="H145" s="119"/>
      <c r="I145" s="119"/>
      <c r="J145" s="119"/>
      <c r="K145" s="119"/>
      <c r="L145" s="119"/>
      <c r="M145" s="119"/>
      <c r="N145" s="119"/>
      <c r="O145" s="119"/>
      <c r="P145" s="119"/>
      <c r="Q145" s="97"/>
      <c r="R145" s="195" t="str">
        <f>IFERROR(__xludf.DUMMYFUNCTION("""COMPUTED_VALUE"""),"")</f>
        <v/>
      </c>
      <c r="S145" s="164" t="str">
        <f>IFERROR(__xludf.DUMMYFUNCTION("""COMPUTED_VALUE"""),"")</f>
        <v/>
      </c>
      <c r="T145" s="176"/>
      <c r="U145" s="176"/>
      <c r="V145" s="98"/>
      <c r="W145" s="98"/>
      <c r="X145" s="98"/>
      <c r="Y145" s="98"/>
      <c r="Z145" s="208" t="str">
        <f>IFERROR(__xludf.DUMMYFUNCTION("""COMPUTED_VALUE"""),"30 de diciembre")</f>
        <v>30 de diciembre</v>
      </c>
      <c r="AA145" s="212">
        <f>IFERROR(__xludf.DUMMYFUNCTION("""COMPUTED_VALUE"""),45996.0)</f>
        <v>45996</v>
      </c>
      <c r="AB145" s="208" t="str">
        <f>IFERROR(__xludf.DUMMYFUNCTION("""COMPUTED_VALUE"""),"3.Durante este tercer monitoreo NO SE MATERIALIZÓ EL RIESGO.
Acciones asociadas a los controles del riesgo:
C1: Hasta el momento se han realizado las respectiva verificaciónes y certificaciónes del cumplimiento de los requisitos exigidos en la normativi"&amp;"dad, esto se hace mediante un formato llamado lista de chequeo de vinculación de personal administrativo de planta.Se ha llevado a cabo la verificación de los títulos de las hojas de vida por parte del profesional de apoyo encargado de la actividad, con e"&amp;"l fin de proceder a la acción contractual. Para este corte no se han presentado nombramientos.                  
                                                                                                                                              "&amp;"                                                                                                                                                                                                                                                               "&amp;"           C2: No se observan certificados del personal en este cuatrimestre debido a que no se presentarón nombramientos en la planta administrativa de la Universidad de los Llanos para este monitoreo. 
Acciones asociadas al tratamiento del riesgo:
De"&amp;"bido a que se acepta el riesgo, no se aplican acciones de tratamiento solamente de control.")</f>
        <v>3.Durante este tercer monitoreo NO SE MATERIALIZÓ EL RIESGO.
Acciones asociadas a los controles del riesgo:
C1: Hasta el momento se han realizado las respectiva verificaciónes y certificaciónes del cumplimiento de los requisitos exigidos en la normatividad, esto se hace mediante un formato llamado lista de chequeo de vinculación de personal administrativo de planta.Se ha llevado a cabo la verificación de los títulos de las hojas de vida por parte del profesional de apoyo encargado de la actividad, con el fin de proceder a la acción contractual. Para este corte no se han presentado nombramientos.                  
                                                                                                                                                                                                                                                                                                                                                                                                                        C2: No se observan certificados del personal en este cuatrimestre debido a que no se presentarón nombramientos en la planta administrativa de la Universidad de los Llanos para este monitoreo. 
Acciones asociadas al tratamiento del riesgo:
Debido a que se acepta el riesgo, no se aplican acciones de tratamiento solamente de control.</v>
      </c>
      <c r="AC145" s="210" t="str">
        <f>IFERROR(__xludf.DUMMYFUNCTION("""COMPUTED_VALUE"""),"Jefe División de Servicios Administrativos")</f>
        <v>Jefe División de Servicios Administrativos</v>
      </c>
      <c r="AD145" s="153" t="str">
        <f>IFERROR(__xludf.DUMMYFUNCTION("""COMPUTED_VALUE"""),"Evidencia")</f>
        <v>Evidencia</v>
      </c>
      <c r="AE145" s="208" t="str">
        <f>IFERROR(__xludf.DUMMYFUNCTION("""COMPUTED_VALUE"""),"Si")</f>
        <v>Si</v>
      </c>
      <c r="AF145" s="208" t="str">
        <f>IFERROR(__xludf.DUMMYFUNCTION("""COMPUTED_VALUE"""),"Ejecutada")</f>
        <v>Ejecutada</v>
      </c>
      <c r="AG145" s="208" t="str">
        <f>IFERROR(__xludf.DUMMYFUNCTION("""COMPUTED_VALUE"""),"-Durante el presente monitoreo no se materializó el riesgo.
-Reporte de controles:
-Control 1: La dependencia informó que realiza las verificaciones y certificaciones de requisitos mediante la lista de chequeo de vinculación del personal administrativo "&amp;"y la validación de títulos. Sin embargo, para este corte no se presentaron nombramientos y no se reportó evidencia que soporte la ejecución del control.
-Control 2: No se generaron certificados del personal en el periodo debido a la ausencia de nombramie"&amp;"ntos. De igual manera, no se reportó evidencia del control aplicado durante este cuatrimestre.                                                                                                                                                                 "&amp;"         -El riesgo se mantiene en zona residual baja y fue aceptado, por lo cual no se definieron acciones de tratamiento. La dependencia únicamente reportó la aplicación de los controles, sin evidencias asociadas, en coherencia con la aceptación del rie"&amp;"sgo.")</f>
        <v>-Durante el presente monitoreo no se materializó el riesgo.
-Reporte de controles:
-Control 1: La dependencia informó que realiza las verificaciones y certificaciones de requisitos mediante la lista de chequeo de vinculación del personal administrativo y la validación de títulos. Sin embargo, para este corte no se presentaron nombramientos y no se reportó evidencia que soporte la ejecución del control.
-Control 2: No se generaron certificados del personal en el periodo debido a la ausencia de nombramientos. De igual manera, no se reportó evidencia del control aplicado durante este cuatrimestre.                                                                                                                                                                          -El riesgo se mantiene en zona residual baja y fue aceptado, por lo cual no se definieron acciones de tratamiento. La dependencia únicamente reportó la aplicación de los controles, sin evidencias asociadas, en coherencia con la aceptación del riesgo.</v>
      </c>
      <c r="AH145" s="150" t="str">
        <f>IFERROR(__xludf.DUMMYFUNCTION("""COMPUTED_VALUE"""),"31 de diciembre")</f>
        <v>31 de diciembre</v>
      </c>
      <c r="AI145" s="32" t="str">
        <f>IFERROR(__xludf.DUMMYFUNCTION("""COMPUTED_VALUE"""),"Si")</f>
        <v>Si</v>
      </c>
      <c r="AJ145" s="32" t="str">
        <f>IFERROR(__xludf.DUMMYFUNCTION("""COMPUTED_VALUE"""),"Si")</f>
        <v>Si</v>
      </c>
      <c r="AK145" s="32" t="str">
        <f>IFERROR(__xludf.DUMMYFUNCTION("""COMPUTED_VALUE"""),"Si")</f>
        <v>Si</v>
      </c>
      <c r="AL145" s="32" t="str">
        <f>IFERROR(__xludf.DUMMYFUNCTION("""COMPUTED_VALUE"""),"Si")</f>
        <v>Si</v>
      </c>
      <c r="AM145" s="32" t="str">
        <f>IFERROR(__xludf.DUMMYFUNCTION("""COMPUTED_VALUE"""),"Si")</f>
        <v>Si</v>
      </c>
      <c r="AN145" s="32" t="str">
        <f>IFERROR(__xludf.DUMMYFUNCTION("""COMPUTED_VALUE"""),"No aplica")</f>
        <v>No aplica</v>
      </c>
      <c r="AO145" s="32" t="str">
        <f>IFERROR(__xludf.DUMMYFUNCTION("""COMPUTED_VALUE"""),"No aplica")</f>
        <v>No aplica</v>
      </c>
      <c r="AP145" s="32" t="str">
        <f>IFERROR(__xludf.DUMMYFUNCTION("""COMPUTED_VALUE"""),"No aplica")</f>
        <v>No aplica</v>
      </c>
      <c r="AQ145" s="32" t="str">
        <f>IFERROR(__xludf.DUMMYFUNCTION("""COMPUTED_VALUE"""),"No aplica")</f>
        <v>No aplica</v>
      </c>
      <c r="AR145" s="32" t="str">
        <f>IFERROR(__xludf.DUMMYFUNCTION("""COMPUTED_VALUE"""),"No aplica")</f>
        <v>No aplica</v>
      </c>
      <c r="AS145" s="208" t="str">
        <f>IFERROR(__xludf.DUMMYFUNCTION("""COMPUTED_VALUE"""),"Se reiteran las recomendaciones realizadas en el primer y segundo cuatrimestre:
*Reevaluar el riesgo, considerando el tipo de vinculación de personal administrativo, teniendo en cuenta que al no aplicar de manera rigurosa los criterios objetivos y méritos"&amp;", la contratación puede ser utilizada para favorecer a terceros, lo que genera una situación de inequidad y un posible hecho de corrupción.  
*También se recomienda reevaluar el ""Impacto"" del riesgo inherente, considerando las consecuencias que se iden"&amp;"tificaron y la premisa de que la valoración del riesgo inherente se da bajo el supuesto de la ausencia de controles, con el fin de establecer un nivel de riesgo acorde a la criticidad de la actividad.
*Revisar y ajustar la opción de manejo con relación a"&amp;" la zona del nivel de riesgo residual, de acuerdo con los criterios de la metodología aplicada.
*Solicitar asesoría y acompañamiento desde la Segunda Línea de Defensa, con el fin de fortalecer la aplicación de la metodología establecida por la Universida"&amp;"d, para la gestión del riesgo.")</f>
        <v>Se reiteran las recomendaciones realizadas en el primer y segundo cuatrimestre:
*Reevaluar el riesgo, considerando el tipo de vinculación de personal administrativo, teniendo en cuenta que al no aplicar de manera rigurosa los criterios objetivos y méritos, la contratación puede ser utilizada para favorecer a terceros, lo que genera una situación de inequidad y un posible hecho de corrupción.  
*También se recomienda reevaluar el "Impacto" del riesgo inherente, considerando las consecuencias que se identificaron y la premisa de que la valoración del riesgo inherente se da bajo el supuesto de la ausencia de controles, con el fin de establecer un nivel de riesgo acorde a la criticidad de la actividad.
*Revisar y ajustar la opción de manejo con relación a la zona del nivel de riesgo residual, de acuerdo con los criterios de la metodología aplicada.
*Solicitar asesoría y acompañamiento desde la Segunda Línea de Defensa, con el fin de fortalecer la aplicación de la metodología establecida por la Universidad, para la gestión del riesgo.</v>
      </c>
      <c r="AT145" s="161"/>
    </row>
    <row r="146">
      <c r="A146" s="86"/>
      <c r="B146" s="73"/>
      <c r="C146" s="73"/>
      <c r="D146" s="214" t="str">
        <f>IFERROR(__xludf.DUMMYFUNCTION("""COMPUTED_VALUE"""),"Afectación económica por el pago inadecaudo de nómina")</f>
        <v>Afectación económica por el pago inadecaudo de nómina</v>
      </c>
      <c r="E146" s="215" t="str">
        <f>IFERROR(__xludf.DUMMYFUNCTION("""COMPUTED_VALUE"""),"División de servicios administrativos")</f>
        <v>División de servicios administrativos</v>
      </c>
      <c r="F146" s="215" t="str">
        <f>IFERROR(__xludf.DUMMYFUNCTION("""COMPUTED_VALUE"""),"Gestión")</f>
        <v>Gestión</v>
      </c>
      <c r="G146" s="215" t="str">
        <f>IFERROR(__xludf.DUMMYFUNCTION("""COMPUTED_VALUE"""),"- Errores o fallos en el software")</f>
        <v>- Errores o fallos en el software</v>
      </c>
      <c r="H146" s="215" t="str">
        <f>IFERROR(__xludf.DUMMYFUNCTION("""COMPUTED_VALUE"""),"1. Sanciones fiscales, disciplinarias
2. Multas de las entidades de vigilancia")</f>
        <v>1. Sanciones fiscales, disciplinarias
2. Multas de las entidades de vigilancia</v>
      </c>
      <c r="I146" s="215" t="str">
        <f>IFERROR(__xludf.DUMMYFUNCTION("""COMPUTED_VALUE"""),"GTH_04")</f>
        <v>GTH_04</v>
      </c>
      <c r="J146" s="215" t="str">
        <f>IFERROR(__xludf.DUMMYFUNCTION("""COMPUTED_VALUE"""),"Baja")</f>
        <v>Baja</v>
      </c>
      <c r="K146" s="215" t="str">
        <f>IFERROR(__xludf.DUMMYFUNCTION("""COMPUTED_VALUE"""),"Menor")</f>
        <v>Menor</v>
      </c>
      <c r="L146" s="215" t="str">
        <f>IFERROR(__xludf.DUMMYFUNCTION("""COMPUTED_VALUE"""),"Baja")</f>
        <v>Baja</v>
      </c>
      <c r="M146" s="215" t="str">
        <f>IFERROR(__xludf.DUMMYFUNCTION("""COMPUTED_VALUE"""),"- Cuando se presenten fallos en el software, el técnico operativo de la División de Servicios Administrativos, encargado del pago de nómina elabora ticket al proveedor de software, para que el proveedor gestione la solución
- Cada vez que se liquida nómin"&amp;"a, por lo menos dos colaboradores de al división de servicios administrativos, revisan de manera detallada e independiente dicha liquidación, con el fin de detectar errores
 ")</f>
        <v>- Cuando se presenten fallos en el software, el técnico operativo de la División de Servicios Administrativos, encargado del pago de nómina elabora ticket al proveedor de software, para que el proveedor gestione la solución
- Cada vez que se liquida nómina, por lo menos dos colaboradores de al división de servicios administrativos, revisan de manera detallada e independiente dicha liquidación, con el fin de detectar errores
 </v>
      </c>
      <c r="N146" s="215" t="str">
        <f>IFERROR(__xludf.DUMMYFUNCTION("""COMPUTED_VALUE"""),"Baja")</f>
        <v>Baja</v>
      </c>
      <c r="O146" s="215" t="str">
        <f>IFERROR(__xludf.DUMMYFUNCTION("""COMPUTED_VALUE"""),"Menor")</f>
        <v>Menor</v>
      </c>
      <c r="P146" s="215" t="str">
        <f>IFERROR(__xludf.DUMMYFUNCTION("""COMPUTED_VALUE"""),"Baja")</f>
        <v>Baja</v>
      </c>
      <c r="Q146" s="216" t="str">
        <f>IFERROR(__xludf.DUMMYFUNCTION("""COMPUTED_VALUE"""),"Aceptar")</f>
        <v>Aceptar</v>
      </c>
      <c r="R146" s="186" t="str">
        <f>IFERROR(__xludf.DUMMYFUNCTION("""COMPUTED_VALUE"""),"Dado que el la zona del riesgo residual es baja, se acepta el riesgo, por lo tanto no establecen acciones para el tratamiento, sin embargo, se monitorea la aplicación de los controles")</f>
        <v>Dado que el la zona del riesgo residual es baja, se acepta el riesgo, por lo tanto no establecen acciones para el tratamiento, sin embargo, se monitorea la aplicación de los controles</v>
      </c>
      <c r="S146" s="224" t="str">
        <f>IFERROR(__xludf.DUMMYFUNCTION("""COMPUTED_VALUE"""),"N/A")</f>
        <v>N/A</v>
      </c>
      <c r="T146" s="190" t="str">
        <f>IFERROR(__xludf.DUMMYFUNCTION("""COMPUTED_VALUE"""),"N/A")</f>
        <v>N/A</v>
      </c>
      <c r="U146" s="190" t="str">
        <f>IFERROR(__xludf.DUMMYFUNCTION("""COMPUTED_VALUE"""),"N/A")</f>
        <v>N/A</v>
      </c>
      <c r="V146" s="219" t="str">
        <f>IFERROR(__xludf.DUMMYFUNCTION("""COMPUTED_VALUE"""),"Ajustar la novedad en la nómina detectada, para ser deducida en el siguiente mes")</f>
        <v>Ajustar la novedad en la nómina detectada, para ser deducida en el siguiente mes</v>
      </c>
      <c r="W146" s="219" t="str">
        <f>IFERROR(__xludf.DUMMYFUNCTION("""COMPUTED_VALUE"""),"Archivo de novedades ")</f>
        <v>Archivo de novedades </v>
      </c>
      <c r="X146" s="219" t="str">
        <f>IFERROR(__xludf.DUMMYFUNCTION("""COMPUTED_VALUE"""),"Auxiliar de nómina")</f>
        <v>Auxiliar de nómina</v>
      </c>
      <c r="Y146" s="219" t="str">
        <f>IFERROR(__xludf.DUMMYFUNCTION("""COMPUTED_VALUE"""),"1 mes ")</f>
        <v>1 mes </v>
      </c>
      <c r="Z146" s="208" t="str">
        <f>IFERROR(__xludf.DUMMYFUNCTION("""COMPUTED_VALUE"""),"30 de abril")</f>
        <v>30 de abril</v>
      </c>
      <c r="AA146" s="208" t="str">
        <f>IFERROR(__xludf.DUMMYFUNCTION("""COMPUTED_VALUE"""),"1 de Enero de 2025 al 30 de Abril 2025")</f>
        <v>1 de Enero de 2025 al 30 de Abril 2025</v>
      </c>
      <c r="AB146" s="208" t="str">
        <f>IFERROR(__xludf.DUMMYFUNCTION("""COMPUTED_VALUE"""),"1.Durante este primer monitoreo NO SE MATERIALIZÓ EL RIESGO
Acciones asociadas a los controles del riesgo:
C1: Hasta el periodo en curso se han hecho las resepectivas verificaciones y envios de tickets debido a fallos en la plataforma ADA S.A.S.
C2: Se "&amp;"realiza revisión detallada por los funcionarios encargados de esta actividad dentro de la división de servicios administrativos, esto se realiza por medio de correos.
Acciones asociadas al tratamiento del riesgo:
Debido a que se acepta el riesgo, no se "&amp;"aplican acciones de tratamiento solamente de control. 
")</f>
        <v>1.Durante este primer monitoreo NO SE MATERIALIZÓ EL RIESGO
Acciones asociadas a los controles del riesgo:
C1: Hasta el periodo en curso se han hecho las resepectivas verificaciones y envios de tickets debido a fallos en la plataforma ADA S.A.S.
C2: Se realiza revisión detallada por los funcionarios encargados de esta actividad dentro de la división de servicios administrativos, esto se realiza por medio de correos.
Acciones asociadas al tratamiento del riesgo:
Debido a que se acepta el riesgo, no se aplican acciones de tratamiento solamente de control. 
</v>
      </c>
      <c r="AC146" s="210" t="str">
        <f>IFERROR(__xludf.DUMMYFUNCTION("""COMPUTED_VALUE"""),"Jefe Division Servicios Administrativos")</f>
        <v>Jefe Division Servicios Administrativos</v>
      </c>
      <c r="AD146" s="153" t="str">
        <f>IFERROR(__xludf.DUMMYFUNCTION("""COMPUTED_VALUE"""),"Evidencia")</f>
        <v>Evidencia</v>
      </c>
      <c r="AE146" s="208" t="str">
        <f>IFERROR(__xludf.DUMMYFUNCTION("""COMPUTED_VALUE"""),"Si")</f>
        <v>Si</v>
      </c>
      <c r="AF146" s="208" t="str">
        <f>IFERROR(__xludf.DUMMYFUNCTION("""COMPUTED_VALUE"""),"En proceso")</f>
        <v>En proceso</v>
      </c>
      <c r="AG146" s="208" t="str">
        <f>IFERROR(__xludf.DUMMYFUNCTION("""COMPUTED_VALUE"""),"Se evidencia reporte sobre la NO materialización del riesgo. 
Sobre las acciones asociadas a los controles: 
Se verifica reporte oportuno sobre el control 1 y 2 del riesgo, siendo acorde a lo proyectado para este primer monitoreo, las evidencias justifi"&amp;"can los controles establecidos. 
Sobre las acciones de tratamiento: Se acepta el riesgo en donde solamente se adoptan las acciones de control")</f>
        <v>Se evidencia reporte sobre la NO materialización del riesgo. 
Sobre las acciones asociadas a los controles: 
Se verifica reporte oportuno sobre el control 1 y 2 del riesgo, siendo acorde a lo proyectado para este primer monitoreo, las evidencias justifican los controles establecidos. 
Sobre las acciones de tratamiento: Se acepta el riesgo en donde solamente se adoptan las acciones de control</v>
      </c>
      <c r="AH146" s="150" t="str">
        <f>IFERROR(__xludf.DUMMYFUNCTION("""COMPUTED_VALUE"""),"30 de abril")</f>
        <v>30 de abril</v>
      </c>
      <c r="AI146" s="32" t="str">
        <f>IFERROR(__xludf.DUMMYFUNCTION("""COMPUTED_VALUE"""),"Si")</f>
        <v>Si</v>
      </c>
      <c r="AJ146" s="32" t="str">
        <f>IFERROR(__xludf.DUMMYFUNCTION("""COMPUTED_VALUE"""),"Si")</f>
        <v>Si</v>
      </c>
      <c r="AK146" s="32" t="str">
        <f>IFERROR(__xludf.DUMMYFUNCTION("""COMPUTED_VALUE"""),"Si")</f>
        <v>Si</v>
      </c>
      <c r="AL146" s="32" t="str">
        <f>IFERROR(__xludf.DUMMYFUNCTION("""COMPUTED_VALUE"""),"Si")</f>
        <v>Si</v>
      </c>
      <c r="AM146" s="32" t="str">
        <f>IFERROR(__xludf.DUMMYFUNCTION("""COMPUTED_VALUE"""),"Si")</f>
        <v>Si</v>
      </c>
      <c r="AN146" s="32" t="str">
        <f>IFERROR(__xludf.DUMMYFUNCTION("""COMPUTED_VALUE"""),"No aplica")</f>
        <v>No aplica</v>
      </c>
      <c r="AO146" s="32" t="str">
        <f>IFERROR(__xludf.DUMMYFUNCTION("""COMPUTED_VALUE"""),"No aplica")</f>
        <v>No aplica</v>
      </c>
      <c r="AP146" s="32" t="str">
        <f>IFERROR(__xludf.DUMMYFUNCTION("""COMPUTED_VALUE"""),"No aplica")</f>
        <v>No aplica</v>
      </c>
      <c r="AQ146" s="32" t="str">
        <f>IFERROR(__xludf.DUMMYFUNCTION("""COMPUTED_VALUE"""),"No aplica")</f>
        <v>No aplica</v>
      </c>
      <c r="AR146" s="32" t="str">
        <f>IFERROR(__xludf.DUMMYFUNCTION("""COMPUTED_VALUE"""),"No aplica")</f>
        <v>No aplica</v>
      </c>
      <c r="AS146" s="208" t="str">
        <f>IFERROR(__xludf.DUMMYFUNCTION("""COMPUTED_VALUE"""),"Recomendaciones:
Fortalecer la descripción del riesgo, considerando la metodología de la Guía para la Administración del Riesgo y el diseño de controles en entidades públicas Versión 6, que propone los elementos para la descripción del riesgo de gestión, "&amp;"como son: 
Impacto: las consecuencias que puede ocasionar a la organización la materialización del riesgo.
Causa inmediata: circunstancias o situaciones más evidentes sobre las cuales se presenta el riesgo, las mismas no constituyen la causa principal o b"&amp;"ase para que se presente el riesgo.
Causa raíz: es la causa principal o básica, corresponden a las razones por la cuales se puede presentar el riesgo, son la base para la definición de controles en la etapa de valoración del riesgo. Se debe tener en cuent"&amp;"a que para un mismo riesgo pueden existir más de una causa o subcausas que pueden ser analizadas.
")</f>
        <v>Recomendaciones:
Fortalecer la descripción del riesgo, considerando la metodología de la Guía para la Administración del Riesgo y el diseño de controles en entidades públicas Versión 6, que propone los elementos para la descripción del riesgo de gestión, como son: 
Impacto: las consecuencias que puede ocasionar a la organización la materialización del riesgo.
Causa inmediata: circunstancias o situaciones más evidentes sobre las cuales se presenta el riesgo, las mismas no constituyen la causa principal o base para que se presente el riesgo.
Causa raíz: es la causa principal o básica, corresponden a las razones por la cuales se puede presentar el riesgo, son la base para la definición de controles en la etapa de valoración del riesgo. Se debe tener en cuenta que para un mismo riesgo pueden existir más de una causa o subcausas que pueden ser analizadas.
</v>
      </c>
      <c r="AT146" s="161"/>
    </row>
    <row r="147">
      <c r="A147" s="86"/>
      <c r="B147" s="73"/>
      <c r="C147" s="73"/>
      <c r="D147" s="94"/>
      <c r="E147" s="156"/>
      <c r="F147" s="156"/>
      <c r="G147" s="156"/>
      <c r="H147" s="156"/>
      <c r="I147" s="156"/>
      <c r="J147" s="156"/>
      <c r="K147" s="156"/>
      <c r="L147" s="156"/>
      <c r="M147" s="156"/>
      <c r="N147" s="156"/>
      <c r="O147" s="156"/>
      <c r="P147" s="156"/>
      <c r="Q147" s="157"/>
      <c r="R147" s="192" t="str">
        <f>IFERROR(__xludf.DUMMYFUNCTION("""COMPUTED_VALUE"""),"")</f>
        <v/>
      </c>
      <c r="S147" s="159" t="str">
        <f>IFERROR(__xludf.DUMMYFUNCTION("""COMPUTED_VALUE"""),"")</f>
        <v/>
      </c>
      <c r="T147" s="170"/>
      <c r="U147" s="170"/>
      <c r="V147" s="94"/>
      <c r="W147" s="94"/>
      <c r="X147" s="94"/>
      <c r="Y147" s="94"/>
      <c r="Z147" s="208" t="str">
        <f>IFERROR(__xludf.DUMMYFUNCTION("""COMPUTED_VALUE"""),"30 de agosto")</f>
        <v>30 de agosto</v>
      </c>
      <c r="AA147" s="208" t="str">
        <f>IFERROR(__xludf.DUMMYFUNCTION("""COMPUTED_VALUE"""),"30 de abril de 2025 al 30 de agosto 2025 ")</f>
        <v>30 de abril de 2025 al 30 de agosto 2025 </v>
      </c>
      <c r="AB147" s="208" t="str">
        <f>IFERROR(__xludf.DUMMYFUNCTION("""COMPUTED_VALUE"""),"2.Durante este segundo monitoreo NO SE MATERIALIZÓ EL RIESGO
Acciones asociadas a los controles del riesgo:
C1: Hasta el periodo en curso se han hecho las resepectivas verificaciones y envios de tickets debido a fallos en la plataforma ADA S.A.S.
C2: Se"&amp;" realiza revisión detallada por los funcionarios encargados de esta actividad dentro de la división de servicios administrativos, esto se realiza por medio de correos. 
Acciones asociadas al tratamiento del riesgo:
Debido a que se acepta el riesgo, no s"&amp;"e aplican acciones de tratamiento solamente de control. ")</f>
        <v>2.Durante este segundo monitoreo NO SE MATERIALIZÓ EL RIESGO
Acciones asociadas a los controles del riesgo:
C1: Hasta el periodo en curso se han hecho las resepectivas verificaciones y envios de tickets debido a fallos en la plataforma ADA S.A.S.
C2: Se realiza revisión detallada por los funcionarios encargados de esta actividad dentro de la división de servicios administrativos, esto se realiza por medio de correos. 
Acciones asociadas al tratamiento del riesgo:
Debido a que se acepta el riesgo, no se aplican acciones de tratamiento solamente de control. </v>
      </c>
      <c r="AC147" s="210" t="str">
        <f>IFERROR(__xludf.DUMMYFUNCTION("""COMPUTED_VALUE"""),"Jefe Division Servicios Administrativos")</f>
        <v>Jefe Division Servicios Administrativos</v>
      </c>
      <c r="AD147" s="153" t="str">
        <f>IFERROR(__xludf.DUMMYFUNCTION("""COMPUTED_VALUE"""),"Evidencia")</f>
        <v>Evidencia</v>
      </c>
      <c r="AE147" s="208" t="str">
        <f>IFERROR(__xludf.DUMMYFUNCTION("""COMPUTED_VALUE"""),"Si")</f>
        <v>Si</v>
      </c>
      <c r="AF147" s="208" t="str">
        <f>IFERROR(__xludf.DUMMYFUNCTION("""COMPUTED_VALUE"""),"En proceso")</f>
        <v>En proceso</v>
      </c>
      <c r="AG147" s="208" t="str">
        <f>IFERROR(__xludf.DUMMYFUNCTION("""COMPUTED_VALUE"""),"Durante este monitoreo verifiqué que NO se materializó el riesgo de afectación económica por el pago inadecuado de nómina.
Acciones asociadas a los controles del riesgo:
C1. Gestión de fallos en el software
Se evidenció que, durante el periodo en curso,"&amp;" se realizaron las verificaciones correspondientes y se generaron tickets ante el proveedor ADA S.A.S. para gestionar oportunamente los fallos detectados en la plataforma.
C2. Revisión independiente de la liquidación de nómina
Se constató que los funcion"&amp;"arios de la División de Servicios Administrativos efectuaron revisiones detalladas e independientes de la liquidación de la nómina, dejando soporte mediante correos internos como constancia del ejercicio de control.
Acciones asociadas al tratamiento del "&amp;"riesgo:
Debido a que el riesgo residual se mantiene en zona baja, este ha sido aceptado. Por lo tanto, no se aplicaron acciones de tratamiento adicionales, limitándose el proceso a la aplicación y seguimiento de los controles definidos.")</f>
        <v>Durante este monitoreo verifiqué que NO se materializó el riesgo de afectación económica por el pago inadecuado de nómina.
Acciones asociadas a los controles del riesgo:
C1. Gestión de fallos en el software
Se evidenció que, durante el periodo en curso, se realizaron las verificaciones correspondientes y se generaron tickets ante el proveedor ADA S.A.S. para gestionar oportunamente los fallos detectados en la plataforma.
C2. Revisión independiente de la liquidación de nómina
Se constató que los funcionarios de la División de Servicios Administrativos efectuaron revisiones detalladas e independientes de la liquidación de la nómina, dejando soporte mediante correos internos como constancia del ejercicio de control.
Acciones asociadas al tratamiento del riesgo:
Debido a que el riesgo residual se mantiene en zona baja, este ha sido aceptado. Por lo tanto, no se aplicaron acciones de tratamiento adicionales, limitándose el proceso a la aplicación y seguimiento de los controles definidos.</v>
      </c>
      <c r="AH147" s="150" t="str">
        <f>IFERROR(__xludf.DUMMYFUNCTION("""COMPUTED_VALUE"""),"31 de agosto")</f>
        <v>31 de agosto</v>
      </c>
      <c r="AI147" s="32" t="str">
        <f>IFERROR(__xludf.DUMMYFUNCTION("""COMPUTED_VALUE"""),"Si")</f>
        <v>Si</v>
      </c>
      <c r="AJ147" s="32" t="str">
        <f>IFERROR(__xludf.DUMMYFUNCTION("""COMPUTED_VALUE"""),"Si")</f>
        <v>Si</v>
      </c>
      <c r="AK147" s="32" t="str">
        <f>IFERROR(__xludf.DUMMYFUNCTION("""COMPUTED_VALUE"""),"Si")</f>
        <v>Si</v>
      </c>
      <c r="AL147" s="32" t="str">
        <f>IFERROR(__xludf.DUMMYFUNCTION("""COMPUTED_VALUE"""),"Si")</f>
        <v>Si</v>
      </c>
      <c r="AM147" s="32" t="str">
        <f>IFERROR(__xludf.DUMMYFUNCTION("""COMPUTED_VALUE"""),"Si")</f>
        <v>Si</v>
      </c>
      <c r="AN147" s="32" t="str">
        <f>IFERROR(__xludf.DUMMYFUNCTION("""COMPUTED_VALUE"""),"No aplica")</f>
        <v>No aplica</v>
      </c>
      <c r="AO147" s="32" t="str">
        <f>IFERROR(__xludf.DUMMYFUNCTION("""COMPUTED_VALUE"""),"No aplica")</f>
        <v>No aplica</v>
      </c>
      <c r="AP147" s="32" t="str">
        <f>IFERROR(__xludf.DUMMYFUNCTION("""COMPUTED_VALUE"""),"No aplica")</f>
        <v>No aplica</v>
      </c>
      <c r="AQ147" s="32" t="str">
        <f>IFERROR(__xludf.DUMMYFUNCTION("""COMPUTED_VALUE"""),"No aplica")</f>
        <v>No aplica</v>
      </c>
      <c r="AR147" s="32" t="str">
        <f>IFERROR(__xludf.DUMMYFUNCTION("""COMPUTED_VALUE"""),"No aplica")</f>
        <v>No aplica</v>
      </c>
      <c r="AS147" s="208" t="str">
        <f>IFERROR(__xludf.DUMMYFUNCTION("""COMPUTED_VALUE"""),"Hallazgo: Se evidencia deficiencia en la evaluación del riesgo residual respecto a la evaluación de los controles, todavez que el riesgo residual resulta en el mismo rango de probabilidad e impacto que el riesgo inherente.
Recomendaciones:
Fortalecer la d"&amp;"escripción del riesgo, considerando la metodología de la Guía para la Administración del Riesgo y el diseño de controles en entidades públicas Versión 6, que propone los elementos para la descripción del riesgo de gestión, como son: 
Impacto: las consecue"&amp;"ncias que puede ocasionar a la organización la materialización del riesgo.
Causa inmediata: circunstancias o situaciones más evidentes sobre las cuales se presenta el riesgo, las mismas no constituyen la causa principal o base para que se presente el ries"&amp;"go.
Causa raíz: es la causa principal o básica, corresponden a las razones por la cuales se puede presentar el riesgo, son la base para la definición de controles en la etapa de valoración del riesgo. Se debe tener en cuenta que para un mismo riesgo puede"&amp;"n existir más de una causa o subcausas que pueden ser analizadas.
")</f>
        <v>Hallazgo: Se evidencia deficiencia en la evaluación del riesgo residual respecto a la evaluación de los controles, todavez que el riesgo residual resulta en el mismo rango de probabilidad e impacto que el riesgo inherente.
Recomendaciones:
Fortalecer la descripción del riesgo, considerando la metodología de la Guía para la Administración del Riesgo y el diseño de controles en entidades públicas Versión 6, que propone los elementos para la descripción del riesgo de gestión, como son: 
Impacto: las consecuencias que puede ocasionar a la organización la materialización del riesgo.
Causa inmediata: circunstancias o situaciones más evidentes sobre las cuales se presenta el riesgo, las mismas no constituyen la causa principal o base para que se presente el riesgo.
Causa raíz: es la causa principal o básica, corresponden a las razones por la cuales se puede presentar el riesgo, son la base para la definición de controles en la etapa de valoración del riesgo. Se debe tener en cuenta que para un mismo riesgo pueden existir más de una causa o subcausas que pueden ser analizadas.
</v>
      </c>
      <c r="AT147" s="161"/>
    </row>
    <row r="148">
      <c r="A148" s="86"/>
      <c r="B148" s="38"/>
      <c r="C148" s="38"/>
      <c r="D148" s="98"/>
      <c r="E148" s="119"/>
      <c r="F148" s="119"/>
      <c r="G148" s="119"/>
      <c r="H148" s="119"/>
      <c r="I148" s="119"/>
      <c r="J148" s="119"/>
      <c r="K148" s="119"/>
      <c r="L148" s="119"/>
      <c r="M148" s="119"/>
      <c r="N148" s="119"/>
      <c r="O148" s="119"/>
      <c r="P148" s="119"/>
      <c r="Q148" s="162"/>
      <c r="R148" s="195" t="str">
        <f>IFERROR(__xludf.DUMMYFUNCTION("""COMPUTED_VALUE"""),"")</f>
        <v/>
      </c>
      <c r="S148" s="164" t="str">
        <f>IFERROR(__xludf.DUMMYFUNCTION("""COMPUTED_VALUE"""),"")</f>
        <v/>
      </c>
      <c r="T148" s="176"/>
      <c r="U148" s="176"/>
      <c r="V148" s="98"/>
      <c r="W148" s="98"/>
      <c r="X148" s="98"/>
      <c r="Y148" s="98"/>
      <c r="Z148" s="208" t="str">
        <f>IFERROR(__xludf.DUMMYFUNCTION("""COMPUTED_VALUE"""),"30 de diciembre")</f>
        <v>30 de diciembre</v>
      </c>
      <c r="AA148" s="208" t="str">
        <f>IFERROR(__xludf.DUMMYFUNCTION("""COMPUTED_VALUE"""),"01 de septiembre de 2025 al 31 de diciembre 2025")</f>
        <v>01 de septiembre de 2025 al 31 de diciembre 2025</v>
      </c>
      <c r="AB148" s="208" t="str">
        <f>IFERROR(__xludf.DUMMYFUNCTION("""COMPUTED_VALUE"""),"3.Durante este tercer monitoreo NO SE MATERIALIZÓ EL RIESGO
Acciones asociadas a los controles del riesgo:
C1: Hasta el periodo en curso se han hecho las resepectivas verificaciones y envios de tickets debido a fallos en la plataforma ADA S.A.S.
C2: Se "&amp;"realiza revisión detallada por los funcionarios encargados de esta actividad (Nomina) dentro de la división de servicios administrativos, esto se realiza por medio de correos. 
Acciones asociadas al tratamiento del riesgo:
Debido a que se acepta el ries"&amp;"go, no se aplican acciones de tratamiento solamente de control. ")</f>
        <v>3.Durante este tercer monitoreo NO SE MATERIALIZÓ EL RIESGO
Acciones asociadas a los controles del riesgo:
C1: Hasta el periodo en curso se han hecho las resepectivas verificaciones y envios de tickets debido a fallos en la plataforma ADA S.A.S.
C2: Se realiza revisión detallada por los funcionarios encargados de esta actividad (Nomina) dentro de la división de servicios administrativos, esto se realiza por medio de correos. 
Acciones asociadas al tratamiento del riesgo:
Debido a que se acepta el riesgo, no se aplican acciones de tratamiento solamente de control. </v>
      </c>
      <c r="AC148" s="210" t="str">
        <f>IFERROR(__xludf.DUMMYFUNCTION("""COMPUTED_VALUE"""),"Jefe Division Servicios Administrativos")</f>
        <v>Jefe Division Servicios Administrativos</v>
      </c>
      <c r="AD148" s="153" t="str">
        <f>IFERROR(__xludf.DUMMYFUNCTION("""COMPUTED_VALUE"""),"Evidencia")</f>
        <v>Evidencia</v>
      </c>
      <c r="AE148" s="208" t="str">
        <f>IFERROR(__xludf.DUMMYFUNCTION("""COMPUTED_VALUE"""),"Si")</f>
        <v>Si</v>
      </c>
      <c r="AF148" s="208" t="str">
        <f>IFERROR(__xludf.DUMMYFUNCTION("""COMPUTED_VALUE"""),"Ejecutada")</f>
        <v>Ejecutada</v>
      </c>
      <c r="AG148" s="208" t="str">
        <f>IFERROR(__xludf.DUMMYFUNCTION("""COMPUTED_VALUE"""),"- Durante este tercer monitoreo no se materializó el riesgo.
-Reporte sobre los controles:
C1 y C2 se mantienen disponibles y operativos; sin embargo, no se generó evidencia debido a que no se presentaron novedades o nombramientos que activaran el uso d"&amp;"e la plataforma ADA S.A.S. o la liquidación de nuevos funcionarios.
Los controles continúan aplicándose de manera preventiva según lo definido en el proceso.                                                                       -Al estar el riesgo en zon"&amp;"a aceptada, no se establecen acciones de tratamiento adicionales, manteniéndose únicamente el monitoreo de los controles.")</f>
        <v>- Durante este tercer monitoreo no se materializó el riesgo.
-Reporte sobre los controles:
C1 y C2 se mantienen disponibles y operativos; sin embargo, no se generó evidencia debido a que no se presentaron novedades o nombramientos que activaran el uso de la plataforma ADA S.A.S. o la liquidación de nuevos funcionarios.
Los controles continúan aplicándose de manera preventiva según lo definido en el proceso.                                                                       -Al estar el riesgo en zona aceptada, no se establecen acciones de tratamiento adicionales, manteniéndose únicamente el monitoreo de los controles.</v>
      </c>
      <c r="AH148" s="150" t="str">
        <f>IFERROR(__xludf.DUMMYFUNCTION("""COMPUTED_VALUE"""),"31 de diciembre")</f>
        <v>31 de diciembre</v>
      </c>
      <c r="AI148" s="32" t="str">
        <f>IFERROR(__xludf.DUMMYFUNCTION("""COMPUTED_VALUE"""),"Si")</f>
        <v>Si</v>
      </c>
      <c r="AJ148" s="32" t="str">
        <f>IFERROR(__xludf.DUMMYFUNCTION("""COMPUTED_VALUE"""),"Si")</f>
        <v>Si</v>
      </c>
      <c r="AK148" s="32" t="str">
        <f>IFERROR(__xludf.DUMMYFUNCTION("""COMPUTED_VALUE"""),"Si")</f>
        <v>Si</v>
      </c>
      <c r="AL148" s="32" t="str">
        <f>IFERROR(__xludf.DUMMYFUNCTION("""COMPUTED_VALUE"""),"Si")</f>
        <v>Si</v>
      </c>
      <c r="AM148" s="32" t="str">
        <f>IFERROR(__xludf.DUMMYFUNCTION("""COMPUTED_VALUE"""),"Si")</f>
        <v>Si</v>
      </c>
      <c r="AN148" s="32" t="str">
        <f>IFERROR(__xludf.DUMMYFUNCTION("""COMPUTED_VALUE"""),"No aplica")</f>
        <v>No aplica</v>
      </c>
      <c r="AO148" s="32" t="str">
        <f>IFERROR(__xludf.DUMMYFUNCTION("""COMPUTED_VALUE"""),"No aplica")</f>
        <v>No aplica</v>
      </c>
      <c r="AP148" s="32" t="str">
        <f>IFERROR(__xludf.DUMMYFUNCTION("""COMPUTED_VALUE"""),"No aplica")</f>
        <v>No aplica</v>
      </c>
      <c r="AQ148" s="32" t="str">
        <f>IFERROR(__xludf.DUMMYFUNCTION("""COMPUTED_VALUE"""),"No aplica")</f>
        <v>No aplica</v>
      </c>
      <c r="AR148" s="32" t="str">
        <f>IFERROR(__xludf.DUMMYFUNCTION("""COMPUTED_VALUE"""),"No aplica")</f>
        <v>No aplica</v>
      </c>
      <c r="AS148" s="208" t="str">
        <f>IFERROR(__xludf.DUMMYFUNCTION("""COMPUTED_VALUE"""),"Hallazgo: Se evidencia deficiencia en la evaluación del riesgo residual respecto a la evaluación de los controles, todavez que el riesgo residual resulta en el mismo rango de probabilidad e impacto que el riesgo inherente.
Recomendaciones:
Fortalecer la "&amp;"descripción del riesgo, considerando la metodología de la Guía para la Administración del Riesgo y el diseño de controles en entidades públicas Versión 6, que propone los elementos para la descripción del riesgo de gestión, como son: 
Impacto: las consecu"&amp;"encias que puede ocasionar a la organización la materialización del riesgo.
Causa inmediata: circunstancias o situaciones más evidentes sobre las cuales se presenta el riesgo, las mismas no constituyen la causa principal o base para que se presente el rie"&amp;"sgo.
Causa raíz: es la causa principal o básica, corresponden a las razones por la cuales se puede presentar el riesgo, son la base para la definición de controles en la etapa de valoración del riesgo. Se debe tener en cuenta que para un mismo riesgo pued"&amp;"en existir más de una causa o subcausas que pueden ser analizadas.
")</f>
        <v>Hallazgo: Se evidencia deficiencia en la evaluación del riesgo residual respecto a la evaluación de los controles, todavez que el riesgo residual resulta en el mismo rango de probabilidad e impacto que el riesgo inherente.
Recomendaciones:
Fortalecer la descripción del riesgo, considerando la metodología de la Guía para la Administración del Riesgo y el diseño de controles en entidades públicas Versión 6, que propone los elementos para la descripción del riesgo de gestión, como son: 
Impacto: las consecuencias que puede ocasionar a la organización la materialización del riesgo.
Causa inmediata: circunstancias o situaciones más evidentes sobre las cuales se presenta el riesgo, las mismas no constituyen la causa principal o base para que se presente el riesgo.
Causa raíz: es la causa principal o básica, corresponden a las razones por la cuales se puede presentar el riesgo, son la base para la definición de controles en la etapa de valoración del riesgo. Se debe tener en cuenta que para un mismo riesgo pueden existir más de una causa o subcausas que pueden ser analizadas.
</v>
      </c>
      <c r="AT148" s="161"/>
    </row>
    <row r="149">
      <c r="A149" s="86"/>
      <c r="B149" s="225" t="s">
        <v>233</v>
      </c>
      <c r="C149" s="226" t="str">
        <f>IFERROR(__xludf.DUMMYFUNCTION("IMPORTRANGE(""https://docs.google.com/spreadsheets/d/19qYdnCjI_NS23kuM88JK2Nj3JW4W5kqRFJDwdfZXSe0/edit?gid=668558242#gid=668558242"",""Matriz_riesgos!C11:AS28"")"),"Verificar el cumplimiento de las actividades y lineamientos normativos aplicables a los procesos, de acuerdo al Modelo Estándar de Control Interno (MECI) y a la normatividad interna vigente aplicable. En el evento del incumplimiento de los deberes, la vio"&amp;"lación al régimen de prohibiciones o estar inmerso en una causal de inhabilidad e incompatibilidad, realizar la respectiva investigación, evaluación y sanción. ")</f>
        <v>Verificar el cumplimiento de las actividades y lineamientos normativos aplicables a los procesos, de acuerdo al Modelo Estándar de Control Interno (MECI) y a la normatividad interna vigente aplicable. En el evento del incumplimiento de los deberes, la violación al régimen de prohibiciones o estar inmerso en una causal de inhabilidad e incompatibilidad, realizar la respectiva investigación, evaluación y sanción. </v>
      </c>
      <c r="D149" s="206" t="str">
        <f>IFERROR(__xludf.DUMMYFUNCTION("""COMPUTED_VALUE"""),"Posibilidad de afectación económica y reputacional por procesos disciplinarios o destitución del Rector debido al incumplimiento del plan de mejoramiento de la Contraloria General de la República-Contraloria Departamental, por falta de monitoreo y cumplim"&amp;"iento de las acciones.")</f>
        <v>Posibilidad de afectación económica y reputacional por procesos disciplinarios o destitución del Rector debido al incumplimiento del plan de mejoramiento de la Contraloria General de la República-Contraloria Departamental, por falta de monitoreo y cumplimiento de las acciones.</v>
      </c>
      <c r="E149" s="206" t="str">
        <f>IFERROR(__xludf.DUMMYFUNCTION("""COMPUTED_VALUE"""),"Oficina de Control Interno de Gestión")</f>
        <v>Oficina de Control Interno de Gestión</v>
      </c>
      <c r="F149" s="206" t="str">
        <f>IFERROR(__xludf.DUMMYFUNCTION("""COMPUTED_VALUE"""),"Gestión")</f>
        <v>Gestión</v>
      </c>
      <c r="G149" s="206" t="str">
        <f>IFERROR(__xludf.DUMMYFUNCTION("""COMPUTED_VALUE"""),"- Incumplimiento del plan de mejoramiento 
- Falta de monitoreo y seguimiento al cumplimiento de las acciones")</f>
        <v>- Incumplimiento del plan de mejoramiento 
- Falta de monitoreo y seguimiento al cumplimiento de las acciones</v>
      </c>
      <c r="H149" s="206" t="str">
        <f>IFERROR(__xludf.DUMMYFUNCTION("""COMPUTED_VALUE"""),"- Investigaciones disciplinarias
-Destitución del Rector 
- Pérdida de credibilidad en la Oficina 
- Carencia de evidencia objetiva en el desempeño de las actividades")</f>
        <v>- Investigaciones disciplinarias
-Destitución del Rector 
- Pérdida de credibilidad en la Oficina 
- Carencia de evidencia objetiva en el desempeño de las actividades</v>
      </c>
      <c r="I149" s="206" t="str">
        <f>IFERROR(__xludf.DUMMYFUNCTION("""COMPUTED_VALUE"""),"ECS_01")</f>
        <v>ECS_01</v>
      </c>
      <c r="J149" s="206" t="str">
        <f>IFERROR(__xludf.DUMMYFUNCTION("""COMPUTED_VALUE"""),"Media")</f>
        <v>Media</v>
      </c>
      <c r="K149" s="206" t="str">
        <f>IFERROR(__xludf.DUMMYFUNCTION("""COMPUTED_VALUE"""),"Catastrófico")</f>
        <v>Catastrófico</v>
      </c>
      <c r="L149" s="206" t="str">
        <f>IFERROR(__xludf.DUMMYFUNCTION("""COMPUTED_VALUE"""),"Extrema")</f>
        <v>Extrema</v>
      </c>
      <c r="M149" s="206" t="str">
        <f>IFERROR(__xludf.DUMMYFUNCTION("""COMPUTED_VALUE""")," - La oficina de Control Interno, evalua bimestralmente a cada uno de los hallazgos identificados por los entes de control, verificando el cumplimiento de las acciones establecidas, registrando los resultados en el formato establecido por el ente de contr"&amp;"ol 
  ")</f>
        <v> - La oficina de Control Interno, evalua bimestralmente a cada uno de los hallazgos identificados por los entes de control, verificando el cumplimiento de las acciones establecidas, registrando los resultados en el formato establecido por el ente de control 
  </v>
      </c>
      <c r="N149" s="206" t="str">
        <f>IFERROR(__xludf.DUMMYFUNCTION("""COMPUTED_VALUE"""),"Baja")</f>
        <v>Baja</v>
      </c>
      <c r="O149" s="206" t="str">
        <f>IFERROR(__xludf.DUMMYFUNCTION("""COMPUTED_VALUE"""),"Catastrófico")</f>
        <v>Catastrófico</v>
      </c>
      <c r="P149" s="206" t="str">
        <f>IFERROR(__xludf.DUMMYFUNCTION("""COMPUTED_VALUE"""),"Extrema")</f>
        <v>Extrema</v>
      </c>
      <c r="Q149" s="207" t="str">
        <f>IFERROR(__xludf.DUMMYFUNCTION("""COMPUTED_VALUE"""),"Reducir")</f>
        <v>Reducir</v>
      </c>
      <c r="R149" s="158" t="str">
        <f>IFERROR(__xludf.DUMMYFUNCTION("""COMPUTED_VALUE"""),"La oficina de Control Interno informa a la Rectoria cuando las acciones contempladas en el Plan de mejoramiento no hayan sido ejecutadas.")</f>
        <v>La oficina de Control Interno informa a la Rectoria cuando las acciones contempladas en el Plan de mejoramiento no hayan sido ejecutadas.</v>
      </c>
      <c r="S149" s="159" t="str">
        <f>IFERROR(__xludf.DUMMYFUNCTION("""COMPUTED_VALUE"""),"Cuando se requiera")</f>
        <v>Cuando se requiera</v>
      </c>
      <c r="T149" s="159" t="str">
        <f>IFERROR(__xludf.DUMMYFUNCTION("""COMPUTED_VALUE"""),"Asesora de Control Interno")</f>
        <v>Asesora de Control Interno</v>
      </c>
      <c r="U149" s="159" t="str">
        <f>IFERROR(__xludf.DUMMYFUNCTION("""COMPUTED_VALUE"""),"Correo electrónico o acta de reunión en el marco de seguimiento de Comité Directivo")</f>
        <v>Correo electrónico o acta de reunión en el marco de seguimiento de Comité Directivo</v>
      </c>
      <c r="V149" s="167" t="str">
        <f>IFERROR(__xludf.DUMMYFUNCTION("""COMPUTED_VALUE"""),"Presentar informe de la situación ante el Comité Institucional de Coordinación de Control Interno")</f>
        <v>Presentar informe de la situación ante el Comité Institucional de Coordinación de Control Interno</v>
      </c>
      <c r="W149" s="167" t="str">
        <f>IFERROR(__xludf.DUMMYFUNCTION("""COMPUTED_VALUE"""),"Acta del Comité Institucional de Coordinación de Control Interno")</f>
        <v>Acta del Comité Institucional de Coordinación de Control Interno</v>
      </c>
      <c r="X149" s="167" t="str">
        <f>IFERROR(__xludf.DUMMYFUNCTION("""COMPUTED_VALUE"""),"Asesor de Control interno")</f>
        <v>Asesor de Control interno</v>
      </c>
      <c r="Y149" s="167" t="str">
        <f>IFERROR(__xludf.DUMMYFUNCTION("""COMPUTED_VALUE"""),"30 después después de la materialización")</f>
        <v>30 después después de la materialización</v>
      </c>
      <c r="Z149" s="208" t="str">
        <f>IFERROR(__xludf.DUMMYFUNCTION("""COMPUTED_VALUE"""),"30 de abril")</f>
        <v>30 de abril</v>
      </c>
      <c r="AA149" s="208" t="str">
        <f>IFERROR(__xludf.DUMMYFUNCTION("""COMPUTED_VALUE"""),"Enero a abril de 2025")</f>
        <v>Enero a abril de 2025</v>
      </c>
      <c r="AB149" s="208" t="str">
        <f>IFERROR(__xludf.DUMMYFUNCTION("""COMPUTED_VALUE"""),"Ejecución del control: Durante el primer cuatrimestre de 2025, la oficina de Control Interno, evaluó el cumplimiento de las acciones contempladas en el Plan de mejoramiento suscrito ante la Contraloria General y/o Departamental, mediante los reportes real"&amp;"izados con corte al 31 de diciembre de 2024. Los planes de mejoramiento reportados a los entes de control fueron igualmente publicados en el botón de transparencia del portal web de la entidad, el 24 de febrero de 2024, conforme se observa en la evidencia"&amp;" reportada. Así mismo, durante el primer cuatrimestre del 2025, la oficina de Control Interno, evaluó el cumplimiento de las acciones contempladas en el Plan de mejoramiento suscrito ante la Contraloria General y/o Departamental, de las acciones con fecha"&amp;" de cumplimiento dentro del mencionado periodo, conforme los correos electrónicos que se anexan como evidencia.
Con relación a las acciones asociadas al tratamiento, durante el primer cuatrimestre 2025, no se presentó la necesidad de informar a la Rector"&amp;"ía sobre las acciones no ejecutadas, toda vez que las acciones de los planes de mejoramiento institucional (CGR y CDM), vienen reportando avance y cumplimiento dentro de los términos establecidos.
Como resultado de los controles ejectudados, se evitó la "&amp;"materialización del riesgo.")</f>
        <v>Ejecución del control: Durante el primer cuatrimestre de 2025, la oficina de Control Interno, evaluó el cumplimiento de las acciones contempladas en el Plan de mejoramiento suscrito ante la Contraloria General y/o Departamental, mediante los reportes realizados con corte al 31 de diciembre de 2024. Los planes de mejoramiento reportados a los entes de control fueron igualmente publicados en el botón de transparencia del portal web de la entidad, el 24 de febrero de 2024, conforme se observa en la evidencia reportada. Así mismo, durante el primer cuatrimestre del 2025, la oficina de Control Interno, evaluó el cumplimiento de las acciones contempladas en el Plan de mejoramiento suscrito ante la Contraloria General y/o Departamental, de las acciones con fecha de cumplimiento dentro del mencionado periodo, conforme los correos electrónicos que se anexan como evidencia.
Con relación a las acciones asociadas al tratamiento, durante el primer cuatrimestre 2025, no se presentó la necesidad de informar a la Rectoría sobre las acciones no ejecutadas, toda vez que las acciones de los planes de mejoramiento institucional (CGR y CDM), vienen reportando avance y cumplimiento dentro de los términos establecidos.
Como resultado de los controles ejectudados, se evitó la materialización del riesgo.</v>
      </c>
      <c r="AC149" s="210" t="str">
        <f>IFERROR(__xludf.DUMMYFUNCTION("""COMPUTED_VALUE"""),"Asesora de Control Interno de Gestión")</f>
        <v>Asesora de Control Interno de Gestión</v>
      </c>
      <c r="AD149" s="153" t="str">
        <f>IFERROR(__xludf.DUMMYFUNCTION("""COMPUTED_VALUE"""),"Evidencia")</f>
        <v>Evidencia</v>
      </c>
      <c r="AE149" s="208" t="str">
        <f>IFERROR(__xludf.DUMMYFUNCTION("""COMPUTED_VALUE"""),"Si")</f>
        <v>Si</v>
      </c>
      <c r="AF149" s="208" t="str">
        <f>IFERROR(__xludf.DUMMYFUNCTION("""COMPUTED_VALUE"""),"En proceso")</f>
        <v>En proceso</v>
      </c>
      <c r="AG149" s="208" t="str">
        <f>IFERROR(__xludf.DUMMYFUNCTION("""COMPUTED_VALUE"""),"Durante el primer cuatrimestre de 2025 NO se materializó el riesgo, lo cual evidencia un resultado favorable derivado de los mecanismos de control implementados.
Sobre los controles:
Se evidencia la ejecución del control relacionado con el seguimiento pe"&amp;"riódico a los planes de mejoramiento institucional suscritos con la Contraloría General y/o Departamental. En este sentido, se resalta:
La evaluación realizada por la Oficina de Control Interno con base en los avances reportados al 31 de diciembre de 202"&amp;"4.
La publicación de los planes de mejoramiento en el botón de transparencia del portal web institucional (24 de febrero de 2024), como acción que fortalece la transparencia.
La verificación del cumplimiento de acciones con fechas de corte dentro del pr"&amp;"imer cuatrimestre de 2025, sustentada con correos electrónicos anexos.
La ejecución del control es clara, oportuna y documentada, lo que permite evidenciar que se está dando cumplimiento al procedimiento establecido.
Sobre las acciones de tratamiento de"&amp;"l riesgo:
Aunque las acciones de tratamiento consideran como medida de mitigación informar a Rectoría sobre posibles incumplimientos, se indica que no fue necesario activar dicha acción, ya que las acciones de los planes de mejoramiento han reportado cump"&amp;"limiento dentro de los plazos establecidos.
Este hecho es coherente con la no materialización del riesgo y respalda la eficacia de las acciones de mejora en curso.")</f>
        <v>Durante el primer cuatrimestre de 2025 NO se materializó el riesgo, lo cual evidencia un resultado favorable derivado de los mecanismos de control implementados.
Sobre los controles:
Se evidencia la ejecución del control relacionado con el seguimiento periódico a los planes de mejoramiento institucional suscritos con la Contraloría General y/o Departamental. En este sentido, se resalta:
La evaluación realizada por la Oficina de Control Interno con base en los avances reportados al 31 de diciembre de 2024.
La publicación de los planes de mejoramiento en el botón de transparencia del portal web institucional (24 de febrero de 2024), como acción que fortalece la transparencia.
La verificación del cumplimiento de acciones con fechas de corte dentro del primer cuatrimestre de 2025, sustentada con correos electrónicos anexos.
La ejecución del control es clara, oportuna y documentada, lo que permite evidenciar que se está dando cumplimiento al procedimiento establecido.
Sobre las acciones de tratamiento del riesgo:
Aunque las acciones de tratamiento consideran como medida de mitigación informar a Rectoría sobre posibles incumplimientos, se indica que no fue necesario activar dicha acción, ya que las acciones de los planes de mejoramiento han reportado cumplimiento dentro de los plazos establecidos.
Este hecho es coherente con la no materialización del riesgo y respalda la eficacia de las acciones de mejora en curso.</v>
      </c>
      <c r="AH149" s="150" t="str">
        <f>IFERROR(__xludf.DUMMYFUNCTION("""COMPUTED_VALUE"""),"30 de abril")</f>
        <v>30 de abril</v>
      </c>
      <c r="AI149" s="32" t="str">
        <f>IFERROR(__xludf.DUMMYFUNCTION("""COMPUTED_VALUE"""),"Si")</f>
        <v>Si</v>
      </c>
      <c r="AJ149" s="32" t="str">
        <f>IFERROR(__xludf.DUMMYFUNCTION("""COMPUTED_VALUE"""),"Si")</f>
        <v>Si</v>
      </c>
      <c r="AK149" s="32" t="str">
        <f>IFERROR(__xludf.DUMMYFUNCTION("""COMPUTED_VALUE"""),"Si")</f>
        <v>Si</v>
      </c>
      <c r="AL149" s="32" t="str">
        <f>IFERROR(__xludf.DUMMYFUNCTION("""COMPUTED_VALUE"""),"Si")</f>
        <v>Si</v>
      </c>
      <c r="AM149" s="32" t="str">
        <f>IFERROR(__xludf.DUMMYFUNCTION("""COMPUTED_VALUE"""),"Si")</f>
        <v>Si</v>
      </c>
      <c r="AN149" s="32" t="str">
        <f>IFERROR(__xludf.DUMMYFUNCTION("""COMPUTED_VALUE"""),"Si")</f>
        <v>Si</v>
      </c>
      <c r="AO149" s="32" t="str">
        <f>IFERROR(__xludf.DUMMYFUNCTION("""COMPUTED_VALUE"""),"Si")</f>
        <v>Si</v>
      </c>
      <c r="AP149" s="32" t="str">
        <f>IFERROR(__xludf.DUMMYFUNCTION("""COMPUTED_VALUE"""),"No aplica")</f>
        <v>No aplica</v>
      </c>
      <c r="AQ149" s="32" t="str">
        <f>IFERROR(__xludf.DUMMYFUNCTION("""COMPUTED_VALUE"""),"No aplica")</f>
        <v>No aplica</v>
      </c>
      <c r="AR149" s="32" t="str">
        <f>IFERROR(__xludf.DUMMYFUNCTION("""COMPUTED_VALUE"""),"No aplica")</f>
        <v>No aplica</v>
      </c>
      <c r="AS149" s="208" t="str">
        <f>IFERROR(__xludf.DUMMYFUNCTION("""COMPUTED_VALUE"""),"Recomendaciones:
*Fortalecer la descripción de los controles conforme a la metodología propuesta en la Guía para la Administración del Riesgo y el diseño de controles en entidades públicas Versión 6, que propone los elementos que debe contemplar el diseño"&amp;" del control, como son: 
Responsable de ejecutar el control: identifica el cargo del servidor que ejecuta el control, en caso de que sean controles automáticos se identificará el sistema que realiza la actividad. 
Acción: se determina mediante verbos qu"&amp;"e indican la acción que deben realizar como parte del control. 
Complemento: corresponde a los detalles que permiten identificar claramente el objeto del control.
")</f>
        <v>Recomendaciones:
*Fortalecer la descripción de los controles conforme a la metodología propuesta en la Guía para la Administración del Riesgo y el diseño de controles en entidades públicas Versión 6, que propone los elementos que debe contemplar el diseño del control, como son: 
Responsable de ejecutar el control: identifica el cargo del servidor que ejecuta el control, en caso de que sean controles automáticos se identificará el sistema que realiza la actividad. 
Acción: se determina mediante verbos que indican la acción que deben realizar como parte del control. 
Complemento: corresponde a los detalles que permiten identificar claramente el objeto del control.
</v>
      </c>
      <c r="AT149" s="161"/>
    </row>
    <row r="150">
      <c r="A150" s="86"/>
      <c r="B150" s="73"/>
      <c r="C150" s="73"/>
      <c r="D150" s="156"/>
      <c r="E150" s="156"/>
      <c r="F150" s="156"/>
      <c r="G150" s="156"/>
      <c r="H150" s="156"/>
      <c r="I150" s="156"/>
      <c r="J150" s="156"/>
      <c r="K150" s="156"/>
      <c r="L150" s="156"/>
      <c r="M150" s="156"/>
      <c r="N150" s="156"/>
      <c r="O150" s="156"/>
      <c r="P150" s="156"/>
      <c r="Q150" s="157"/>
      <c r="R150" s="158" t="str">
        <f>IFERROR(__xludf.DUMMYFUNCTION("""COMPUTED_VALUE"""),"")</f>
        <v/>
      </c>
      <c r="S150" s="159" t="str">
        <f>IFERROR(__xludf.DUMMYFUNCTION("""COMPUTED_VALUE"""),"")</f>
        <v/>
      </c>
      <c r="T150" s="170"/>
      <c r="U150" s="170"/>
      <c r="V150" s="94"/>
      <c r="W150" s="94"/>
      <c r="X150" s="94"/>
      <c r="Y150" s="94"/>
      <c r="Z150" s="208" t="str">
        <f>IFERROR(__xludf.DUMMYFUNCTION("""COMPUTED_VALUE"""),"30 de agosto")</f>
        <v>30 de agosto</v>
      </c>
      <c r="AA150" s="208" t="str">
        <f>IFERROR(__xludf.DUMMYFUNCTION("""COMPUTED_VALUE"""),"Mayo a agosto 2025")</f>
        <v>Mayo a agosto 2025</v>
      </c>
      <c r="AB150" s="208" t="str">
        <f>IFERROR(__xludf.DUMMYFUNCTION("""COMPUTED_VALUE"""),"Ejecución del control: Durante el segundo cuatrimestre de la vigencia 2025, la oficina de Control Interno de Gestión, evaluó el cumplimiento de las acciones contempladas en el Plan de mejoramiento suscrito ante la Contraloria General y/o Departamental, me"&amp;"diante los reportes realizados con corte al 30  de junio de 2025. Los planes de mejoramiento reportados a los entes de control fueron igualmente publicados en el botón de transparencia del portal web de la entidad. Así mismo, durante el segundo cuatrimest"&amp;"re del 2025, la oficina de Control Interno, evaluó el cumplimiento de las acciones contempladas en el Plan de mejoramiento suscrito ante la Contraloria General y/o Departamental, de las acciones con fecha de cumplimiento dentro del mencionado periodo, con"&amp;"forme los correos electrónicos que se anexan como evidencia.
Con relación a las acciones asociadas al tratamiento, durante el segundo cuatrimestre 2025, no se presentó la necesidad de informar a la Rectoría sobre las acciones no ejecutadas, toda vez que "&amp;"las acciones de los planes de mejoramiento institucional (CGR y CDM), vienen reportando avance y cumplimiento dentro de los términos establecidos.
Como resultado de los controles ejectudados, se evitó la materialización del riesgo.")</f>
        <v>Ejecución del control: Durante el segundo cuatrimestre de la vigencia 2025, la oficina de Control Interno de Gestión, evaluó el cumplimiento de las acciones contempladas en el Plan de mejoramiento suscrito ante la Contraloria General y/o Departamental, mediante los reportes realizados con corte al 30  de junio de 2025. Los planes de mejoramiento reportados a los entes de control fueron igualmente publicados en el botón de transparencia del portal web de la entidad. Así mismo, durante el segundo cuatrimestre del 2025, la oficina de Control Interno, evaluó el cumplimiento de las acciones contempladas en el Plan de mejoramiento suscrito ante la Contraloria General y/o Departamental, de las acciones con fecha de cumplimiento dentro del mencionado periodo, conforme los correos electrónicos que se anexan como evidencia.
Con relación a las acciones asociadas al tratamiento, durante el segundo cuatrimestre 2025, no se presentó la necesidad de informar a la Rectoría sobre las acciones no ejecutadas, toda vez que las acciones de los planes de mejoramiento institucional (CGR y CDM), vienen reportando avance y cumplimiento dentro de los términos establecidos.
Como resultado de los controles ejectudados, se evitó la materialización del riesgo.</v>
      </c>
      <c r="AC150" s="210" t="str">
        <f>IFERROR(__xludf.DUMMYFUNCTION("""COMPUTED_VALUE"""),"Asesora de Control Interno de Gestión")</f>
        <v>Asesora de Control Interno de Gestión</v>
      </c>
      <c r="AD150" s="153" t="str">
        <f>IFERROR(__xludf.DUMMYFUNCTION("""COMPUTED_VALUE"""),"Evidencia")</f>
        <v>Evidencia</v>
      </c>
      <c r="AE150" s="208" t="str">
        <f>IFERROR(__xludf.DUMMYFUNCTION("""COMPUTED_VALUE"""),"Si")</f>
        <v>Si</v>
      </c>
      <c r="AF150" s="211" t="str">
        <f>IFERROR(__xludf.DUMMYFUNCTION("""COMPUTED_VALUE"""),"En proceso")</f>
        <v>En proceso</v>
      </c>
      <c r="AG150" s="208" t="str">
        <f>IFERROR(__xludf.DUMMYFUNCTION("""COMPUTED_VALUE"""),"Durante el segundo cuatrimestre de la vigencia 2025 NO se materializó el riesgo.
Controles aplicados:
La Oficina de Control Interno de Gestión evaluó el cumplimiento de las acciones contempladas en el Plan de Mejoramiento suscrito ante la Contraloría Gen"&amp;"eral y/o Departamental, con base en los reportes presentados con corte al 30 de junio de 2025.
Los planes de mejoramiento reportados fueron publicados en el botón de transparencia del portal web institucional.
Adicionalmente, se verificó el cumplimiento d"&amp;"e las acciones con fecha de ejecución dentro del periodo mencionado, conforme a los correos electrónicos allegados como evidencia.
Acciones de tratamiento:
Durante el segundo cuatrimestre de 2025 no fue necesario informar a la Rectoría sobre acciones no "&amp;"ejecutadas, en tanto que los Planes de Mejoramiento institucional (CGR y CDM) presentaron avances y cumplimiento dentro de los términos establecidos.")</f>
        <v>Durante el segundo cuatrimestre de la vigencia 2025 NO se materializó el riesgo.
Controles aplicados:
La Oficina de Control Interno de Gestión evaluó el cumplimiento de las acciones contempladas en el Plan de Mejoramiento suscrito ante la Contraloría General y/o Departamental, con base en los reportes presentados con corte al 30 de junio de 2025.
Los planes de mejoramiento reportados fueron publicados en el botón de transparencia del portal web institucional.
Adicionalmente, se verificó el cumplimiento de las acciones con fecha de ejecución dentro del periodo mencionado, conforme a los correos electrónicos allegados como evidencia.
Acciones de tratamiento:
Durante el segundo cuatrimestre de 2025 no fue necesario informar a la Rectoría sobre acciones no ejecutadas, en tanto que los Planes de Mejoramiento institucional (CGR y CDM) presentaron avances y cumplimiento dentro de los términos establecidos.</v>
      </c>
      <c r="AH150" s="150" t="str">
        <f>IFERROR(__xludf.DUMMYFUNCTION("""COMPUTED_VALUE"""),"31 de agosto")</f>
        <v>31 de agosto</v>
      </c>
      <c r="AI150" s="32" t="str">
        <f>IFERROR(__xludf.DUMMYFUNCTION("""COMPUTED_VALUE"""),"Si")</f>
        <v>Si</v>
      </c>
      <c r="AJ150" s="32" t="str">
        <f>IFERROR(__xludf.DUMMYFUNCTION("""COMPUTED_VALUE"""),"Si")</f>
        <v>Si</v>
      </c>
      <c r="AK150" s="32" t="str">
        <f>IFERROR(__xludf.DUMMYFUNCTION("""COMPUTED_VALUE"""),"Si")</f>
        <v>Si</v>
      </c>
      <c r="AL150" s="32" t="str">
        <f>IFERROR(__xludf.DUMMYFUNCTION("""COMPUTED_VALUE"""),"Si")</f>
        <v>Si</v>
      </c>
      <c r="AM150" s="32" t="str">
        <f>IFERROR(__xludf.DUMMYFUNCTION("""COMPUTED_VALUE"""),"Si")</f>
        <v>Si</v>
      </c>
      <c r="AN150" s="32" t="str">
        <f>IFERROR(__xludf.DUMMYFUNCTION("""COMPUTED_VALUE"""),"Si")</f>
        <v>Si</v>
      </c>
      <c r="AO150" s="32" t="str">
        <f>IFERROR(__xludf.DUMMYFUNCTION("""COMPUTED_VALUE"""),"Si")</f>
        <v>Si</v>
      </c>
      <c r="AP150" s="32" t="str">
        <f>IFERROR(__xludf.DUMMYFUNCTION("""COMPUTED_VALUE"""),"No aplica")</f>
        <v>No aplica</v>
      </c>
      <c r="AQ150" s="32" t="str">
        <f>IFERROR(__xludf.DUMMYFUNCTION("""COMPUTED_VALUE"""),"No aplica")</f>
        <v>No aplica</v>
      </c>
      <c r="AR150" s="32" t="str">
        <f>IFERROR(__xludf.DUMMYFUNCTION("""COMPUTED_VALUE"""),"No aplica")</f>
        <v>No aplica</v>
      </c>
      <c r="AS150" s="208" t="str">
        <f>IFERROR(__xludf.DUMMYFUNCTION("""COMPUTED_VALUE"""),"Se realizaron ajustes a la identificación, valoración y analisis del riesgo, de acuerdo con las observaciones registradas en el monitoreo anterior.")</f>
        <v>Se realizaron ajustes a la identificación, valoración y analisis del riesgo, de acuerdo con las observaciones registradas en el monitoreo anterior.</v>
      </c>
      <c r="AT150" s="161"/>
    </row>
    <row r="151">
      <c r="A151" s="86"/>
      <c r="B151" s="73"/>
      <c r="C151" s="73"/>
      <c r="D151" s="119"/>
      <c r="E151" s="119"/>
      <c r="F151" s="119"/>
      <c r="G151" s="119"/>
      <c r="H151" s="119"/>
      <c r="I151" s="119"/>
      <c r="J151" s="119"/>
      <c r="K151" s="119"/>
      <c r="L151" s="119"/>
      <c r="M151" s="119"/>
      <c r="N151" s="119"/>
      <c r="O151" s="119"/>
      <c r="P151" s="119"/>
      <c r="Q151" s="162"/>
      <c r="R151" s="163" t="str">
        <f>IFERROR(__xludf.DUMMYFUNCTION("""COMPUTED_VALUE"""),"")</f>
        <v/>
      </c>
      <c r="S151" s="164" t="str">
        <f>IFERROR(__xludf.DUMMYFUNCTION("""COMPUTED_VALUE"""),"")</f>
        <v/>
      </c>
      <c r="T151" s="176"/>
      <c r="U151" s="176"/>
      <c r="V151" s="98"/>
      <c r="W151" s="98"/>
      <c r="X151" s="98"/>
      <c r="Y151" s="98"/>
      <c r="Z151" s="208" t="str">
        <f>IFERROR(__xludf.DUMMYFUNCTION("""COMPUTED_VALUE"""),"30 de diciembre")</f>
        <v>30 de diciembre</v>
      </c>
      <c r="AA151" s="222">
        <f>IFERROR(__xludf.DUMMYFUNCTION("""COMPUTED_VALUE"""),45992.0)</f>
        <v>45992</v>
      </c>
      <c r="AB151" s="208" t="str">
        <f>IFERROR(__xludf.DUMMYFUNCTION("""COMPUTED_VALUE"""),"Ejecución del control: Durante el tercer cuatrimestre de la vigencia 2025, la oficina de Control Interno, evaluó el cumplimiento de las acciones contempladas en el Plan de mejoramiento suscrito ante la Contraloria General y Contraloria Departamental, de l"&amp;"as acciones con fecha de cumplimiento dentro del mencionado periodo, mediante correos electrónicos de fecha 21 de noviembre de 2025 (se adjunta evidencia). Con relación a los reportes oficiales a los entes de control, estos se cumplen en el mes de enero d"&amp;"e 2026, los cuales se debe realizar con corte al 31/12/2025.
Acciones asociadas al tratamiento: Durante el periodo informado, no se presentó la necesidad de informar a Rectoria sobre acciones del plan de mejoramiento sin cumplir.
Materialización del riesg"&amp;"o: Considerando que durante el periodo informado, se mantuvieron las acciones de control establecidas y que los procesos reportaron de manera periodica el avance a las acciones, no se materializó el riesgo.")</f>
        <v>Ejecución del control: Durante el tercer cuatrimestre de la vigencia 2025, la oficina de Control Interno, evaluó el cumplimiento de las acciones contempladas en el Plan de mejoramiento suscrito ante la Contraloria General y Contraloria Departamental, de las acciones con fecha de cumplimiento dentro del mencionado periodo, mediante correos electrónicos de fecha 21 de noviembre de 2025 (se adjunta evidencia). Con relación a los reportes oficiales a los entes de control, estos se cumplen en el mes de enero de 2026, los cuales se debe realizar con corte al 31/12/2025.
Acciones asociadas al tratamiento: Durante el periodo informado, no se presentó la necesidad de informar a Rectoria sobre acciones del plan de mejoramiento sin cumplir.
Materialización del riesgo: Considerando que durante el periodo informado, se mantuvieron las acciones de control establecidas y que los procesos reportaron de manera periodica el avance a las acciones, no se materializó el riesgo.</v>
      </c>
      <c r="AC151" s="210" t="str">
        <f>IFERROR(__xludf.DUMMYFUNCTION("""COMPUTED_VALUE"""),"Asesora de Control Interno de Gestión")</f>
        <v>Asesora de Control Interno de Gestión</v>
      </c>
      <c r="AD151" s="153" t="str">
        <f>IFERROR(__xludf.DUMMYFUNCTION("""COMPUTED_VALUE"""),"Evidencia")</f>
        <v>Evidencia</v>
      </c>
      <c r="AE151" s="208" t="str">
        <f>IFERROR(__xludf.DUMMYFUNCTION("""COMPUTED_VALUE"""),"Si")</f>
        <v>Si</v>
      </c>
      <c r="AF151" s="211" t="str">
        <f>IFERROR(__xludf.DUMMYFUNCTION("""COMPUTED_VALUE"""),"Ejecutada")</f>
        <v>Ejecutada</v>
      </c>
      <c r="AG151" s="208" t="str">
        <f>IFERROR(__xludf.DUMMYFUNCTION("""COMPUTED_VALUE"""),"-Durante el monitoreo del tercer cuatrimeste se evidencia que el riesgo no se materializó. Esto, considerando que se mantuvieron implementadas las acciones de control y que los responsables realizaron reportes periódicos sobre los avances.
-La Oficina de "&amp;"Control Interno evaluó el cumplimiento de las acciones asociadas al Plan de Mejoramiento suscrito ante la Contraloría General y la Contraloría Departamental, correspondientes al periodo analizado. Dicha verificación se efectuó mediante los correos electró"&amp;"nicos del 21 de noviembre de 2025 (correos adjuntos como evidencia).
-Se precisa que los reportes oficiales a los entes de control se consolidan y transmiten en enero de 2026, con corte al 31 de diciembre de 2025, conforme a los lineamientos establecidos."&amp;"                                                                                                                                                                                                                                                       -Accione"&amp;"s asociadas al tratamiento del riesgo: Durante el periodo informado no se generó la necesidad de informar a Rectoría sobre acciones del Plan de Mejoramiento que presentaran incumplimiento o riesgo de no ejecución, dado que las áreas responsables mantuvier"&amp;"on la actualización y reporte oportuno de sus actividades.                                                                                                                                                                                                     "&amp;"                      -Con el propósito de continuar fortaleciendo el seguimiento institucional, se sugiere mantener las buenas prácticas observadas en el reporte periódico de avances y consolidar la documentación soporte que permita reflejar de manera co"&amp;"mpleta y oportuna la gestión realizada en el marco del Plan de Mejoramiento.")</f>
        <v>-Durante el monitoreo del tercer cuatrimeste se evidencia que el riesgo no se materializó. Esto, considerando que se mantuvieron implementadas las acciones de control y que los responsables realizaron reportes periódicos sobre los avances.
-La Oficina de Control Interno evaluó el cumplimiento de las acciones asociadas al Plan de Mejoramiento suscrito ante la Contraloría General y la Contraloría Departamental, correspondientes al periodo analizado. Dicha verificación se efectuó mediante los correos electrónicos del 21 de noviembre de 2025 (correos adjuntos como evidencia).
-Se precisa que los reportes oficiales a los entes de control se consolidan y transmiten en enero de 2026, con corte al 31 de diciembre de 2025, conforme a los lineamientos establecidos.                                                                                                                                                                                                                                                       -Acciones asociadas al tratamiento del riesgo: Durante el periodo informado no se generó la necesidad de informar a Rectoría sobre acciones del Plan de Mejoramiento que presentaran incumplimiento o riesgo de no ejecución, dado que las áreas responsables mantuvieron la actualización y reporte oportuno de sus actividades.                                                                                                                                                                                                                           -Con el propósito de continuar fortaleciendo el seguimiento institucional, se sugiere mantener las buenas prácticas observadas en el reporte periódico de avances y consolidar la documentación soporte que permita reflejar de manera completa y oportuna la gestión realizada en el marco del Plan de Mejoramiento.</v>
      </c>
      <c r="AH151" s="150" t="str">
        <f>IFERROR(__xludf.DUMMYFUNCTION("""COMPUTED_VALUE"""),"31 de diciembre")</f>
        <v>31 de diciembre</v>
      </c>
      <c r="AI151" s="32" t="str">
        <f>IFERROR(__xludf.DUMMYFUNCTION("""COMPUTED_VALUE"""),"Si")</f>
        <v>Si</v>
      </c>
      <c r="AJ151" s="32" t="str">
        <f>IFERROR(__xludf.DUMMYFUNCTION("""COMPUTED_VALUE"""),"Si")</f>
        <v>Si</v>
      </c>
      <c r="AK151" s="32" t="str">
        <f>IFERROR(__xludf.DUMMYFUNCTION("""COMPUTED_VALUE"""),"Si")</f>
        <v>Si</v>
      </c>
      <c r="AL151" s="32" t="str">
        <f>IFERROR(__xludf.DUMMYFUNCTION("""COMPUTED_VALUE"""),"Si")</f>
        <v>Si</v>
      </c>
      <c r="AM151" s="32" t="str">
        <f>IFERROR(__xludf.DUMMYFUNCTION("""COMPUTED_VALUE"""),"Si")</f>
        <v>Si</v>
      </c>
      <c r="AN151" s="32" t="str">
        <f>IFERROR(__xludf.DUMMYFUNCTION("""COMPUTED_VALUE"""),"Si")</f>
        <v>Si</v>
      </c>
      <c r="AO151" s="32" t="str">
        <f>IFERROR(__xludf.DUMMYFUNCTION("""COMPUTED_VALUE"""),"Si")</f>
        <v>Si</v>
      </c>
      <c r="AP151" s="32" t="str">
        <f>IFERROR(__xludf.DUMMYFUNCTION("""COMPUTED_VALUE"""),"No aplica")</f>
        <v>No aplica</v>
      </c>
      <c r="AQ151" s="32" t="str">
        <f>IFERROR(__xludf.DUMMYFUNCTION("""COMPUTED_VALUE"""),"No aplica")</f>
        <v>No aplica</v>
      </c>
      <c r="AR151" s="32" t="str">
        <f>IFERROR(__xludf.DUMMYFUNCTION("""COMPUTED_VALUE"""),"No aplica")</f>
        <v>No aplica</v>
      </c>
      <c r="AS151" s="208" t="str">
        <f>IFERROR(__xludf.DUMMYFUNCTION("""COMPUTED_VALUE"""),"Ninguna")</f>
        <v>Ninguna</v>
      </c>
      <c r="AT151" s="161"/>
    </row>
    <row r="152">
      <c r="A152" s="86"/>
      <c r="B152" s="73"/>
      <c r="C152" s="73"/>
      <c r="D152" s="206" t="str">
        <f>IFERROR(__xludf.DUMMYFUNCTION("""COMPUTED_VALUE"""),"Afectación reputacional por favorecimiento a terceros por omisión en la apertura de los procesos disciplinarios ")</f>
        <v>Afectación reputacional por favorecimiento a terceros por omisión en la apertura de los procesos disciplinarios </v>
      </c>
      <c r="E152" s="206" t="str">
        <f>IFERROR(__xludf.DUMMYFUNCTION("""COMPUTED_VALUE"""),"Oficina de Control Interno Disciplinario")</f>
        <v>Oficina de Control Interno Disciplinario</v>
      </c>
      <c r="F152" s="206" t="str">
        <f>IFERROR(__xludf.DUMMYFUNCTION("""COMPUTED_VALUE"""),"Corrupción")</f>
        <v>Corrupción</v>
      </c>
      <c r="G152" s="206" t="str">
        <f>IFERROR(__xludf.DUMMYFUNCTION("""COMPUTED_VALUE"""),"- Favorecimiento por parte de algún funcionario para no aperturar un proceso")</f>
        <v>- Favorecimiento por parte de algún funcionario para no aperturar un proceso</v>
      </c>
      <c r="H152" s="206" t="str">
        <f>IFERROR(__xludf.DUMMYFUNCTION("""COMPUTED_VALUE"""),"- Sanciones disciplinarias
- Sanciones fiscales 
- Afectación en la imagen de la Oficina")</f>
        <v>- Sanciones disciplinarias
- Sanciones fiscales 
- Afectación en la imagen de la Oficina</v>
      </c>
      <c r="I152" s="206" t="str">
        <f>IFERROR(__xludf.DUMMYFUNCTION("""COMPUTED_VALUE"""),"ECS_02")</f>
        <v>ECS_02</v>
      </c>
      <c r="J152" s="206" t="str">
        <f>IFERROR(__xludf.DUMMYFUNCTION("""COMPUTED_VALUE"""),"Media")</f>
        <v>Media</v>
      </c>
      <c r="K152" s="206" t="str">
        <f>IFERROR(__xludf.DUMMYFUNCTION("""COMPUTED_VALUE"""),"Mayor")</f>
        <v>Mayor</v>
      </c>
      <c r="L152" s="206" t="str">
        <f>IFERROR(__xludf.DUMMYFUNCTION("""COMPUTED_VALUE"""),"Extrema")</f>
        <v>Extrema</v>
      </c>
      <c r="M152" s="206" t="str">
        <f>IFERROR(__xludf.DUMMYFUNCTION("""COMPUTED_VALUE"""),"- Evaluación objetiva de la acción disciplinaria 
- Asignación de las aperturas a los distintos contratistas de la oficina
- Reuniones y socializaciones de control y seguimiento de las asignaciones
 ")</f>
        <v>- Evaluación objetiva de la acción disciplinaria 
- Asignación de las aperturas a los distintos contratistas de la oficina
- Reuniones y socializaciones de control y seguimiento de las asignaciones
 </v>
      </c>
      <c r="N152" s="206" t="str">
        <f>IFERROR(__xludf.DUMMYFUNCTION("""COMPUTED_VALUE"""),"Muy baja")</f>
        <v>Muy baja</v>
      </c>
      <c r="O152" s="206" t="str">
        <f>IFERROR(__xludf.DUMMYFUNCTION("""COMPUTED_VALUE"""),"Mayor")</f>
        <v>Mayor</v>
      </c>
      <c r="P152" s="206" t="str">
        <f>IFERROR(__xludf.DUMMYFUNCTION("""COMPUTED_VALUE"""),"Alta")</f>
        <v>Alta</v>
      </c>
      <c r="Q152" s="207" t="str">
        <f>IFERROR(__xludf.DUMMYFUNCTION("""COMPUTED_VALUE"""),"Reducir")</f>
        <v>Reducir</v>
      </c>
      <c r="R152" s="158" t="str">
        <f>IFERROR(__xludf.DUMMYFUNCTION("""COMPUTED_VALUE"""),"Realizar seguimiento de las asignaciones pendientes las cuales fueron etiquetadas y socializadas con el profesional responsable.")</f>
        <v>Realizar seguimiento de las asignaciones pendientes las cuales fueron etiquetadas y socializadas con el profesional responsable.</v>
      </c>
      <c r="S152" s="159" t="str">
        <f>IFERROR(__xludf.DUMMYFUNCTION("""COMPUTED_VALUE"""),"Trimestralmente")</f>
        <v>Trimestralmente</v>
      </c>
      <c r="T152" s="170" t="str">
        <f>IFERROR(__xludf.DUMMYFUNCTION("""COMPUTED_VALUE"""),"Asesora de control disciplinario")</f>
        <v>Asesora de control disciplinario</v>
      </c>
      <c r="U152" s="170" t="str">
        <f>IFERROR(__xludf.DUMMYFUNCTION("""COMPUTED_VALUE"""),"Acta de reunión")</f>
        <v>Acta de reunión</v>
      </c>
      <c r="V152" s="167" t="str">
        <f>IFERROR(__xludf.DUMMYFUNCTION("""COMPUTED_VALUE"""),"Aperturar de manera inmediata las investigaciones necesarias o indagaciones previas según el caso")</f>
        <v>Aperturar de manera inmediata las investigaciones necesarias o indagaciones previas según el caso</v>
      </c>
      <c r="W152" s="167" t="str">
        <f>IFERROR(__xludf.DUMMYFUNCTION("""COMPUTED_VALUE"""),"Acción disciplinaria pertinente")</f>
        <v>Acción disciplinaria pertinente</v>
      </c>
      <c r="X152" s="167" t="str">
        <f>IFERROR(__xludf.DUMMYFUNCTION("""COMPUTED_VALUE"""),"Asesora de Control Interno Disciplinario")</f>
        <v>Asesora de Control Interno Disciplinario</v>
      </c>
      <c r="Y152" s="167" t="str">
        <f>IFERROR(__xludf.DUMMYFUNCTION("""COMPUTED_VALUE"""),"Inmediato")</f>
        <v>Inmediato</v>
      </c>
      <c r="Z152" s="208" t="str">
        <f>IFERROR(__xludf.DUMMYFUNCTION("""COMPUTED_VALUE"""),"30 de abril")</f>
        <v>30 de abril</v>
      </c>
      <c r="AA152" s="208" t="str">
        <f>IFERROR(__xludf.DUMMYFUNCTION("""COMPUTED_VALUE"""),"Enero a abril de 2025")</f>
        <v>Enero a abril de 2025</v>
      </c>
      <c r="AB152" s="208" t="str">
        <f>IFERROR(__xludf.DUMMYFUNCTION("""COMPUTED_VALUE"""),"Durante el período de monitoreo NO se materializó el riesgo de afectación reputacional por presunto favorecimiento a terceros, derivado de omisiones en la apertura de procesos disciplinarios.
Acciones asociadas a la aplicación de controles del riesgo:
-"&amp;"Se realizó una reunión de coordinación el 27 de febrero de 2025 con los profesionales de apoyo y judicantes de la Oficina de Control Disciplinario Interno, en la cual se asignaron tareas específicas orientadas a fortalecer el seguimiento y control de los "&amp;"procesos disciplinarios.
-Se etiquetaron y socializaron las asignaciones pendientes con el profesional responsable, promoviendo la trazabilidad de los casos y la adecuada distribución de las cargas de trabajo.
-Se implementó una estrategia de revisión per"&amp;"iódica de los términos procesales para verificar la apertura oportuna de indagaciones preliminares, investigaciones formales, emisión de decisiones inhibitorias y remisión de actuaciones a otras instancias cuando corresponda.
Estas acciones contribuyen a"&amp;"l cumplimiento de la normativa vigente y aseguran la transparencia y legalidad en la gestión disciplinaria.
Acciones asociadas al tratamiento del riesgo:
-Se fortaleció la cultura institucional de control y responsabilidad a través de la socialización de"&amp;" buenas prácticas y lineamientos en materia disciplinaria.
-Se promovió la articulación entre los distintos roles dentro de la Oficina con el fin de garantizar un tratamiento oportuno y riguroso de las actuaciones, minimizando así la posibilidad de omisio"&amp;"nes que puedan derivar en afectaciones reputacionales.
")</f>
        <v>Durante el período de monitoreo NO se materializó el riesgo de afectación reputacional por presunto favorecimiento a terceros, derivado de omisiones en la apertura de procesos disciplinarios.
Acciones asociadas a la aplicación de controles del riesgo:
-Se realizó una reunión de coordinación el 27 de febrero de 2025 con los profesionales de apoyo y judicantes de la Oficina de Control Disciplinario Interno, en la cual se asignaron tareas específicas orientadas a fortalecer el seguimiento y control de los procesos disciplinarios.
-Se etiquetaron y socializaron las asignaciones pendientes con el profesional responsable, promoviendo la trazabilidad de los casos y la adecuada distribución de las cargas de trabajo.
-Se implementó una estrategia de revisión periódica de los términos procesales para verificar la apertura oportuna de indagaciones preliminares, investigaciones formales, emisión de decisiones inhibitorias y remisión de actuaciones a otras instancias cuando corresponda.
Estas acciones contribuyen al cumplimiento de la normativa vigente y aseguran la transparencia y legalidad en la gestión disciplinaria.
Acciones asociadas al tratamiento del riesgo:
-Se fortaleció la cultura institucional de control y responsabilidad a través de la socialización de buenas prácticas y lineamientos en materia disciplinaria.
-Se promovió la articulación entre los distintos roles dentro de la Oficina con el fin de garantizar un tratamiento oportuno y riguroso de las actuaciones, minimizando así la posibilidad de omisiones que puedan derivar en afectaciones reputacionales.
</v>
      </c>
      <c r="AC152" s="210" t="str">
        <f>IFERROR(__xludf.DUMMYFUNCTION("""COMPUTED_VALUE"""),"Asesora de Control Interno Disciplinario")</f>
        <v>Asesora de Control Interno Disciplinario</v>
      </c>
      <c r="AD152" s="153" t="str">
        <f>IFERROR(__xludf.DUMMYFUNCTION("""COMPUTED_VALUE"""),"Evidencia")</f>
        <v>Evidencia</v>
      </c>
      <c r="AE152" s="208" t="str">
        <f>IFERROR(__xludf.DUMMYFUNCTION("""COMPUTED_VALUE"""),"Si")</f>
        <v>Si</v>
      </c>
      <c r="AF152" s="211" t="str">
        <f>IFERROR(__xludf.DUMMYFUNCTION("""COMPUTED_VALUE"""),"En proceso")</f>
        <v>En proceso</v>
      </c>
      <c r="AG152" s="208"/>
      <c r="AH152" s="150" t="str">
        <f>IFERROR(__xludf.DUMMYFUNCTION("""COMPUTED_VALUE"""),"30 de abril")</f>
        <v>30 de abril</v>
      </c>
      <c r="AI152" s="32" t="str">
        <f>IFERROR(__xludf.DUMMYFUNCTION("""COMPUTED_VALUE"""),"Si")</f>
        <v>Si</v>
      </c>
      <c r="AJ152" s="32" t="str">
        <f>IFERROR(__xludf.DUMMYFUNCTION("""COMPUTED_VALUE"""),"Si")</f>
        <v>Si</v>
      </c>
      <c r="AK152" s="32" t="str">
        <f>IFERROR(__xludf.DUMMYFUNCTION("""COMPUTED_VALUE"""),"Si")</f>
        <v>Si</v>
      </c>
      <c r="AL152" s="32" t="str">
        <f>IFERROR(__xludf.DUMMYFUNCTION("""COMPUTED_VALUE"""),"Si")</f>
        <v>Si</v>
      </c>
      <c r="AM152" s="32" t="str">
        <f>IFERROR(__xludf.DUMMYFUNCTION("""COMPUTED_VALUE"""),"Si")</f>
        <v>Si</v>
      </c>
      <c r="AN152" s="32" t="str">
        <f>IFERROR(__xludf.DUMMYFUNCTION("""COMPUTED_VALUE"""),"Si")</f>
        <v>Si</v>
      </c>
      <c r="AO152" s="32" t="str">
        <f>IFERROR(__xludf.DUMMYFUNCTION("""COMPUTED_VALUE"""),"Si")</f>
        <v>Si</v>
      </c>
      <c r="AP152" s="32" t="str">
        <f>IFERROR(__xludf.DUMMYFUNCTION("""COMPUTED_VALUE"""),"No")</f>
        <v>No</v>
      </c>
      <c r="AQ152" s="32" t="str">
        <f>IFERROR(__xludf.DUMMYFUNCTION("""COMPUTED_VALUE"""),"No aplica")</f>
        <v>No aplica</v>
      </c>
      <c r="AR152" s="32" t="str">
        <f>IFERROR(__xludf.DUMMYFUNCTION("""COMPUTED_VALUE"""),"No aplica")</f>
        <v>No aplica</v>
      </c>
      <c r="AS152" s="208" t="str">
        <f>IFERROR(__xludf.DUMMYFUNCTION("""COMPUTED_VALUE"""),"Ninguna")</f>
        <v>Ninguna</v>
      </c>
      <c r="AT152" s="161"/>
    </row>
    <row r="153">
      <c r="A153" s="86"/>
      <c r="B153" s="73"/>
      <c r="C153" s="73"/>
      <c r="D153" s="156"/>
      <c r="E153" s="156"/>
      <c r="F153" s="156"/>
      <c r="G153" s="156"/>
      <c r="H153" s="156"/>
      <c r="I153" s="156"/>
      <c r="J153" s="156"/>
      <c r="K153" s="156"/>
      <c r="L153" s="156"/>
      <c r="M153" s="156"/>
      <c r="N153" s="156"/>
      <c r="O153" s="156"/>
      <c r="P153" s="156"/>
      <c r="Q153" s="157"/>
      <c r="R153" s="158" t="str">
        <f>IFERROR(__xludf.DUMMYFUNCTION("""COMPUTED_VALUE"""),"")</f>
        <v/>
      </c>
      <c r="S153" s="159" t="str">
        <f>IFERROR(__xludf.DUMMYFUNCTION("""COMPUTED_VALUE"""),"")</f>
        <v/>
      </c>
      <c r="T153" s="170"/>
      <c r="U153" s="170"/>
      <c r="V153" s="94"/>
      <c r="W153" s="94"/>
      <c r="X153" s="94"/>
      <c r="Y153" s="94"/>
      <c r="Z153" s="208" t="str">
        <f>IFERROR(__xludf.DUMMYFUNCTION("""COMPUTED_VALUE"""),"30 de agosto")</f>
        <v>30 de agosto</v>
      </c>
      <c r="AA153" s="208" t="str">
        <f>IFERROR(__xludf.DUMMYFUNCTION("""COMPUTED_VALUE"""),"Mayo a  agosto de 2025")</f>
        <v>Mayo a  agosto de 2025</v>
      </c>
      <c r="AB153" s="208" t="str">
        <f>IFERROR(__xludf.DUMMYFUNCTION("""COMPUTED_VALUE"""),"         
Durante el período de monitoreo NO se materializó el riesgo de afectación reputacional por presunto favorecimiento a terceros, derivado de omisiones en la apertura de procesos disciplinarios.
Acciones asociadas a la aplicación de controles del "&amp;"riesgo:
-Se realizó una reunión de coordinación el 8  de julio de 2025 con los profesionales de apoyo de la Oficina de Control Disciplinario Interno, en la cual se asignaron tareas específicas orientadas a fortalecer el seguimiento y control de los proce"&amp;"sos disciplinarios.
-Se etiquetaron y socializaron las asignaciones pendientes con el profesional responsable, promoviendo la trazabilidad de los casos y la adecuada distribución de las cargas de trabajo.
-Se implementó una estrategia de revisión periódic"&amp;"a de los términos procesales para verificar la apertura oportuna de indagaciones preliminares, investigaciones formales, emisión de decisiones inhibitorias y remisión de actuaciones a otras instancias cuando corresponda.
Estas acciones contribuyen al cum"&amp;"plimiento de la normativa vigente y aseguran la transparencia y legalidad en la gestión disciplinaria.
Acciones asociadas al tratamiento del riesgo:
-Se fortaleció la cultura institucional de control y responsabilidad a través de la socialización de buen"&amp;"as prácticas y lineamientos en materia disciplinaria.
-Se promovió la articulación entre los distintos roles dentro de la Oficina con el fin de garantizar un tratamiento oportuno y riguroso de las actuaciones, minimizando así la posibilidad de omisiones q"&amp;"ue puedan derivar en afectaciones reputacionales.")</f>
        <v>         
Durante el período de monitoreo NO se materializó el riesgo de afectación reputacional por presunto favorecimiento a terceros, derivado de omisiones en la apertura de procesos disciplinarios.
Acciones asociadas a la aplicación de controles del riesgo:
-Se realizó una reunión de coordinación el 8  de julio de 2025 con los profesionales de apoyo de la Oficina de Control Disciplinario Interno, en la cual se asignaron tareas específicas orientadas a fortalecer el seguimiento y control de los procesos disciplinarios.
-Se etiquetaron y socializaron las asignaciones pendientes con el profesional responsable, promoviendo la trazabilidad de los casos y la adecuada distribución de las cargas de trabajo.
-Se implementó una estrategia de revisión periódica de los términos procesales para verificar la apertura oportuna de indagaciones preliminares, investigaciones formales, emisión de decisiones inhibitorias y remisión de actuaciones a otras instancias cuando corresponda.
Estas acciones contribuyen al cumplimiento de la normativa vigente y aseguran la transparencia y legalidad en la gestión disciplinaria.
Acciones asociadas al tratamiento del riesgo:
-Se fortaleció la cultura institucional de control y responsabilidad a través de la socialización de buenas prácticas y lineamientos en materia disciplinaria.
-Se promovió la articulación entre los distintos roles dentro de la Oficina con el fin de garantizar un tratamiento oportuno y riguroso de las actuaciones, minimizando así la posibilidad de omisiones que puedan derivar en afectaciones reputacionales.</v>
      </c>
      <c r="AC153" s="210" t="str">
        <f>IFERROR(__xludf.DUMMYFUNCTION("""COMPUTED_VALUE"""),"Asesora de Control Interno Disciplinario")</f>
        <v>Asesora de Control Interno Disciplinario</v>
      </c>
      <c r="AD153" s="153" t="str">
        <f>IFERROR(__xludf.DUMMYFUNCTION("""COMPUTED_VALUE"""),"Evidencia")</f>
        <v>Evidencia</v>
      </c>
      <c r="AE153" s="208" t="str">
        <f>IFERROR(__xludf.DUMMYFUNCTION("""COMPUTED_VALUE"""),"Si")</f>
        <v>Si</v>
      </c>
      <c r="AF153" s="211" t="str">
        <f>IFERROR(__xludf.DUMMYFUNCTION("""COMPUTED_VALUE"""),"En proceso")</f>
        <v>En proceso</v>
      </c>
      <c r="AG153" s="208" t="str">
        <f>IFERROR(__xludf.DUMMYFUNCTION("""COMPUTED_VALUE"""),"Durante el periodo de monitoreo NO se materializó el riesgo de afectación reputacional por presunto favorecimiento a terceros, derivado de omisiones en la apertura de procesos disciplinarios.
Controles aplicados:
Se realizó reunión de coordinación el 8 "&amp;"de julio de 2025 con los profesionales de apoyo de la Oficina de Control Disciplinario Interno, en la cual se asignaron tareas específicas orientadas a fortalecer el seguimiento y control de los procesos disciplinarios.
Se etiquetaron y socializaron las "&amp;"asignaciones pendientes con el profesional responsable, promoviendo la trazabilidad de los casos y la adecuada distribución de las cargas de trabajo.
Se implementó una estrategia de revisión periódica de los términos procesales para verificar la apertura"&amp;" oportuna de indagaciones preliminares, investigaciones formales, emisión de decisiones inhibitorias y remisión de actuaciones a otras instancias cuando corresponde.
Acciones de tratamiento:
Se fortaleció la cultura institucional de control y responsabi"&amp;"lidad a través de la socialización de buenas prácticas y lineamientos en materia disciplinaria.
Se promovió la articulación entre los distintos roles dentro de la Oficina con el fin de garantizar un tratamiento oportuno y riguroso de las actuaciones, min"&amp;"imizando así la posibilidad de omisiones que puedan derivar en afectaciones reputacionales.
Las acciones y controles aplicados contribuyeron al cumplimiento de la normativa vigente y aseguraron la transparencia, trazabilidad y legalidad en la gestión dis"&amp;"ciplinaria, evitando la materialización del riesgo.")</f>
        <v>Durante el periodo de monitoreo NO se materializó el riesgo de afectación reputacional por presunto favorecimiento a terceros, derivado de omisiones en la apertura de procesos disciplinarios.
Controles aplicados:
Se realizó reunión de coordinación el 8 de julio de 2025 con los profesionales de apoyo de la Oficina de Control Disciplinario Interno, en la cual se asignaron tareas específicas orientadas a fortalecer el seguimiento y control de los procesos disciplinarios.
Se etiquetaron y socializaron las asignaciones pendientes con el profesional responsable, promoviendo la trazabilidad de los casos y la adecuada distribución de las cargas de trabajo.
Se implementó una estrategia de revisión periódica de los términos procesales para verificar la apertura oportuna de indagaciones preliminares, investigaciones formales, emisión de decisiones inhibitorias y remisión de actuaciones a otras instancias cuando corresponde.
Acciones de tratamiento:
Se fortaleció la cultura institucional de control y responsabilidad a través de la socialización de buenas prácticas y lineamientos en materia disciplinaria.
Se promovió la articulación entre los distintos roles dentro de la Oficina con el fin de garantizar un tratamiento oportuno y riguroso de las actuaciones, minimizando así la posibilidad de omisiones que puedan derivar en afectaciones reputacionales.
Las acciones y controles aplicados contribuyeron al cumplimiento de la normativa vigente y aseguraron la transparencia, trazabilidad y legalidad en la gestión disciplinaria, evitando la materialización del riesgo.</v>
      </c>
      <c r="AH153" s="150" t="str">
        <f>IFERROR(__xludf.DUMMYFUNCTION("""COMPUTED_VALUE"""),"31 de agosto")</f>
        <v>31 de agosto</v>
      </c>
      <c r="AI153" s="32" t="str">
        <f>IFERROR(__xludf.DUMMYFUNCTION("""COMPUTED_VALUE"""),"Si")</f>
        <v>Si</v>
      </c>
      <c r="AJ153" s="32" t="str">
        <f>IFERROR(__xludf.DUMMYFUNCTION("""COMPUTED_VALUE"""),"Si")</f>
        <v>Si</v>
      </c>
      <c r="AK153" s="32" t="str">
        <f>IFERROR(__xludf.DUMMYFUNCTION("""COMPUTED_VALUE"""),"Si")</f>
        <v>Si</v>
      </c>
      <c r="AL153" s="32" t="str">
        <f>IFERROR(__xludf.DUMMYFUNCTION("""COMPUTED_VALUE"""),"Si")</f>
        <v>Si</v>
      </c>
      <c r="AM153" s="32" t="str">
        <f>IFERROR(__xludf.DUMMYFUNCTION("""COMPUTED_VALUE"""),"Si")</f>
        <v>Si</v>
      </c>
      <c r="AN153" s="32" t="str">
        <f>IFERROR(__xludf.DUMMYFUNCTION("""COMPUTED_VALUE"""),"Si")</f>
        <v>Si</v>
      </c>
      <c r="AO153" s="32" t="str">
        <f>IFERROR(__xludf.DUMMYFUNCTION("""COMPUTED_VALUE"""),"Si")</f>
        <v>Si</v>
      </c>
      <c r="AP153" s="32" t="str">
        <f>IFERROR(__xludf.DUMMYFUNCTION("""COMPUTED_VALUE"""),"No")</f>
        <v>No</v>
      </c>
      <c r="AQ153" s="32" t="str">
        <f>IFERROR(__xludf.DUMMYFUNCTION("""COMPUTED_VALUE"""),"No aplica")</f>
        <v>No aplica</v>
      </c>
      <c r="AR153" s="32" t="str">
        <f>IFERROR(__xludf.DUMMYFUNCTION("""COMPUTED_VALUE"""),"No aplica")</f>
        <v>No aplica</v>
      </c>
      <c r="AS153" s="208" t="str">
        <f>IFERROR(__xludf.DUMMYFUNCTION("""COMPUTED_VALUE"""),"Ninguna")</f>
        <v>Ninguna</v>
      </c>
      <c r="AT153" s="161"/>
    </row>
    <row r="154">
      <c r="A154" s="86"/>
      <c r="B154" s="73"/>
      <c r="C154" s="73"/>
      <c r="D154" s="119"/>
      <c r="E154" s="119"/>
      <c r="F154" s="119"/>
      <c r="G154" s="119"/>
      <c r="H154" s="119"/>
      <c r="I154" s="119"/>
      <c r="J154" s="119"/>
      <c r="K154" s="119"/>
      <c r="L154" s="119"/>
      <c r="M154" s="119"/>
      <c r="N154" s="119"/>
      <c r="O154" s="119"/>
      <c r="P154" s="119"/>
      <c r="Q154" s="162"/>
      <c r="R154" s="163" t="str">
        <f>IFERROR(__xludf.DUMMYFUNCTION("""COMPUTED_VALUE"""),"")</f>
        <v/>
      </c>
      <c r="S154" s="164" t="str">
        <f>IFERROR(__xludf.DUMMYFUNCTION("""COMPUTED_VALUE"""),"")</f>
        <v/>
      </c>
      <c r="T154" s="176"/>
      <c r="U154" s="176"/>
      <c r="V154" s="98"/>
      <c r="W154" s="98"/>
      <c r="X154" s="98"/>
      <c r="Y154" s="98"/>
      <c r="Z154" s="208" t="str">
        <f>IFERROR(__xludf.DUMMYFUNCTION("""COMPUTED_VALUE"""),"30 de diciembre")</f>
        <v>30 de diciembre</v>
      </c>
      <c r="AA154" s="208" t="str">
        <f>IFERROR(__xludf.DUMMYFUNCTION("""COMPUTED_VALUE"""),"Septiembre a diciembre 2025")</f>
        <v>Septiembre a diciembre 2025</v>
      </c>
      <c r="AB154" s="208" t="str">
        <f>IFERROR(__xludf.DUMMYFUNCTION("""COMPUTED_VALUE"""),"Durante el período de monitoreo no se materializó el riesgo de afectación reputacional asociado a un presunto favorecimiento a terceros, derivado de eventuales omisiones en la apertura de procesos disciplinarios.
Acciones asociadas a la aplicación de con"&amp;"troles del riesgo:
Se llevó a cabo una reunión de coordinación el 10 de septiembre de 2025 con los profesionales de apoyo de la Oficina de Control Disciplinario Interno, en la cual se definieron y asignaron tareas orientadas a fortalecer el seguimiento y"&amp;" control de los procesos disciplinarios.
Se etiquetaron y socializaron las asignaciones pendientes con los profesionales responsables, garantizando la trazabilidad de los casos y una adecuada distribución de cargas de trabajo.
Se estableció una estrateg"&amp;"ia de revisión periódica de los términos procesales, con el fin de verificar la apertura oportuna de indagaciones preliminares, investigaciones disciplinarias, decisiones inhibitorias y la remisión de actuaciones a las instancias competentes cuando corres"&amp;"ponda.
Estas acciones contribuyeron al cumplimiento de la normativa vigente y reforzaron la transparencia y legalidad en la gestión disciplinaria.
Acciones asociadas al tratamiento del riesgo:
Se fortaleció la cultura institucional de control y respons"&amp;"abilidad mediante la socialización de buenas prácticas y lineamientos aplicables a la gestión disciplinaria.
Se promovió la articulación entre los distintos roles de la Oficina, con el propósito de asegurar un tratamiento oportuno y riguroso de las actua"&amp;"ciones, minimizando la posibilidad de omisiones que pudieran generar afectaciones reputacionales.")</f>
        <v>Durante el período de monitoreo no se materializó el riesgo de afectación reputacional asociado a un presunto favorecimiento a terceros, derivado de eventuales omisiones en la apertura de procesos disciplinarios.
Acciones asociadas a la aplicación de controles del riesgo:
Se llevó a cabo una reunión de coordinación el 10 de septiembre de 2025 con los profesionales de apoyo de la Oficina de Control Disciplinario Interno, en la cual se definieron y asignaron tareas orientadas a fortalecer el seguimiento y control de los procesos disciplinarios.
Se etiquetaron y socializaron las asignaciones pendientes con los profesionales responsables, garantizando la trazabilidad de los casos y una adecuada distribución de cargas de trabajo.
Se estableció una estrategia de revisión periódica de los términos procesales, con el fin de verificar la apertura oportuna de indagaciones preliminares, investigaciones disciplinarias, decisiones inhibitorias y la remisión de actuaciones a las instancias competentes cuando corresponda.
Estas acciones contribuyeron al cumplimiento de la normativa vigente y reforzaron la transparencia y legalidad en la gestión disciplinaria.
Acciones asociadas al tratamiento del riesgo:
Se fortaleció la cultura institucional de control y responsabilidad mediante la socialización de buenas prácticas y lineamientos aplicables a la gestión disciplinaria.
Se promovió la articulación entre los distintos roles de la Oficina, con el propósito de asegurar un tratamiento oportuno y riguroso de las actuaciones, minimizando la posibilidad de omisiones que pudieran generar afectaciones reputacionales.</v>
      </c>
      <c r="AC154" s="210" t="str">
        <f>IFERROR(__xludf.DUMMYFUNCTION("""COMPUTED_VALUE"""),"Asesora de Control Interno Disciplinario")</f>
        <v>Asesora de Control Interno Disciplinario</v>
      </c>
      <c r="AD154" s="153" t="str">
        <f>IFERROR(__xludf.DUMMYFUNCTION("""COMPUTED_VALUE"""),"Evidencia")</f>
        <v>Evidencia</v>
      </c>
      <c r="AE154" s="208" t="str">
        <f>IFERROR(__xludf.DUMMYFUNCTION("""COMPUTED_VALUE"""),"Si")</f>
        <v>Si</v>
      </c>
      <c r="AF154" s="211" t="str">
        <f>IFERROR(__xludf.DUMMYFUNCTION("""COMPUTED_VALUE"""),"En proceso")</f>
        <v>En proceso</v>
      </c>
      <c r="AG154" s="208" t="str">
        <f>IFERROR(__xludf.DUMMYFUNCTION("""COMPUTED_VALUE"""),"-Durante el monitoreo del tercer cuatrimeste se evidencia que el riesgo no se materializó. Las acciones desarrolladas permitieron mantener el riesgo dentro de niveles controlados.                                                                            "&amp;"                                                                             
-En la evidencia se aporta el acta del 10 de septiembre de 2025, donde se asignaron tareas y responsabilidades para fortalecer el seguimiento disciplinario.
-Frecuencia trimest"&amp;"ral no acreditada: La acción de mejora establecida en la matriz de riesgos cuenta con una frecuencia trimestral, pero únicamente se presenta el acta del mes de septiembre. No se evidencian las actas correspondientes a los demás trimestres, lo cual limita "&amp;"la verificación integral del cumplimiento periódico esperado.                                                                                                                                                                                                  "&amp;"                                                                                                     -Acta con firma faltante: En el acta aportada se observa la ausencia de la firma del profesional de apoyo José David Pardo, lo cual afecta la validez form"&amp;"al del documento como evidencia completa de la reunión y de los compromisos asumidos.
-Acciones de tratamiento: Se evidencian esfuerzos para fortalecer la cultura de control, la socialización de lineamientos y la articulación interna del proceso disciplin"&amp;"ario.
Se recomienda completar la documentación correspondiente a la frecuencia trimestral prevista para la acción de mejora, así como formalizar las actas con las firmas de todos los participantes.")</f>
        <v>-Durante el monitoreo del tercer cuatrimeste se evidencia que el riesgo no se materializó. Las acciones desarrolladas permitieron mantener el riesgo dentro de niveles controlados.                                                                                                                                                         
-En la evidencia se aporta el acta del 10 de septiembre de 2025, donde se asignaron tareas y responsabilidades para fortalecer el seguimiento disciplinario.
-Frecuencia trimestral no acreditada: La acción de mejora establecida en la matriz de riesgos cuenta con una frecuencia trimestral, pero únicamente se presenta el acta del mes de septiembre. No se evidencian las actas correspondientes a los demás trimestres, lo cual limita la verificación integral del cumplimiento periódico esperado.                                                                                                                                                                                                                                                                                                       -Acta con firma faltante: En el acta aportada se observa la ausencia de la firma del profesional de apoyo José David Pardo, lo cual afecta la validez formal del documento como evidencia completa de la reunión y de los compromisos asumidos.
-Acciones de tratamiento: Se evidencian esfuerzos para fortalecer la cultura de control, la socialización de lineamientos y la articulación interna del proceso disciplinario.
Se recomienda completar la documentación correspondiente a la frecuencia trimestral prevista para la acción de mejora, así como formalizar las actas con las firmas de todos los participantes.</v>
      </c>
      <c r="AH154" s="150" t="str">
        <f>IFERROR(__xludf.DUMMYFUNCTION("""COMPUTED_VALUE"""),"31 de diciembre")</f>
        <v>31 de diciembre</v>
      </c>
      <c r="AI154" s="32" t="str">
        <f>IFERROR(__xludf.DUMMYFUNCTION("""COMPUTED_VALUE"""),"Si")</f>
        <v>Si</v>
      </c>
      <c r="AJ154" s="32" t="str">
        <f>IFERROR(__xludf.DUMMYFUNCTION("""COMPUTED_VALUE"""),"Si")</f>
        <v>Si</v>
      </c>
      <c r="AK154" s="32" t="str">
        <f>IFERROR(__xludf.DUMMYFUNCTION("""COMPUTED_VALUE"""),"Si")</f>
        <v>Si</v>
      </c>
      <c r="AL154" s="32" t="str">
        <f>IFERROR(__xludf.DUMMYFUNCTION("""COMPUTED_VALUE"""),"Si")</f>
        <v>Si</v>
      </c>
      <c r="AM154" s="32" t="str">
        <f>IFERROR(__xludf.DUMMYFUNCTION("""COMPUTED_VALUE"""),"Si")</f>
        <v>Si</v>
      </c>
      <c r="AN154" s="32" t="str">
        <f>IFERROR(__xludf.DUMMYFUNCTION("""COMPUTED_VALUE"""),"Si")</f>
        <v>Si</v>
      </c>
      <c r="AO154" s="32" t="str">
        <f>IFERROR(__xludf.DUMMYFUNCTION("""COMPUTED_VALUE"""),"Si")</f>
        <v>Si</v>
      </c>
      <c r="AP154" s="32" t="str">
        <f>IFERROR(__xludf.DUMMYFUNCTION("""COMPUTED_VALUE"""),"No")</f>
        <v>No</v>
      </c>
      <c r="AQ154" s="32" t="str">
        <f>IFERROR(__xludf.DUMMYFUNCTION("""COMPUTED_VALUE"""),"No aplica")</f>
        <v>No aplica</v>
      </c>
      <c r="AR154" s="32" t="str">
        <f>IFERROR(__xludf.DUMMYFUNCTION("""COMPUTED_VALUE"""),"No aplica")</f>
        <v>No aplica</v>
      </c>
      <c r="AS154" s="208" t="str">
        <f>IFERROR(__xludf.DUMMYFUNCTION("""COMPUTED_VALUE"""),"Ninguna")</f>
        <v>Ninguna</v>
      </c>
      <c r="AT154" s="161"/>
    </row>
    <row r="155">
      <c r="A155" s="86"/>
      <c r="B155" s="73"/>
      <c r="C155" s="73"/>
      <c r="D155" s="206" t="str">
        <f>IFERROR(__xludf.DUMMYFUNCTION("""COMPUTED_VALUE"""),"Afectación reputacional por no aperturar una investigación disciplinaria, omitiendo de manera parcial o total un informe de servidor público o una queja allegada por medio de correo electrónico debido a negligencia en la gestión ")</f>
        <v>Afectación reputacional por no aperturar una investigación disciplinaria, omitiendo de manera parcial o total un informe de servidor público o una queja allegada por medio de correo electrónico debido a negligencia en la gestión </v>
      </c>
      <c r="E155" s="206" t="str">
        <f>IFERROR(__xludf.DUMMYFUNCTION("""COMPUTED_VALUE"""),"Oficina de Control Interno Disciplinario")</f>
        <v>Oficina de Control Interno Disciplinario</v>
      </c>
      <c r="F155" s="206" t="str">
        <f>IFERROR(__xludf.DUMMYFUNCTION("""COMPUTED_VALUE"""),"Gestión")</f>
        <v>Gestión</v>
      </c>
      <c r="G155" s="206" t="str">
        <f>IFERROR(__xludf.DUMMYFUNCTION("""COMPUTED_VALUE"""),"- Omisión o inadecuada revisión del correo electrónico")</f>
        <v>- Omisión o inadecuada revisión del correo electrónico</v>
      </c>
      <c r="H155" s="206" t="str">
        <f>IFERROR(__xludf.DUMMYFUNCTION("""COMPUTED_VALUE"""),"- Sanciones disciplinarias
- Afectación de la Oficina de Control interno disciplinario")</f>
        <v>- Sanciones disciplinarias
- Afectación de la Oficina de Control interno disciplinario</v>
      </c>
      <c r="I155" s="206" t="str">
        <f>IFERROR(__xludf.DUMMYFUNCTION("""COMPUTED_VALUE"""),"ECS_03")</f>
        <v>ECS_03</v>
      </c>
      <c r="J155" s="206" t="str">
        <f>IFERROR(__xludf.DUMMYFUNCTION("""COMPUTED_VALUE"""),"Alta")</f>
        <v>Alta</v>
      </c>
      <c r="K155" s="206" t="str">
        <f>IFERROR(__xludf.DUMMYFUNCTION("""COMPUTED_VALUE"""),"Mayor")</f>
        <v>Mayor</v>
      </c>
      <c r="L155" s="206" t="str">
        <f>IFERROR(__xludf.DUMMYFUNCTION("""COMPUTED_VALUE"""),"Extrema")</f>
        <v>Extrema</v>
      </c>
      <c r="M155" s="206" t="str">
        <f>IFERROR(__xludf.DUMMYFUNCTION("""COMPUTED_VALUE"""),"- Revisión semanal del consolidado de noticias disciplinarias 
- Diligenciamiento de matriz de pendientes
")</f>
        <v>- Revisión semanal del consolidado de noticias disciplinarias 
- Diligenciamiento de matriz de pendientes
</v>
      </c>
      <c r="N155" s="206" t="str">
        <f>IFERROR(__xludf.DUMMYFUNCTION("""COMPUTED_VALUE"""),"Baja")</f>
        <v>Baja</v>
      </c>
      <c r="O155" s="206" t="str">
        <f>IFERROR(__xludf.DUMMYFUNCTION("""COMPUTED_VALUE"""),"Mayor")</f>
        <v>Mayor</v>
      </c>
      <c r="P155" s="206" t="str">
        <f>IFERROR(__xludf.DUMMYFUNCTION("""COMPUTED_VALUE"""),"Alta")</f>
        <v>Alta</v>
      </c>
      <c r="Q155" s="207" t="str">
        <f>IFERROR(__xludf.DUMMYFUNCTION("""COMPUTED_VALUE"""),"Reducir")</f>
        <v>Reducir</v>
      </c>
      <c r="R155" s="158" t="str">
        <f>IFERROR(__xludf.DUMMYFUNCTION("""COMPUTED_VALUE"""),"Revisión trimestral de la información que se allega por medio virtual las cuales se asignaron mediante etiqueta y socializada con el profesional responsable.")</f>
        <v>Revisión trimestral de la información que se allega por medio virtual las cuales se asignaron mediante etiqueta y socializada con el profesional responsable.</v>
      </c>
      <c r="S155" s="159" t="str">
        <f>IFERROR(__xludf.DUMMYFUNCTION("""COMPUTED_VALUE"""),"Trimestralmente")</f>
        <v>Trimestralmente</v>
      </c>
      <c r="T155" s="170" t="str">
        <f>IFERROR(__xludf.DUMMYFUNCTION("""COMPUTED_VALUE"""),"Asesora de control disciplinario")</f>
        <v>Asesora de control disciplinario</v>
      </c>
      <c r="U155" s="170" t="str">
        <f>IFERROR(__xludf.DUMMYFUNCTION("""COMPUTED_VALUE"""),"matriz de seguimiento de reportes")</f>
        <v>matriz de seguimiento de reportes</v>
      </c>
      <c r="V155" s="167" t="str">
        <f>IFERROR(__xludf.DUMMYFUNCTION("""COMPUTED_VALUE"""),"Realizar la respectiva evaluación y dar trámite inmendiato al que haya lugar")</f>
        <v>Realizar la respectiva evaluación y dar trámite inmendiato al que haya lugar</v>
      </c>
      <c r="W155" s="167" t="str">
        <f>IFERROR(__xludf.DUMMYFUNCTION("""COMPUTED_VALUE"""),"Acción disciplinaria pertinente")</f>
        <v>Acción disciplinaria pertinente</v>
      </c>
      <c r="X155" s="167" t="str">
        <f>IFERROR(__xludf.DUMMYFUNCTION("""COMPUTED_VALUE"""),"Asesora de control disciplinario")</f>
        <v>Asesora de control disciplinario</v>
      </c>
      <c r="Y155" s="167" t="str">
        <f>IFERROR(__xludf.DUMMYFUNCTION("""COMPUTED_VALUE"""),"Inmediato")</f>
        <v>Inmediato</v>
      </c>
      <c r="Z155" s="208" t="str">
        <f>IFERROR(__xludf.DUMMYFUNCTION("""COMPUTED_VALUE"""),"30 de abril")</f>
        <v>30 de abril</v>
      </c>
      <c r="AA155" s="208" t="str">
        <f>IFERROR(__xludf.DUMMYFUNCTION("""COMPUTED_VALUE"""),"Enero a abril de 2025")</f>
        <v>Enero a abril de 2025</v>
      </c>
      <c r="AB155" s="208" t="str">
        <f>IFERROR(__xludf.DUMMYFUNCTION("""COMPUTED_VALUE"""),"Durante el período de monitoreo NO se materializó el riesgo de afectación reputacional por la no apertura de una investigación disciplinaria, como consecuencia de la omisión parcial o total de un informe presentado por un servidor público o de una queja r"&amp;"ecibida por correo electrónico, atribuible a negligencia en la gestión.
Acciones asociadas a la aplicación de controles del riesgo:
-Se implementó un proceso de revisión semanal del consolidado de noticias disciplinarias, con el fin de identificar opor"&amp;"tunamente informes o quejas que puedan derivar en la apertura de procesos disciplinarios.
-Se fortaleció el diligenciamiento de la matriz de pendientes, herramienta en la cual se registraron un total de doce (12) procesos disciplinarios hasta el mes de ab"&amp;"ril de 2025, permitiendo el seguimiento detallado de cada caso.
-El registro sistemático en la matriz de radicados facilitó la evaluación continua del cumplimiento de términos y la gestión oportuna de cada actuación, conforme a los lineamientos procedime"&amp;"ntales establecidos por la entidad.
Acciones asociadas al tratamiento del riesgo:
-Se promovió la cultura de responsabilidad frente a la recepción, análisis y trámite de informes y quejas, reforzando los canales de comunicación interna para evitar omisi"&amp;"ones.
-Se implementaron controles cruzados entre funcionarios responsables para garantizar la trazabilidad y el tratamiento oportuno de cada situación reportada.
")</f>
        <v>Durante el período de monitoreo NO se materializó el riesgo de afectación reputacional por la no apertura de una investigación disciplinaria, como consecuencia de la omisión parcial o total de un informe presentado por un servidor público o de una queja recibida por correo electrónico, atribuible a negligencia en la gestión.
Acciones asociadas a la aplicación de controles del riesgo:
-Se implementó un proceso de revisión semanal del consolidado de noticias disciplinarias, con el fin de identificar oportunamente informes o quejas que puedan derivar en la apertura de procesos disciplinarios.
-Se fortaleció el diligenciamiento de la matriz de pendientes, herramienta en la cual se registraron un total de doce (12) procesos disciplinarios hasta el mes de abril de 2025, permitiendo el seguimiento detallado de cada caso.
-El registro sistemático en la matriz de radicados facilitó la evaluación continua del cumplimiento de términos y la gestión oportuna de cada actuación, conforme a los lineamientos procedimentales establecidos por la entidad.
Acciones asociadas al tratamiento del riesgo:
-Se promovió la cultura de responsabilidad frente a la recepción, análisis y trámite de informes y quejas, reforzando los canales de comunicación interna para evitar omisiones.
-Se implementaron controles cruzados entre funcionarios responsables para garantizar la trazabilidad y el tratamiento oportuno de cada situación reportada.
</v>
      </c>
      <c r="AC155" s="210" t="str">
        <f>IFERROR(__xludf.DUMMYFUNCTION("""COMPUTED_VALUE"""),"Asesora de Control Interno Disciplinario")</f>
        <v>Asesora de Control Interno Disciplinario</v>
      </c>
      <c r="AD155" s="153" t="str">
        <f>IFERROR(__xludf.DUMMYFUNCTION("""COMPUTED_VALUE"""),"Evidencia")</f>
        <v>Evidencia</v>
      </c>
      <c r="AE155" s="208" t="str">
        <f>IFERROR(__xludf.DUMMYFUNCTION("""COMPUTED_VALUE"""),"Si")</f>
        <v>Si</v>
      </c>
      <c r="AF155" s="208" t="str">
        <f>IFERROR(__xludf.DUMMYFUNCTION("""COMPUTED_VALUE"""),"En proceso")</f>
        <v>En proceso</v>
      </c>
      <c r="AG155" s="208"/>
      <c r="AH155" s="150" t="str">
        <f>IFERROR(__xludf.DUMMYFUNCTION("""COMPUTED_VALUE"""),"30 de abril")</f>
        <v>30 de abril</v>
      </c>
      <c r="AI155" s="32" t="str">
        <f>IFERROR(__xludf.DUMMYFUNCTION("""COMPUTED_VALUE"""),"Si")</f>
        <v>Si</v>
      </c>
      <c r="AJ155" s="32" t="str">
        <f>IFERROR(__xludf.DUMMYFUNCTION("""COMPUTED_VALUE"""),"Si")</f>
        <v>Si</v>
      </c>
      <c r="AK155" s="32" t="str">
        <f>IFERROR(__xludf.DUMMYFUNCTION("""COMPUTED_VALUE"""),"Si")</f>
        <v>Si</v>
      </c>
      <c r="AL155" s="32" t="str">
        <f>IFERROR(__xludf.DUMMYFUNCTION("""COMPUTED_VALUE"""),"Si")</f>
        <v>Si</v>
      </c>
      <c r="AM155" s="32" t="str">
        <f>IFERROR(__xludf.DUMMYFUNCTION("""COMPUTED_VALUE"""),"Si")</f>
        <v>Si</v>
      </c>
      <c r="AN155" s="32" t="str">
        <f>IFERROR(__xludf.DUMMYFUNCTION("""COMPUTED_VALUE"""),"Si")</f>
        <v>Si</v>
      </c>
      <c r="AO155" s="32" t="str">
        <f>IFERROR(__xludf.DUMMYFUNCTION("""COMPUTED_VALUE"""),"Si")</f>
        <v>Si</v>
      </c>
      <c r="AP155" s="32" t="str">
        <f>IFERROR(__xludf.DUMMYFUNCTION("""COMPUTED_VALUE"""),"No")</f>
        <v>No</v>
      </c>
      <c r="AQ155" s="32" t="str">
        <f>IFERROR(__xludf.DUMMYFUNCTION("""COMPUTED_VALUE"""),"No aplica")</f>
        <v>No aplica</v>
      </c>
      <c r="AR155" s="32" t="str">
        <f>IFERROR(__xludf.DUMMYFUNCTION("""COMPUTED_VALUE"""),"No aplica")</f>
        <v>No aplica</v>
      </c>
      <c r="AS155" s="208" t="str">
        <f>IFERROR(__xludf.DUMMYFUNCTION("""COMPUTED_VALUE"""),"Ninguna")</f>
        <v>Ninguna</v>
      </c>
      <c r="AT155" s="161"/>
    </row>
    <row r="156">
      <c r="A156" s="86"/>
      <c r="B156" s="73"/>
      <c r="C156" s="73"/>
      <c r="D156" s="156"/>
      <c r="E156" s="156"/>
      <c r="F156" s="156"/>
      <c r="G156" s="156"/>
      <c r="H156" s="156"/>
      <c r="I156" s="156"/>
      <c r="J156" s="156"/>
      <c r="K156" s="156"/>
      <c r="L156" s="156"/>
      <c r="M156" s="156"/>
      <c r="N156" s="156"/>
      <c r="O156" s="156"/>
      <c r="P156" s="156"/>
      <c r="Q156" s="157"/>
      <c r="R156" s="158" t="str">
        <f>IFERROR(__xludf.DUMMYFUNCTION("""COMPUTED_VALUE"""),"")</f>
        <v/>
      </c>
      <c r="S156" s="159" t="str">
        <f>IFERROR(__xludf.DUMMYFUNCTION("""COMPUTED_VALUE"""),"")</f>
        <v/>
      </c>
      <c r="T156" s="170"/>
      <c r="U156" s="170"/>
      <c r="V156" s="94"/>
      <c r="W156" s="94"/>
      <c r="X156" s="94"/>
      <c r="Y156" s="94"/>
      <c r="Z156" s="208" t="str">
        <f>IFERROR(__xludf.DUMMYFUNCTION("""COMPUTED_VALUE"""),"30 de agosto")</f>
        <v>30 de agosto</v>
      </c>
      <c r="AA156" s="208" t="str">
        <f>IFERROR(__xludf.DUMMYFUNCTION("""COMPUTED_VALUE"""),"Mayo a  agosto de 2025")</f>
        <v>Mayo a  agosto de 2025</v>
      </c>
      <c r="AB156" s="208" t="str">
        <f>IFERROR(__xludf.DUMMYFUNCTION("""COMPUTED_VALUE"""),"Durante el período de monitoreo NO se materializó el riesgo de afectación reputacional por la no apertura de una investigación disciplinaria, como consecuencia de la omisión parcial o total de un informe presentado por un servidor público o de una queja r"&amp;"ecibida por correo electrónico, atribuible a negligencia en la gestión.
Acciones asociadas a la aplicación de controles del riesgo:
-Se implementó un proceso de revisión semanal del consolidado de noticias disciplinarias, con el fin de identificar oport"&amp;"unamente informes o quejas que puedan derivar en la apertura de procesos disciplinarios.
-Se fortaleció el diligenciamiento de la matriz de pendientes, herramienta en la cual se registraron un total de treinta (30) procesos disciplinarios hasta el mes de "&amp;"agosto de 2025, permitiendo el seguimiento detallado de cada caso.
-El registro sistemático en la matriz de radicados facilitó la evaluación continua del cumplimiento de términos y la gestión oportuna de cada actuación, conforme a los lineamientos proced"&amp;"imentales establecidos por la entidad.
Acciones asociadas al tratamiento del riesgo:
-Se promovió la cultura de responsabilidad frente a la recepción, análisis y trámite de informes y quejas, reforzando los canales de comunicación interna para evitar om"&amp;"isiones.
-Se implementaron controles cruzados entre funcionarios responsables para garantizar la trazabilidad y el tratamiento oportuno de cada situación reportada.")</f>
        <v>Durante el período de monitoreo NO se materializó el riesgo de afectación reputacional por la no apertura de una investigación disciplinaria, como consecuencia de la omisión parcial o total de un informe presentado por un servidor público o de una queja recibida por correo electrónico, atribuible a negligencia en la gestión.
Acciones asociadas a la aplicación de controles del riesgo:
-Se implementó un proceso de revisión semanal del consolidado de noticias disciplinarias, con el fin de identificar oportunamente informes o quejas que puedan derivar en la apertura de procesos disciplinarios.
-Se fortaleció el diligenciamiento de la matriz de pendientes, herramienta en la cual se registraron un total de treinta (30) procesos disciplinarios hasta el mes de agosto de 2025, permitiendo el seguimiento detallado de cada caso.
-El registro sistemático en la matriz de radicados facilitó la evaluación continua del cumplimiento de términos y la gestión oportuna de cada actuación, conforme a los lineamientos procedimentales establecidos por la entidad.
Acciones asociadas al tratamiento del riesgo:
-Se promovió la cultura de responsabilidad frente a la recepción, análisis y trámite de informes y quejas, reforzando los canales de comunicación interna para evitar omisiones.
-Se implementaron controles cruzados entre funcionarios responsables para garantizar la trazabilidad y el tratamiento oportuno de cada situación reportada.</v>
      </c>
      <c r="AC156" s="210" t="str">
        <f>IFERROR(__xludf.DUMMYFUNCTION("""COMPUTED_VALUE"""),"Asesora de Control Interno Disciplinario")</f>
        <v>Asesora de Control Interno Disciplinario</v>
      </c>
      <c r="AD156" s="153" t="str">
        <f>IFERROR(__xludf.DUMMYFUNCTION("""COMPUTED_VALUE"""),"Evidencia")</f>
        <v>Evidencia</v>
      </c>
      <c r="AE156" s="208" t="str">
        <f>IFERROR(__xludf.DUMMYFUNCTION("""COMPUTED_VALUE"""),"Si")</f>
        <v>Si</v>
      </c>
      <c r="AF156" s="211" t="str">
        <f>IFERROR(__xludf.DUMMYFUNCTION("""COMPUTED_VALUE"""),"En proceso")</f>
        <v>En proceso</v>
      </c>
      <c r="AG156" s="208" t="str">
        <f>IFERROR(__xludf.DUMMYFUNCTION("""COMPUTED_VALUE"""),"Durante el período de monitoreo NO se materializó el riesgo 
Controles aplicados:
Se implementó un proceso de revisión semanal del consolidado de noticias disciplinarias, con el fin de identificar oportunamente informes o quejas que puedan derivar en la"&amp;" apertura de procesos disciplinarios.
Se fortaleció el diligenciamiento de la matriz de pendientes, herramienta en la cual se registraron un total de treinta (30) procesos disciplinarios hasta el mes de agosto de 2025, permitiendo el seguimiento detallad"&amp;"o de cada caso.
El registro sistemático en la matriz de radicados facilitó la evaluación continua del cumplimiento de términos y la gestión oportuna de cada actuación, conforme a los lineamientos procedimentales establecidos por la entidad.
Acciones de "&amp;"tratamiento:
Se promovió la cultura de responsabilidad frente a la recepción, análisis y trámite de informes y quejas, reforzando los canales de comunicación interna para evitar omisiones.
Se implementaron controles cruzados entre funcionarios responsab"&amp;"les para garantizar la trazabilidad y el tratamiento oportuno de cada situación reportada.
Las medidas implementadas permitieron fortalecer el control sobre la gestión disciplinaria, asegurar la trazabilidad de los casos y evitar que se presentaran omisi"&amp;"ones que pudieran derivar en afectaciones reputacionales.")</f>
        <v>Durante el período de monitoreo NO se materializó el riesgo 
Controles aplicados:
Se implementó un proceso de revisión semanal del consolidado de noticias disciplinarias, con el fin de identificar oportunamente informes o quejas que puedan derivar en la apertura de procesos disciplinarios.
Se fortaleció el diligenciamiento de la matriz de pendientes, herramienta en la cual se registraron un total de treinta (30) procesos disciplinarios hasta el mes de agosto de 2025, permitiendo el seguimiento detallado de cada caso.
El registro sistemático en la matriz de radicados facilitó la evaluación continua del cumplimiento de términos y la gestión oportuna de cada actuación, conforme a los lineamientos procedimentales establecidos por la entidad.
Acciones de tratamiento:
Se promovió la cultura de responsabilidad frente a la recepción, análisis y trámite de informes y quejas, reforzando los canales de comunicación interna para evitar omisiones.
Se implementaron controles cruzados entre funcionarios responsables para garantizar la trazabilidad y el tratamiento oportuno de cada situación reportada.
Las medidas implementadas permitieron fortalecer el control sobre la gestión disciplinaria, asegurar la trazabilidad de los casos y evitar que se presentaran omisiones que pudieran derivar en afectaciones reputacionales.</v>
      </c>
      <c r="AH156" s="150" t="str">
        <f>IFERROR(__xludf.DUMMYFUNCTION("""COMPUTED_VALUE"""),"31 de agosto")</f>
        <v>31 de agosto</v>
      </c>
      <c r="AI156" s="32" t="str">
        <f>IFERROR(__xludf.DUMMYFUNCTION("""COMPUTED_VALUE"""),"Si")</f>
        <v>Si</v>
      </c>
      <c r="AJ156" s="32" t="str">
        <f>IFERROR(__xludf.DUMMYFUNCTION("""COMPUTED_VALUE"""),"Si")</f>
        <v>Si</v>
      </c>
      <c r="AK156" s="32" t="str">
        <f>IFERROR(__xludf.DUMMYFUNCTION("""COMPUTED_VALUE"""),"Si")</f>
        <v>Si</v>
      </c>
      <c r="AL156" s="32" t="str">
        <f>IFERROR(__xludf.DUMMYFUNCTION("""COMPUTED_VALUE"""),"Si")</f>
        <v>Si</v>
      </c>
      <c r="AM156" s="32" t="str">
        <f>IFERROR(__xludf.DUMMYFUNCTION("""COMPUTED_VALUE"""),"Si")</f>
        <v>Si</v>
      </c>
      <c r="AN156" s="32" t="str">
        <f>IFERROR(__xludf.DUMMYFUNCTION("""COMPUTED_VALUE"""),"Si")</f>
        <v>Si</v>
      </c>
      <c r="AO156" s="32" t="str">
        <f>IFERROR(__xludf.DUMMYFUNCTION("""COMPUTED_VALUE"""),"Si")</f>
        <v>Si</v>
      </c>
      <c r="AP156" s="32" t="str">
        <f>IFERROR(__xludf.DUMMYFUNCTION("""COMPUTED_VALUE"""),"No")</f>
        <v>No</v>
      </c>
      <c r="AQ156" s="32" t="str">
        <f>IFERROR(__xludf.DUMMYFUNCTION("""COMPUTED_VALUE"""),"No aplica")</f>
        <v>No aplica</v>
      </c>
      <c r="AR156" s="32" t="str">
        <f>IFERROR(__xludf.DUMMYFUNCTION("""COMPUTED_VALUE"""),"No aplica")</f>
        <v>No aplica</v>
      </c>
      <c r="AS156" s="208" t="str">
        <f>IFERROR(__xludf.DUMMYFUNCTION("""COMPUTED_VALUE"""),"Ninguna")</f>
        <v>Ninguna</v>
      </c>
      <c r="AT156" s="161"/>
    </row>
    <row r="157">
      <c r="A157" s="86"/>
      <c r="B157" s="73"/>
      <c r="C157" s="73"/>
      <c r="D157" s="119"/>
      <c r="E157" s="119"/>
      <c r="F157" s="119"/>
      <c r="G157" s="119"/>
      <c r="H157" s="119"/>
      <c r="I157" s="119"/>
      <c r="J157" s="119"/>
      <c r="K157" s="119"/>
      <c r="L157" s="119"/>
      <c r="M157" s="119"/>
      <c r="N157" s="119"/>
      <c r="O157" s="119"/>
      <c r="P157" s="119"/>
      <c r="Q157" s="162"/>
      <c r="R157" s="163" t="str">
        <f>IFERROR(__xludf.DUMMYFUNCTION("""COMPUTED_VALUE"""),"")</f>
        <v/>
      </c>
      <c r="S157" s="164" t="str">
        <f>IFERROR(__xludf.DUMMYFUNCTION("""COMPUTED_VALUE"""),"")</f>
        <v/>
      </c>
      <c r="T157" s="176"/>
      <c r="U157" s="176"/>
      <c r="V157" s="98"/>
      <c r="W157" s="98"/>
      <c r="X157" s="98"/>
      <c r="Y157" s="98"/>
      <c r="Z157" s="208" t="str">
        <f>IFERROR(__xludf.DUMMYFUNCTION("""COMPUTED_VALUE"""),"30 de diciembre")</f>
        <v>30 de diciembre</v>
      </c>
      <c r="AA157" s="208" t="str">
        <f>IFERROR(__xludf.DUMMYFUNCTION("""COMPUTED_VALUE"""),"Septiembre a diciembre 2025")</f>
        <v>Septiembre a diciembre 2025</v>
      </c>
      <c r="AB157" s="208" t="str">
        <f>IFERROR(__xludf.DUMMYFUNCTION("""COMPUTED_VALUE"""),"Durante el período de monitoreo no se materializó el riesgo de afectación reputacional por la no apertura de una investigación disciplinaria derivada de la omisión parcial o total de un informe presentado por un servidor público o de una queja recibida po"&amp;"r correo electrónico, atribuible a negligencia en la gestión.
Acciones asociadas a la aplicación de los controles del riesgo:
Se implementó un proceso de revisión semanal del consolidado de noticias disciplinarias, con el propósito de identificar oportu"&amp;"namente los informes o quejas que pudieran dar lugar a la apertura de procesos disciplinarios.
Se fortaleció el diligenciamiento de la matriz de pendientes, registrándose un total de cuarenta y un (41) procesos disciplinarios a diciembre de 2025, lo que "&amp;"permitió realizar un seguimiento detallado y preciso de cada caso.
El registro sistemático en la matriz de radicados facilitó la evaluación continua del cumplimiento de los términos y la gestión oportuna de cada actuación, en concordancia con los lineami"&amp;"entos procedimentales establecidos por la entidad.
Acciones asociadas al tratamiento del riesgo:
Se promovió una cultura de responsabilidad en la recepción, análisis y trámite de informes y quejas, reforzando los canales de comunicación interna para pre"&amp;"venir posibles omisiones.
Se implementaron controles cruzados entre los funcionarios responsables, con el fin de garantizar la trazabilidad y el tratamiento oportuno de cada situación reportada.")</f>
        <v>Durante el período de monitoreo no se materializó el riesgo de afectación reputacional por la no apertura de una investigación disciplinaria derivada de la omisión parcial o total de un informe presentado por un servidor público o de una queja recibida por correo electrónico, atribuible a negligencia en la gestión.
Acciones asociadas a la aplicación de los controles del riesgo:
Se implementó un proceso de revisión semanal del consolidado de noticias disciplinarias, con el propósito de identificar oportunamente los informes o quejas que pudieran dar lugar a la apertura de procesos disciplinarios.
Se fortaleció el diligenciamiento de la matriz de pendientes, registrándose un total de cuarenta y un (41) procesos disciplinarios a diciembre de 2025, lo que permitió realizar un seguimiento detallado y preciso de cada caso.
El registro sistemático en la matriz de radicados facilitó la evaluación continua del cumplimiento de los términos y la gestión oportuna de cada actuación, en concordancia con los lineamientos procedimentales establecidos por la entidad.
Acciones asociadas al tratamiento del riesgo:
Se promovió una cultura de responsabilidad en la recepción, análisis y trámite de informes y quejas, reforzando los canales de comunicación interna para prevenir posibles omisiones.
Se implementaron controles cruzados entre los funcionarios responsables, con el fin de garantizar la trazabilidad y el tratamiento oportuno de cada situación reportada.</v>
      </c>
      <c r="AC157" s="210" t="str">
        <f>IFERROR(__xludf.DUMMYFUNCTION("""COMPUTED_VALUE"""),"Asesora de Control Interno Disciplinario")</f>
        <v>Asesora de Control Interno Disciplinario</v>
      </c>
      <c r="AD157" s="153" t="str">
        <f>IFERROR(__xludf.DUMMYFUNCTION("""COMPUTED_VALUE"""),"Evidencia")</f>
        <v>Evidencia</v>
      </c>
      <c r="AE157" s="208" t="str">
        <f>IFERROR(__xludf.DUMMYFUNCTION("""COMPUTED_VALUE"""),"Si")</f>
        <v>Si</v>
      </c>
      <c r="AF157" s="211" t="str">
        <f>IFERROR(__xludf.DUMMYFUNCTION("""COMPUTED_VALUE"""),"En proceso")</f>
        <v>En proceso</v>
      </c>
      <c r="AG157" s="208" t="str">
        <f>IFERROR(__xludf.DUMMYFUNCTION("""COMPUTED_VALUE"""),"-Durante el monitoreo del tercer cuatrimeste se evidencia que el riesgo no se materializó. Las acciones desarrolladas permitieron mantener la gestión disciplinaria dentro de parámetros controlados.
-Controles verificados:
-Se fortaleció el uso de la mat"&amp;"riz de pendientes, registrando 41 procesos a diciembre de 2025, lo que permitió un seguimiento actualizado.
-Se mantuvo el registro en la matriz de radicados, facilitando la revisión de términos y la gestión oportuna de cada actuación.
-Aunque se mencio"&amp;"na una revisión semanal del consolidado de noticias disciplinarias, este documento no fue aportado como evidencia, lo que impide verificar completamente la aplicación del control.
-Las acciones realizadas mejoraron la trazabilidad, la articulación intern"&amp;"a y el control sobre los procesos disciplinarios, reduciendo la probabilidad de omisiones.
-Se recomienda adjuntar de manera sistemática el consolidado de noticias disciplinarias para evidenciar plenamente la aplicación del control y fortalecer futuros c"&amp;"iclos de monitoreo.")</f>
        <v>-Durante el monitoreo del tercer cuatrimeste se evidencia que el riesgo no se materializó. Las acciones desarrolladas permitieron mantener la gestión disciplinaria dentro de parámetros controlados.
-Controles verificados:
-Se fortaleció el uso de la matriz de pendientes, registrando 41 procesos a diciembre de 2025, lo que permitió un seguimiento actualizado.
-Se mantuvo el registro en la matriz de radicados, facilitando la revisión de términos y la gestión oportuna de cada actuación.
-Aunque se menciona una revisión semanal del consolidado de noticias disciplinarias, este documento no fue aportado como evidencia, lo que impide verificar completamente la aplicación del control.
-Las acciones realizadas mejoraron la trazabilidad, la articulación interna y el control sobre los procesos disciplinarios, reduciendo la probabilidad de omisiones.
-Se recomienda adjuntar de manera sistemática el consolidado de noticias disciplinarias para evidenciar plenamente la aplicación del control y fortalecer futuros ciclos de monitoreo.</v>
      </c>
      <c r="AH157" s="150" t="str">
        <f>IFERROR(__xludf.DUMMYFUNCTION("""COMPUTED_VALUE"""),"31 de diciembre")</f>
        <v>31 de diciembre</v>
      </c>
      <c r="AI157" s="32" t="str">
        <f>IFERROR(__xludf.DUMMYFUNCTION("""COMPUTED_VALUE"""),"Si")</f>
        <v>Si</v>
      </c>
      <c r="AJ157" s="32" t="str">
        <f>IFERROR(__xludf.DUMMYFUNCTION("""COMPUTED_VALUE"""),"Si")</f>
        <v>Si</v>
      </c>
      <c r="AK157" s="32" t="str">
        <f>IFERROR(__xludf.DUMMYFUNCTION("""COMPUTED_VALUE"""),"Si")</f>
        <v>Si</v>
      </c>
      <c r="AL157" s="32" t="str">
        <f>IFERROR(__xludf.DUMMYFUNCTION("""COMPUTED_VALUE"""),"Si")</f>
        <v>Si</v>
      </c>
      <c r="AM157" s="32" t="str">
        <f>IFERROR(__xludf.DUMMYFUNCTION("""COMPUTED_VALUE"""),"Si")</f>
        <v>Si</v>
      </c>
      <c r="AN157" s="32" t="str">
        <f>IFERROR(__xludf.DUMMYFUNCTION("""COMPUTED_VALUE"""),"Si")</f>
        <v>Si</v>
      </c>
      <c r="AO157" s="32" t="str">
        <f>IFERROR(__xludf.DUMMYFUNCTION("""COMPUTED_VALUE"""),"Si")</f>
        <v>Si</v>
      </c>
      <c r="AP157" s="32" t="str">
        <f>IFERROR(__xludf.DUMMYFUNCTION("""COMPUTED_VALUE"""),"No")</f>
        <v>No</v>
      </c>
      <c r="AQ157" s="32" t="str">
        <f>IFERROR(__xludf.DUMMYFUNCTION("""COMPUTED_VALUE"""),"No aplica")</f>
        <v>No aplica</v>
      </c>
      <c r="AR157" s="32" t="str">
        <f>IFERROR(__xludf.DUMMYFUNCTION("""COMPUTED_VALUE"""),"No aplica")</f>
        <v>No aplica</v>
      </c>
      <c r="AS157" s="208" t="str">
        <f>IFERROR(__xludf.DUMMYFUNCTION("""COMPUTED_VALUE"""),"Ninguna")</f>
        <v>Ninguna</v>
      </c>
      <c r="AT157" s="161"/>
    </row>
    <row r="158">
      <c r="A158" s="86"/>
      <c r="B158" s="73"/>
      <c r="C158" s="73"/>
      <c r="D158" s="206" t="str">
        <f>IFERROR(__xludf.DUMMYFUNCTION("""COMPUTED_VALUE"""),"Afectación reputacional por sanciones disciplinarias o fiscales, debido a la omisión en el reporte de actos de corrupción, para favorecer a un funcionario o a un tercero o aceptar dádivas para beneficio a nombre propio o de otros.                     ")</f>
        <v>Afectación reputacional por sanciones disciplinarias o fiscales, debido a la omisión en el reporte de actos de corrupción, para favorecer a un funcionario o a un tercero o aceptar dádivas para beneficio a nombre propio o de otros.                     </v>
      </c>
      <c r="E158" s="206" t="str">
        <f>IFERROR(__xludf.DUMMYFUNCTION("""COMPUTED_VALUE"""),"Oficina de Control Interno de Gestión")</f>
        <v>Oficina de Control Interno de Gestión</v>
      </c>
      <c r="F158" s="206" t="str">
        <f>IFERROR(__xludf.DUMMYFUNCTION("""COMPUTED_VALUE"""),"Corrupción")</f>
        <v>Corrupción</v>
      </c>
      <c r="G158" s="206" t="str">
        <f>IFERROR(__xludf.DUMMYFUNCTION("""COMPUTED_VALUE"""),"- Omitir reportes de actos de corrupción para favorecer a un funcionario o a un tercero.
- Aceptar dádivas para beneficio a nombre propio o de otros. ")</f>
        <v>- Omitir reportes de actos de corrupción para favorecer a un funcionario o a un tercero.
- Aceptar dádivas para beneficio a nombre propio o de otros. </v>
      </c>
      <c r="H158" s="206" t="str">
        <f>IFERROR(__xludf.DUMMYFUNCTION("""COMPUTED_VALUE"""),"- Sanciones disciplinarias
- Sanciones fiscales 
- Afectación en la imagen de la Oficina")</f>
        <v>- Sanciones disciplinarias
- Sanciones fiscales 
- Afectación en la imagen de la Oficina</v>
      </c>
      <c r="I158" s="206" t="str">
        <f>IFERROR(__xludf.DUMMYFUNCTION("""COMPUTED_VALUE"""),"ECS_04")</f>
        <v>ECS_04</v>
      </c>
      <c r="J158" s="206" t="str">
        <f>IFERROR(__xludf.DUMMYFUNCTION("""COMPUTED_VALUE"""),"Media")</f>
        <v>Media</v>
      </c>
      <c r="K158" s="206" t="str">
        <f>IFERROR(__xludf.DUMMYFUNCTION("""COMPUTED_VALUE"""),"Catastrófico")</f>
        <v>Catastrófico</v>
      </c>
      <c r="L158" s="206" t="str">
        <f>IFERROR(__xludf.DUMMYFUNCTION("""COMPUTED_VALUE"""),"Extrema")</f>
        <v>Extrema</v>
      </c>
      <c r="M158" s="206" t="str">
        <f>IFERROR(__xludf.DUMMYFUNCTION("""COMPUTED_VALUE"""),"-El Asesor de Control Interno de Gestión, verifica la suscripción de la Declaración de Independencia y Compromiso Ético, por parte de cada Auditor, de acuerdo con la forma de vinculación (si el auditor se vincula mediante prestación de servicios, debe sus"&amp;"cribir la declaración de independencia y compromiso ético por cada contrato suscrito; si el auditor es personal de planta, debe suscribir la declaración para la vigencial del Programa Anual de Auditoria)
 ")</f>
        <v>-El Asesor de Control Interno de Gestión, verifica la suscripción de la Declaración de Independencia y Compromiso Ético, por parte de cada Auditor, de acuerdo con la forma de vinculación (si el auditor se vincula mediante prestación de servicios, debe suscribir la declaración de independencia y compromiso ético por cada contrato suscrito; si el auditor es personal de planta, debe suscribir la declaración para la vigencial del Programa Anual de Auditoria)
 </v>
      </c>
      <c r="N158" s="206" t="str">
        <f>IFERROR(__xludf.DUMMYFUNCTION("""COMPUTED_VALUE"""),"Baja")</f>
        <v>Baja</v>
      </c>
      <c r="O158" s="206" t="str">
        <f>IFERROR(__xludf.DUMMYFUNCTION("""COMPUTED_VALUE"""),"Catastrófico")</f>
        <v>Catastrófico</v>
      </c>
      <c r="P158" s="206" t="str">
        <f>IFERROR(__xludf.DUMMYFUNCTION("""COMPUTED_VALUE"""),"Extrema")</f>
        <v>Extrema</v>
      </c>
      <c r="Q158" s="207" t="str">
        <f>IFERROR(__xludf.DUMMYFUNCTION("""COMPUTED_VALUE"""),"Reducir")</f>
        <v>Reducir</v>
      </c>
      <c r="R158" s="158" t="str">
        <f>IFERROR(__xludf.DUMMYFUNCTION("""COMPUTED_VALUE"""),"El Asesor de Control Interno de Gestión, revisa y aprueba los informes generados por la Oficina de Control Interno")</f>
        <v>El Asesor de Control Interno de Gestión, revisa y aprueba los informes generados por la Oficina de Control Interno</v>
      </c>
      <c r="S158" s="159" t="str">
        <f>IFERROR(__xludf.DUMMYFUNCTION("""COMPUTED_VALUE"""),"Cuando se requiera")</f>
        <v>Cuando se requiera</v>
      </c>
      <c r="T158" s="170" t="str">
        <f>IFERROR(__xludf.DUMMYFUNCTION("""COMPUTED_VALUE"""),"Asesora de Control Interno de Gestión")</f>
        <v>Asesora de Control Interno de Gestión</v>
      </c>
      <c r="U158" s="170" t="str">
        <f>IFERROR(__xludf.DUMMYFUNCTION("""COMPUTED_VALUE"""),"Informes aprobados")</f>
        <v>Informes aprobados</v>
      </c>
      <c r="V158" s="167" t="str">
        <f>IFERROR(__xludf.DUMMYFUNCTION("""COMPUTED_VALUE"""),"Poner en conocimiento el hecho materializado al Comité Insttitucional de Control Interno y a la oficina de Control Interno Disciplinario, para la toma de acciones pertinentes.")</f>
        <v>Poner en conocimiento el hecho materializado al Comité Insttitucional de Control Interno y a la oficina de Control Interno Disciplinario, para la toma de acciones pertinentes.</v>
      </c>
      <c r="W158" s="167" t="str">
        <f>IFERROR(__xludf.DUMMYFUNCTION("""COMPUTED_VALUE"""),"Soporte de la comunicación")</f>
        <v>Soporte de la comunicación</v>
      </c>
      <c r="X158" s="167" t="str">
        <f>IFERROR(__xludf.DUMMYFUNCTION("""COMPUTED_VALUE"""),"Asesora de Control Interno de Gestión")</f>
        <v>Asesora de Control Interno de Gestión</v>
      </c>
      <c r="Y158" s="167" t="str">
        <f>IFERROR(__xludf.DUMMYFUNCTION("""COMPUTED_VALUE"""),"Inmediato")</f>
        <v>Inmediato</v>
      </c>
      <c r="Z158" s="208" t="str">
        <f>IFERROR(__xludf.DUMMYFUNCTION("""COMPUTED_VALUE"""),"30 de abril")</f>
        <v>30 de abril</v>
      </c>
      <c r="AA158" s="208" t="str">
        <f>IFERROR(__xludf.DUMMYFUNCTION("""COMPUTED_VALUE"""),"Enero a abril de 2025")</f>
        <v>Enero a abril de 2025</v>
      </c>
      <c r="AB158" s="208" t="str">
        <f>IFERROR(__xludf.DUMMYFUNCTION("""COMPUTED_VALUE"""),"Ejecución del control: Durante el primer cuatrimestre de 2025, se firmaron 5 Declaraciones de independencia y compromiso ético por parte de los auditores internos que participan en la ejecución de la auditorias internas de tercera línea, de acuerdo con al"&amp;" programa anual de auditorias establecido para la vigencia 2025 (se anexan los soportes correspondientes). 
Con relación a las acciones asociadas al tratamiento, se realizó seguimiento a las auditorias realizadas a los procesos Investigación  (Apoyos Eco"&amp;"nómicos - OIRI), Comunicación Institucional, Bienestar Institucional y Direccionamiento Estratégico, cuyp resultado se registró en el registro 2.  Plan Anual de Auditoria 2025 Reprogramación, el cual se anexa como evidencia.
Como resultado de los control"&amp;"es ejectudados, se evitó la materialización del riesgo.")</f>
        <v>Ejecución del control: Durante el primer cuatrimestre de 2025, se firmaron 5 Declaraciones de independencia y compromiso ético por parte de los auditores internos que participan en la ejecución de la auditorias internas de tercera línea, de acuerdo con al programa anual de auditorias establecido para la vigencia 2025 (se anexan los soportes correspondientes). 
Con relación a las acciones asociadas al tratamiento, se realizó seguimiento a las auditorias realizadas a los procesos Investigación  (Apoyos Económicos - OIRI), Comunicación Institucional, Bienestar Institucional y Direccionamiento Estratégico, cuyp resultado se registró en el registro 2.  Plan Anual de Auditoria 2025 Reprogramación, el cual se anexa como evidencia.
Como resultado de los controles ejectudados, se evitó la materialización del riesgo.</v>
      </c>
      <c r="AC158" s="210" t="str">
        <f>IFERROR(__xludf.DUMMYFUNCTION("""COMPUTED_VALUE"""),"Asesora de Control Interno de Gestión")</f>
        <v>Asesora de Control Interno de Gestión</v>
      </c>
      <c r="AD158" s="153" t="str">
        <f>IFERROR(__xludf.DUMMYFUNCTION("""COMPUTED_VALUE"""),"Evidencia")</f>
        <v>Evidencia</v>
      </c>
      <c r="AE158" s="208" t="str">
        <f>IFERROR(__xludf.DUMMYFUNCTION("""COMPUTED_VALUE"""),"Si")</f>
        <v>Si</v>
      </c>
      <c r="AF158" s="211" t="str">
        <f>IFERROR(__xludf.DUMMYFUNCTION("""COMPUTED_VALUE"""),"En proceso")</f>
        <v>En proceso</v>
      </c>
      <c r="AG158" s="208" t="str">
        <f>IFERROR(__xludf.DUMMYFUNCTION("""COMPUTED_VALUE"""),"Materialización del riesgo:
Durante el primer cuatrimestre de 2025 NO se materializó el riesgo, lo que indica que se han mantenido condiciones adecuadas de independencia y ética por parte de los auditores internos, preservando la integridad de las auditor"&amp;"ías y la confianza en los resultados.
Acciones de tratamiento del riesgo:
Se realizó seguimiento efectivo a las auditorías aplicadas en varios procesos institucionales: Investigación (Apoyos Económicos - OIRI), Comunicación Institucional, Bienestar Insti"&amp;"tucional y Direccionamiento Estratégico.
Dicho seguimiento quedó documentado en el registro ""Plan Anual de Auditoría 2025 – Reprogramación"", evidencia que demuestra el compromiso institucional con la mejora continua, el cumplimiento del programa anual y"&amp;" el abordaje de hallazgos detectados.
Controles implementados:
Se ejecutó un control clave: la firma de cinco (5) Declaraciones de Independencia y Compromiso Ético por parte de los auditores internos asignados a las auditorías de tercera línea, en concor"&amp;"dancia con el programa anual de auditoría 2025.
Estas declaraciones son fundamentales para asegurar la imparcialidad de los auditores, y su formalización representa una acción concreta y verificable que contribuye a la gestión del riesgo.")</f>
        <v>Materialización del riesgo:
Durante el primer cuatrimestre de 2025 NO se materializó el riesgo, lo que indica que se han mantenido condiciones adecuadas de independencia y ética por parte de los auditores internos, preservando la integridad de las auditorías y la confianza en los resultados.
Acciones de tratamiento del riesgo:
Se realizó seguimiento efectivo a las auditorías aplicadas en varios procesos institucionales: Investigación (Apoyos Económicos - OIRI), Comunicación Institucional, Bienestar Institucional y Direccionamiento Estratégico.
Dicho seguimiento quedó documentado en el registro "Plan Anual de Auditoría 2025 – Reprogramación", evidencia que demuestra el compromiso institucional con la mejora continua, el cumplimiento del programa anual y el abordaje de hallazgos detectados.
Controles implementados:
Se ejecutó un control clave: la firma de cinco (5) Declaraciones de Independencia y Compromiso Ético por parte de los auditores internos asignados a las auditorías de tercera línea, en concordancia con el programa anual de auditoría 2025.
Estas declaraciones son fundamentales para asegurar la imparcialidad de los auditores, y su formalización representa una acción concreta y verificable que contribuye a la gestión del riesgo.</v>
      </c>
      <c r="AH158" s="150" t="str">
        <f>IFERROR(__xludf.DUMMYFUNCTION("""COMPUTED_VALUE"""),"30 de abril")</f>
        <v>30 de abril</v>
      </c>
      <c r="AI158" s="32" t="str">
        <f>IFERROR(__xludf.DUMMYFUNCTION("""COMPUTED_VALUE"""),"Si")</f>
        <v>Si</v>
      </c>
      <c r="AJ158" s="32" t="str">
        <f>IFERROR(__xludf.DUMMYFUNCTION("""COMPUTED_VALUE"""),"Si")</f>
        <v>Si</v>
      </c>
      <c r="AK158" s="32" t="str">
        <f>IFERROR(__xludf.DUMMYFUNCTION("""COMPUTED_VALUE"""),"Si")</f>
        <v>Si</v>
      </c>
      <c r="AL158" s="32" t="str">
        <f>IFERROR(__xludf.DUMMYFUNCTION("""COMPUTED_VALUE"""),"Si")</f>
        <v>Si</v>
      </c>
      <c r="AM158" s="32" t="str">
        <f>IFERROR(__xludf.DUMMYFUNCTION("""COMPUTED_VALUE"""),"Si")</f>
        <v>Si</v>
      </c>
      <c r="AN158" s="32" t="str">
        <f>IFERROR(__xludf.DUMMYFUNCTION("""COMPUTED_VALUE"""),"Si")</f>
        <v>Si</v>
      </c>
      <c r="AO158" s="32" t="str">
        <f>IFERROR(__xludf.DUMMYFUNCTION("""COMPUTED_VALUE"""),"Si")</f>
        <v>Si</v>
      </c>
      <c r="AP158" s="32" t="str">
        <f>IFERROR(__xludf.DUMMYFUNCTION("""COMPUTED_VALUE"""),"No")</f>
        <v>No</v>
      </c>
      <c r="AQ158" s="32" t="str">
        <f>IFERROR(__xludf.DUMMYFUNCTION("""COMPUTED_VALUE"""),"No aplica")</f>
        <v>No aplica</v>
      </c>
      <c r="AR158" s="32" t="str">
        <f>IFERROR(__xludf.DUMMYFUNCTION("""COMPUTED_VALUE"""),"No aplica")</f>
        <v>No aplica</v>
      </c>
      <c r="AS158" s="208" t="str">
        <f>IFERROR(__xludf.DUMMYFUNCTION("""COMPUTED_VALUE"""),"Ninguna")</f>
        <v>Ninguna</v>
      </c>
      <c r="AT158" s="161"/>
    </row>
    <row r="159">
      <c r="A159" s="86"/>
      <c r="B159" s="73"/>
      <c r="C159" s="73"/>
      <c r="D159" s="156"/>
      <c r="E159" s="156"/>
      <c r="F159" s="156"/>
      <c r="G159" s="156"/>
      <c r="H159" s="156"/>
      <c r="I159" s="156"/>
      <c r="J159" s="156"/>
      <c r="K159" s="156"/>
      <c r="L159" s="156"/>
      <c r="M159" s="156"/>
      <c r="N159" s="156"/>
      <c r="O159" s="156"/>
      <c r="P159" s="156"/>
      <c r="Q159" s="157"/>
      <c r="R159" s="158" t="str">
        <f>IFERROR(__xludf.DUMMYFUNCTION("""COMPUTED_VALUE"""),"")</f>
        <v/>
      </c>
      <c r="S159" s="159" t="str">
        <f>IFERROR(__xludf.DUMMYFUNCTION("""COMPUTED_VALUE"""),"")</f>
        <v/>
      </c>
      <c r="T159" s="170"/>
      <c r="U159" s="170"/>
      <c r="V159" s="94"/>
      <c r="W159" s="94"/>
      <c r="X159" s="94"/>
      <c r="Y159" s="94"/>
      <c r="Z159" s="208" t="str">
        <f>IFERROR(__xludf.DUMMYFUNCTION("""COMPUTED_VALUE"""),"30 de agosto")</f>
        <v>30 de agosto</v>
      </c>
      <c r="AA159" s="208" t="str">
        <f>IFERROR(__xludf.DUMMYFUNCTION("""COMPUTED_VALUE"""),"Mayo a  agosto de 2025")</f>
        <v>Mayo a  agosto de 2025</v>
      </c>
      <c r="AB159" s="208" t="str">
        <f>IFERROR(__xludf.DUMMYFUNCTION("""COMPUTED_VALUE"""),"Ejecución del control: Durante el segundo  cuatrimestre de 2025, se firmaron 5 Declaraciones de independencia y compromiso ético por parte de los auditores internos que participan en la ejecución de la auditorias internas de tercera línea, de acuerdo con "&amp;"al programa anual de auditorias establecido para la vigencia 2025 (se anexan los soportes correspondientes). 
Con relación a las acciones asociadas al tratamiento, se realizó seguimiento a las auditorias Gestión de Bienes y Servicios-Recursos Estampilla,"&amp;" Gestión de TIC        
Auditoría Especial FCAyRN - Proyecto Vichada, Gestión Documental y ""Gestión de Apoyo a la Academia - Laboratorios - Centro Clínico Veterinario  - Granja""  , cuyos resultados se registraron en el documento 2.  Plan Anual de Audito"&amp;"ria 2025 Reprogramación, el cual se anexa como evidencia.
Como resultado de los controles ejectudados, se evitó la materialización del riesgo.")</f>
        <v>Ejecución del control: Durante el segundo  cuatrimestre de 2025, se firmaron 5 Declaraciones de independencia y compromiso ético por parte de los auditores internos que participan en la ejecución de la auditorias internas de tercera línea, de acuerdo con al programa anual de auditorias establecido para la vigencia 2025 (se anexan los soportes correspondientes). 
Con relación a las acciones asociadas al tratamiento, se realizó seguimiento a las auditorias Gestión de Bienes y Servicios-Recursos Estampilla, Gestión de TIC        
Auditoría Especial FCAyRN - Proyecto Vichada, Gestión Documental y "Gestión de Apoyo a la Academia - Laboratorios - Centro Clínico Veterinario  - Granja"  , cuyos resultados se registraron en el documento 2.  Plan Anual de Auditoria 2025 Reprogramación, el cual se anexa como evidencia.
Como resultado de los controles ejectudados, se evitó la materialización del riesgo.</v>
      </c>
      <c r="AC159" s="210" t="str">
        <f>IFERROR(__xludf.DUMMYFUNCTION("""COMPUTED_VALUE"""),"Asesora de Control Interno de Gestión")</f>
        <v>Asesora de Control Interno de Gestión</v>
      </c>
      <c r="AD159" s="153" t="str">
        <f>IFERROR(__xludf.DUMMYFUNCTION("""COMPUTED_VALUE"""),"Evidencia")</f>
        <v>Evidencia</v>
      </c>
      <c r="AE159" s="208" t="str">
        <f>IFERROR(__xludf.DUMMYFUNCTION("""COMPUTED_VALUE"""),"Si")</f>
        <v>Si</v>
      </c>
      <c r="AF159" s="211" t="str">
        <f>IFERROR(__xludf.DUMMYFUNCTION("""COMPUTED_VALUE"""),"En proceso")</f>
        <v>En proceso</v>
      </c>
      <c r="AG159" s="208" t="str">
        <f>IFERROR(__xludf.DUMMYFUNCTION("""COMPUTED_VALUE"""),"Durante el segundo cuatrimestre de 2025 NO se materializó el riesgo.
Controles aplicados:
Se firmaron cinco (5) Declaraciones de independencia y compromiso ético por parte de los auditores internos que participan en la ejecución de las auditorías intern"&amp;"as de tercera línea, en concordancia con el Programa Anual de Auditorías 2025.
Se anexan los soportes correspondientes como evidencia del cumplimiento de este control.
Acciones de tratamiento:
Se realizó seguimiento a las auditorías:
Gestión de Bienes "&amp;"y Servicios – Recursos Estampilla.
Gestión de TIC.
Auditoría Especial FCAyRN – Proyecto Vichada.
Gestión Documental.
Gestión de Apoyo a la Academia – Laboratorios, Centro Clínico Veterinario y Granja.
Los resultados fueron registrados en el documento “Pla"&amp;"n Anual de Auditoría 2025 – Reprogramación”, el cual se anexa como evidencia.
Se verifica la información reportada dando cumplimiento a lo mencionado y a lo proyectado para las acciones del riesgo. ")</f>
        <v>Durante el segundo cuatrimestre de 2025 NO se materializó el riesgo.
Controles aplicados:
Se firmaron cinco (5) Declaraciones de independencia y compromiso ético por parte de los auditores internos que participan en la ejecución de las auditorías internas de tercera línea, en concordancia con el Programa Anual de Auditorías 2025.
Se anexan los soportes correspondientes como evidencia del cumplimiento de este control.
Acciones de tratamiento:
Se realizó seguimiento a las auditorías:
Gestión de Bienes y Servicios – Recursos Estampilla.
Gestión de TIC.
Auditoría Especial FCAyRN – Proyecto Vichada.
Gestión Documental.
Gestión de Apoyo a la Academia – Laboratorios, Centro Clínico Veterinario y Granja.
Los resultados fueron registrados en el documento “Plan Anual de Auditoría 2025 – Reprogramación”, el cual se anexa como evidencia.
Se verifica la información reportada dando cumplimiento a lo mencionado y a lo proyectado para las acciones del riesgo. </v>
      </c>
      <c r="AH159" s="150" t="str">
        <f>IFERROR(__xludf.DUMMYFUNCTION("""COMPUTED_VALUE"""),"31 de agosto")</f>
        <v>31 de agosto</v>
      </c>
      <c r="AI159" s="32" t="str">
        <f>IFERROR(__xludf.DUMMYFUNCTION("""COMPUTED_VALUE"""),"Si")</f>
        <v>Si</v>
      </c>
      <c r="AJ159" s="32" t="str">
        <f>IFERROR(__xludf.DUMMYFUNCTION("""COMPUTED_VALUE"""),"Si")</f>
        <v>Si</v>
      </c>
      <c r="AK159" s="32" t="str">
        <f>IFERROR(__xludf.DUMMYFUNCTION("""COMPUTED_VALUE"""),"Si")</f>
        <v>Si</v>
      </c>
      <c r="AL159" s="32" t="str">
        <f>IFERROR(__xludf.DUMMYFUNCTION("""COMPUTED_VALUE"""),"Si")</f>
        <v>Si</v>
      </c>
      <c r="AM159" s="32" t="str">
        <f>IFERROR(__xludf.DUMMYFUNCTION("""COMPUTED_VALUE"""),"Si")</f>
        <v>Si</v>
      </c>
      <c r="AN159" s="32" t="str">
        <f>IFERROR(__xludf.DUMMYFUNCTION("""COMPUTED_VALUE"""),"Si")</f>
        <v>Si</v>
      </c>
      <c r="AO159" s="32" t="str">
        <f>IFERROR(__xludf.DUMMYFUNCTION("""COMPUTED_VALUE"""),"Si")</f>
        <v>Si</v>
      </c>
      <c r="AP159" s="32" t="str">
        <f>IFERROR(__xludf.DUMMYFUNCTION("""COMPUTED_VALUE"""),"No")</f>
        <v>No</v>
      </c>
      <c r="AQ159" s="32" t="str">
        <f>IFERROR(__xludf.DUMMYFUNCTION("""COMPUTED_VALUE"""),"No aplica")</f>
        <v>No aplica</v>
      </c>
      <c r="AR159" s="32" t="str">
        <f>IFERROR(__xludf.DUMMYFUNCTION("""COMPUTED_VALUE"""),"No aplica")</f>
        <v>No aplica</v>
      </c>
      <c r="AS159" s="208" t="str">
        <f>IFERROR(__xludf.DUMMYFUNCTION("""COMPUTED_VALUE"""),"Ninguna")</f>
        <v>Ninguna</v>
      </c>
      <c r="AT159" s="161"/>
    </row>
    <row r="160">
      <c r="A160" s="86"/>
      <c r="B160" s="73"/>
      <c r="C160" s="73"/>
      <c r="D160" s="119"/>
      <c r="E160" s="119"/>
      <c r="F160" s="119"/>
      <c r="G160" s="119"/>
      <c r="H160" s="119"/>
      <c r="I160" s="119"/>
      <c r="J160" s="119"/>
      <c r="K160" s="119"/>
      <c r="L160" s="119"/>
      <c r="M160" s="119"/>
      <c r="N160" s="119"/>
      <c r="O160" s="119"/>
      <c r="P160" s="119"/>
      <c r="Q160" s="162"/>
      <c r="R160" s="163" t="str">
        <f>IFERROR(__xludf.DUMMYFUNCTION("""COMPUTED_VALUE"""),"")</f>
        <v/>
      </c>
      <c r="S160" s="164" t="str">
        <f>IFERROR(__xludf.DUMMYFUNCTION("""COMPUTED_VALUE"""),"")</f>
        <v/>
      </c>
      <c r="T160" s="176"/>
      <c r="U160" s="176"/>
      <c r="V160" s="98"/>
      <c r="W160" s="98"/>
      <c r="X160" s="98"/>
      <c r="Y160" s="98"/>
      <c r="Z160" s="208" t="str">
        <f>IFERROR(__xludf.DUMMYFUNCTION("""COMPUTED_VALUE"""),"30 de diciembre")</f>
        <v>30 de diciembre</v>
      </c>
      <c r="AA160" s="227">
        <f>IFERROR(__xludf.DUMMYFUNCTION("""COMPUTED_VALUE"""),45992.0)</f>
        <v>45992</v>
      </c>
      <c r="AB160" s="208" t="str">
        <f>IFERROR(__xludf.DUMMYFUNCTION("""COMPUTED_VALUE"""),"Ejecución del control: Durante el tercer  cuatrimestre de 2025, se mantuvieorn vigentes 5 Declaraciones de independencia y compromiso ético por parte de los auditores internos que participan en la ejecución de la auditorias internas de tercera línea, de a"&amp;"cuerdo con al programa anual de auditorias establecido para la vigencia 2025 (se anexan los soportes correspondientes). 
Acciones asociadas al tratamiento: Se realizó seguimiento a las auditorias Docencia, Gestión del Talento Humano -SST / (Contratación "&amp;"Hora Catedra) y Aseguramiento de la Calidad Instituciona (antes Gestión de la Calidad), cuyos resultados se registraron en el documento 4. Plan Anual de Auditoria 2025 Versión 4, el cual se anexa como evidencia.
Materialización del riesgo: Como resultado"&amp;" de los controles ejectudados, se evitó la materialización del riesgo.")</f>
        <v>Ejecución del control: Durante el tercer  cuatrimestre de 2025, se mantuvieorn vigentes 5 Declaraciones de independencia y compromiso ético por parte de los auditores internos que participan en la ejecución de la auditorias internas de tercera línea, de acuerdo con al programa anual de auditorias establecido para la vigencia 2025 (se anexan los soportes correspondientes). 
Acciones asociadas al tratamiento: Se realizó seguimiento a las auditorias Docencia, Gestión del Talento Humano -SST / (Contratación Hora Catedra) y Aseguramiento de la Calidad Instituciona (antes Gestión de la Calidad), cuyos resultados se registraron en el documento 4. Plan Anual de Auditoria 2025 Versión 4, el cual se anexa como evidencia.
Materialización del riesgo: Como resultado de los controles ejectudados, se evitó la materialización del riesgo.</v>
      </c>
      <c r="AC160" s="210" t="str">
        <f>IFERROR(__xludf.DUMMYFUNCTION("""COMPUTED_VALUE"""),"Asesora de Control Interno de Gestión")</f>
        <v>Asesora de Control Interno de Gestión</v>
      </c>
      <c r="AD160" s="153" t="str">
        <f>IFERROR(__xludf.DUMMYFUNCTION("""COMPUTED_VALUE"""),"Evidencia")</f>
        <v>Evidencia</v>
      </c>
      <c r="AE160" s="208" t="str">
        <f>IFERROR(__xludf.DUMMYFUNCTION("""COMPUTED_VALUE"""),"Si")</f>
        <v>Si</v>
      </c>
      <c r="AF160" s="211" t="str">
        <f>IFERROR(__xludf.DUMMYFUNCTION("""COMPUTED_VALUE"""),"Ejecutada")</f>
        <v>Ejecutada</v>
      </c>
      <c r="AG160" s="208" t="str">
        <f>IFERROR(__xludf.DUMMYFUNCTION("""COMPUTED_VALUE"""),"-Durante el monitoreo del tercer cuatrimestre se evidencia que el riesgo no se materializó. Las acciones de control implementadas y la documentación aportada permitieron mantener el riesgo dentro de niveles controlados.
-Ejecución de controles verificada"&amp;":
-Se confirmaron cinco (5) Declaraciones de Independencia y Compromiso Ético suscritas por los auditores internos, lo que evidencia la aplicación del control para evitar conflictos de interés.
-Se realizó seguimiento a las auditorías de Docencia, Gesti"&amp;"ón del Talento Humano – SST / Hora Cátedra y Aseguramiento de la Calidad Institucional.
-El avance y los resultados se encuentran registrados en el documento “Plan Anual de Auditoría 2025 – Versión 4”, lo que demuestra trazabilidad y cumplimiento de la p"&amp;"laneación establecida.                                                                                                                                                                                                                                         "&amp;"                                          -Dado que la información reportada coincide con la evidencia aportada en el Plan Anual de Auditoría 2025 y se mantiene la trazabilidad del seguimiento realizado, se recomienda continuar aplicando este mismo esquem"&amp;"a de registro y soporte documental, el cual ha demostrado ser claro, completo y adecuado para verificar la ejecución de las auditorías programadas.")</f>
        <v>-Durante el monitoreo del tercer cuatrimestre se evidencia que el riesgo no se materializó. Las acciones de control implementadas y la documentación aportada permitieron mantener el riesgo dentro de niveles controlados.
-Ejecución de controles verificada:
-Se confirmaron cinco (5) Declaraciones de Independencia y Compromiso Ético suscritas por los auditores internos, lo que evidencia la aplicación del control para evitar conflictos de interés.
-Se realizó seguimiento a las auditorías de Docencia, Gestión del Talento Humano – SST / Hora Cátedra y Aseguramiento de la Calidad Institucional.
-El avance y los resultados se encuentran registrados en el documento “Plan Anual de Auditoría 2025 – Versión 4”, lo que demuestra trazabilidad y cumplimiento de la planeación establecida.                                                                                                                                                                                                                                                                                   -Dado que la información reportada coincide con la evidencia aportada en el Plan Anual de Auditoría 2025 y se mantiene la trazabilidad del seguimiento realizado, se recomienda continuar aplicando este mismo esquema de registro y soporte documental, el cual ha demostrado ser claro, completo y adecuado para verificar la ejecución de las auditorías programadas.</v>
      </c>
      <c r="AH160" s="150" t="str">
        <f>IFERROR(__xludf.DUMMYFUNCTION("""COMPUTED_VALUE"""),"31 de diciembre")</f>
        <v>31 de diciembre</v>
      </c>
      <c r="AI160" s="32" t="str">
        <f>IFERROR(__xludf.DUMMYFUNCTION("""COMPUTED_VALUE"""),"Si")</f>
        <v>Si</v>
      </c>
      <c r="AJ160" s="32" t="str">
        <f>IFERROR(__xludf.DUMMYFUNCTION("""COMPUTED_VALUE"""),"Si")</f>
        <v>Si</v>
      </c>
      <c r="AK160" s="32" t="str">
        <f>IFERROR(__xludf.DUMMYFUNCTION("""COMPUTED_VALUE"""),"Si")</f>
        <v>Si</v>
      </c>
      <c r="AL160" s="32" t="str">
        <f>IFERROR(__xludf.DUMMYFUNCTION("""COMPUTED_VALUE"""),"Si")</f>
        <v>Si</v>
      </c>
      <c r="AM160" s="32" t="str">
        <f>IFERROR(__xludf.DUMMYFUNCTION("""COMPUTED_VALUE"""),"Si")</f>
        <v>Si</v>
      </c>
      <c r="AN160" s="32" t="str">
        <f>IFERROR(__xludf.DUMMYFUNCTION("""COMPUTED_VALUE"""),"Si")</f>
        <v>Si</v>
      </c>
      <c r="AO160" s="32" t="str">
        <f>IFERROR(__xludf.DUMMYFUNCTION("""COMPUTED_VALUE"""),"Si")</f>
        <v>Si</v>
      </c>
      <c r="AP160" s="32" t="str">
        <f>IFERROR(__xludf.DUMMYFUNCTION("""COMPUTED_VALUE"""),"No")</f>
        <v>No</v>
      </c>
      <c r="AQ160" s="32" t="str">
        <f>IFERROR(__xludf.DUMMYFUNCTION("""COMPUTED_VALUE"""),"No aplica")</f>
        <v>No aplica</v>
      </c>
      <c r="AR160" s="32" t="str">
        <f>IFERROR(__xludf.DUMMYFUNCTION("""COMPUTED_VALUE"""),"No aplica")</f>
        <v>No aplica</v>
      </c>
      <c r="AS160" s="208" t="str">
        <f>IFERROR(__xludf.DUMMYFUNCTION("""COMPUTED_VALUE"""),"Ninguna")</f>
        <v>Ninguna</v>
      </c>
      <c r="AT160" s="161"/>
    </row>
    <row r="161">
      <c r="A161" s="86"/>
      <c r="B161" s="73"/>
      <c r="C161" s="73"/>
      <c r="D161" s="144" t="str">
        <f>IFERROR(__xludf.DUMMYFUNCTION("""COMPUTED_VALUE"""),"Posibilidad de afectación reputacional y/o económica, debido a  investigaciones disciplinarias, sanciones fiscales o afectación a la imagen institucional, por incumplimiento en los plazos establecidos para rendir los informes de ley a cargo de la Oficina "&amp;"de Control Interno de Gestión, debido a la entrega no oportuna de la información solicitada, fallas tecnológicas en los aplicativos establecidos para rendir los informes o falta de seguimiento por parte de la Oficina de Control Interno")</f>
        <v>Posibilidad de afectación reputacional y/o económica, debido a  investigaciones disciplinarias, sanciones fiscales o afectación a la imagen institucional, por incumplimiento en los plazos establecidos para rendir los informes de ley a cargo de la Oficina de Control Interno de Gestión, debido a la entrega no oportuna de la información solicitada, fallas tecnológicas en los aplicativos establecidos para rendir los informes o falta de seguimiento por parte de la Oficina de Control Interno</v>
      </c>
      <c r="E161" s="144" t="str">
        <f>IFERROR(__xludf.DUMMYFUNCTION("""COMPUTED_VALUE"""),"Oficina de Control Interno de Gestión")</f>
        <v>Oficina de Control Interno de Gestión</v>
      </c>
      <c r="F161" s="144" t="str">
        <f>IFERROR(__xludf.DUMMYFUNCTION("""COMPUTED_VALUE"""),"Gestión")</f>
        <v>Gestión</v>
      </c>
      <c r="G161" s="144" t="str">
        <f>IFERROR(__xludf.DUMMYFUNCTION("""COMPUTED_VALUE"""),"- Incumplimiento en la entrega de información solicitada - Fallas tecnológicas en los aplicativos establecidos para rendir los informes
- Falta de seguimiento por parte de la Oficina de Control Interno")</f>
        <v>- Incumplimiento en la entrega de información solicitada - Fallas tecnológicas en los aplicativos establecidos para rendir los informes
- Falta de seguimiento por parte de la Oficina de Control Interno</v>
      </c>
      <c r="H161" s="144" t="str">
        <f>IFERROR(__xludf.DUMMYFUNCTION("""COMPUTED_VALUE"""),"- Investigaciones disciplinarias
- Saciones fiscales
-Afectación a la imagén institucional")</f>
        <v>- Investigaciones disciplinarias
- Saciones fiscales
-Afectación a la imagén institucional</v>
      </c>
      <c r="I161" s="145" t="str">
        <f>IFERROR(__xludf.DUMMYFUNCTION("""COMPUTED_VALUE"""),"ECS_05")</f>
        <v>ECS_05</v>
      </c>
      <c r="J161" s="145" t="str">
        <f>IFERROR(__xludf.DUMMYFUNCTION("""COMPUTED_VALUE"""),"Media")</f>
        <v>Media</v>
      </c>
      <c r="K161" s="145" t="str">
        <f>IFERROR(__xludf.DUMMYFUNCTION("""COMPUTED_VALUE"""),"Catastrófico")</f>
        <v>Catastrófico</v>
      </c>
      <c r="L161" s="145" t="str">
        <f>IFERROR(__xludf.DUMMYFUNCTION("""COMPUTED_VALUE"""),"Extrema")</f>
        <v>Extrema</v>
      </c>
      <c r="M161" s="144" t="str">
        <f>IFERROR(__xludf.DUMMYFUNCTION("""COMPUTED_VALUE"""),"- El Asesor de Control Interno de Gestión, incluye en el Programa Anual de verifica los informes de Ley a presentar durante la vigencia y realiza seguimiento al cumplimiento oportuno de acuerdo con los plazos establecidos para los reportes.
- El Asesor de"&amp;" Control Interno de Gestión, realiza los reportes con anticipación a la fecha límite establecida, con el fin de garantizar la reporte oportuno y preveer posibles fallas de los aplicativos de rendición informes.    ")</f>
        <v>- El Asesor de Control Interno de Gestión, incluye en el Programa Anual de verifica los informes de Ley a presentar durante la vigencia y realiza seguimiento al cumplimiento oportuno de acuerdo con los plazos establecidos para los reportes.
- El Asesor de Control Interno de Gestión, realiza los reportes con anticipación a la fecha límite establecida, con el fin de garantizar la reporte oportuno y preveer posibles fallas de los aplicativos de rendición informes.    </v>
      </c>
      <c r="N161" s="145" t="str">
        <f>IFERROR(__xludf.DUMMYFUNCTION("""COMPUTED_VALUE"""),"Baja")</f>
        <v>Baja</v>
      </c>
      <c r="O161" s="145" t="str">
        <f>IFERROR(__xludf.DUMMYFUNCTION("""COMPUTED_VALUE"""),"Catastrófico")</f>
        <v>Catastrófico</v>
      </c>
      <c r="P161" s="145" t="str">
        <f>IFERROR(__xludf.DUMMYFUNCTION("""COMPUTED_VALUE"""),"Extrema")</f>
        <v>Extrema</v>
      </c>
      <c r="Q161" s="178" t="str">
        <f>IFERROR(__xludf.DUMMYFUNCTION("""COMPUTED_VALUE"""),"Reducir")</f>
        <v>Reducir</v>
      </c>
      <c r="R161" s="158" t="str">
        <f>IFERROR(__xludf.DUMMYFUNCTION("""COMPUTED_VALUE"""),"- La Oficina de Control Interno solicita con antelación la información pertinente para la entrega oportuna por parte de las distintas dependencias")</f>
        <v>- La Oficina de Control Interno solicita con antelación la información pertinente para la entrega oportuna por parte de las distintas dependencias</v>
      </c>
      <c r="S161" s="159" t="str">
        <f>IFERROR(__xludf.DUMMYFUNCTION("""COMPUTED_VALUE"""),"De acuerdo a cada informe de Ley")</f>
        <v>De acuerdo a cada informe de Ley</v>
      </c>
      <c r="T161" s="170" t="str">
        <f>IFERROR(__xludf.DUMMYFUNCTION("""COMPUTED_VALUE"""),"Asesora de Control Interno")</f>
        <v>Asesora de Control Interno</v>
      </c>
      <c r="U161" s="170" t="str">
        <f>IFERROR(__xludf.DUMMYFUNCTION("""COMPUTED_VALUE"""),"Informes de Ley presentados")</f>
        <v>Informes de Ley presentados</v>
      </c>
      <c r="V161" s="167" t="str">
        <f>IFERROR(__xludf.DUMMYFUNCTION("""COMPUTED_VALUE"""),"Presentar informe de la situación ante el Comité Institucional de Coordinación de Control Interno")</f>
        <v>Presentar informe de la situación ante el Comité Institucional de Coordinación de Control Interno</v>
      </c>
      <c r="W161" s="167" t="str">
        <f>IFERROR(__xludf.DUMMYFUNCTION("""COMPUTED_VALUE"""),"Acta del comité")</f>
        <v>Acta del comité</v>
      </c>
      <c r="X161" s="169" t="str">
        <f>IFERROR(__xludf.DUMMYFUNCTION("""COMPUTED_VALUE"""),"Asesor de Control interno")</f>
        <v>Asesor de Control interno</v>
      </c>
      <c r="Y161" s="169" t="str">
        <f>IFERROR(__xludf.DUMMYFUNCTION("""COMPUTED_VALUE"""),"30 después después de la materialización")</f>
        <v>30 después después de la materialización</v>
      </c>
      <c r="Z161" s="150" t="str">
        <f>IFERROR(__xludf.DUMMYFUNCTION("""COMPUTED_VALUE"""),"30 de abril")</f>
        <v>30 de abril</v>
      </c>
      <c r="AA161" s="32" t="str">
        <f>IFERROR(__xludf.DUMMYFUNCTION("""COMPUTED_VALUE"""),"Enero a abril de 2025")</f>
        <v>Enero a abril de 2025</v>
      </c>
      <c r="AB161" s="150" t="str">
        <f>IFERROR(__xludf.DUMMYFUNCTION("""COMPUTED_VALUE"""),"Ejecución del Control: La oficina de Control Interno verificó los informes de Ley a presentar durante la vigencia 2025, los cuales se encuentran en el programa anual de auditoria y que fue comunicado a todas las dependencias mediante correo electrónico de"&amp;" fecha 10/12/2024.    
Con relación a la acción asociada al tratamiento, duarante el periodo reportado, la Oficina de Control Interno solicitó con antelación la información pertinente para la entrega oportuna por parte de las distintas dependencias, aseg"&amp;"urando el reporte de los informes de ley dentro del término establecido. Se anexa el plan de auditoria 2025 el cual incluye el seguimiento a los informes de ley reportados, así misomo, se enexan los soportes de los informes de ley presentados en el period"&amp;"o reportado.
Como resultado de los controles ejectudados, se evitó la materialización del riesgo.")</f>
        <v>Ejecución del Control: La oficina de Control Interno verificó los informes de Ley a presentar durante la vigencia 2025, los cuales se encuentran en el programa anual de auditoria y que fue comunicado a todas las dependencias mediante correo electrónico de fecha 10/12/2024.    
Con relación a la acción asociada al tratamiento, duarante el periodo reportado, la Oficina de Control Interno solicitó con antelación la información pertinente para la entrega oportuna por parte de las distintas dependencias, asegurando el reporte de los informes de ley dentro del término establecido. Se anexa el plan de auditoria 2025 el cual incluye el seguimiento a los informes de ley reportados, así misomo, se enexan los soportes de los informes de ley presentados en el periodo reportado.
Como resultado de los controles ejectudados, se evitó la materialización del riesgo.</v>
      </c>
      <c r="AC161" s="152" t="str">
        <f>IFERROR(__xludf.DUMMYFUNCTION("""COMPUTED_VALUE"""),"Asesor de control interno")</f>
        <v>Asesor de control interno</v>
      </c>
      <c r="AD161" s="153" t="str">
        <f>IFERROR(__xludf.DUMMYFUNCTION("""COMPUTED_VALUE"""),"Evidencia")</f>
        <v>Evidencia</v>
      </c>
      <c r="AE161" s="150" t="str">
        <f>IFERROR(__xludf.DUMMYFUNCTION("""COMPUTED_VALUE"""),"Si")</f>
        <v>Si</v>
      </c>
      <c r="AF161" s="150" t="str">
        <f>IFERROR(__xludf.DUMMYFUNCTION("""COMPUTED_VALUE"""),"En proceso")</f>
        <v>En proceso</v>
      </c>
      <c r="AG161" s="32" t="str">
        <f>IFERROR(__xludf.DUMMYFUNCTION("""COMPUTED_VALUE"""),"1. Materialización del riesgo:
Durante el periodo de monitoreo, no se materializó el riesgo asociado a la entrega extemporánea o inadecuada de los informes de ley.
2. Controles implementados:
Se ejecutó el control previamente establecido, consistente en "&amp;"que la Oficina de Control Interno verifica anualmente los informes de ley a presentar durante la vigencia, los cuales están consignados en el programa anual de auditoría. Esta verificación fue comunicada a todas las dependencias mediante correo del 10/12/"&amp;"2024 y ejecutada conforme a lo previsto.
3. Acciones asociadas al tratamiento del riesgo:
Durante el periodo, se solicitó con antelación la información necesaria a las dependencias responsables para asegurar la entrega oportuna de los informes. Además, s"&amp;"e anexaron como evidencia el plan de auditoría 2025 y los soportes de los informes presentados, lo cual respalda el seguimiento efectivo y cumplimiento de los compromisos.")</f>
        <v>1. Materialización del riesgo:
Durante el periodo de monitoreo, no se materializó el riesgo asociado a la entrega extemporánea o inadecuada de los informes de ley.
2. Controles implementados:
Se ejecutó el control previamente establecido, consistente en que la Oficina de Control Interno verifica anualmente los informes de ley a presentar durante la vigencia, los cuales están consignados en el programa anual de auditoría. Esta verificación fue comunicada a todas las dependencias mediante correo del 10/12/2024 y ejecutada conforme a lo previsto.
3. Acciones asociadas al tratamiento del riesgo:
Durante el periodo, se solicitó con antelación la información necesaria a las dependencias responsables para asegurar la entrega oportuna de los informes. Además, se anexaron como evidencia el plan de auditoría 2025 y los soportes de los informes presentados, lo cual respalda el seguimiento efectivo y cumplimiento de los compromisos.</v>
      </c>
      <c r="AH161" s="150" t="str">
        <f>IFERROR(__xludf.DUMMYFUNCTION("""COMPUTED_VALUE"""),"30 de abril")</f>
        <v>30 de abril</v>
      </c>
      <c r="AI161" s="32" t="str">
        <f>IFERROR(__xludf.DUMMYFUNCTION("""COMPUTED_VALUE"""),"Si")</f>
        <v>Si</v>
      </c>
      <c r="AJ161" s="32" t="str">
        <f>IFERROR(__xludf.DUMMYFUNCTION("""COMPUTED_VALUE"""),"Si")</f>
        <v>Si</v>
      </c>
      <c r="AK161" s="32" t="str">
        <f>IFERROR(__xludf.DUMMYFUNCTION("""COMPUTED_VALUE"""),"Si")</f>
        <v>Si</v>
      </c>
      <c r="AL161" s="32" t="str">
        <f>IFERROR(__xludf.DUMMYFUNCTION("""COMPUTED_VALUE"""),"Si")</f>
        <v>Si</v>
      </c>
      <c r="AM161" s="32" t="str">
        <f>IFERROR(__xludf.DUMMYFUNCTION("""COMPUTED_VALUE"""),"Si")</f>
        <v>Si</v>
      </c>
      <c r="AN161" s="32" t="str">
        <f>IFERROR(__xludf.DUMMYFUNCTION("""COMPUTED_VALUE"""),"Si")</f>
        <v>Si</v>
      </c>
      <c r="AO161" s="32" t="str">
        <f>IFERROR(__xludf.DUMMYFUNCTION("""COMPUTED_VALUE"""),"Si")</f>
        <v>Si</v>
      </c>
      <c r="AP161" s="32" t="str">
        <f>IFERROR(__xludf.DUMMYFUNCTION("""COMPUTED_VALUE"""),"No")</f>
        <v>No</v>
      </c>
      <c r="AQ161" s="32" t="str">
        <f>IFERROR(__xludf.DUMMYFUNCTION("""COMPUTED_VALUE"""),"No aplica")</f>
        <v>No aplica</v>
      </c>
      <c r="AR161" s="32" t="str">
        <f>IFERROR(__xludf.DUMMYFUNCTION("""COMPUTED_VALUE"""),"No aplica")</f>
        <v>No aplica</v>
      </c>
      <c r="AS161" s="150" t="str">
        <f>IFERROR(__xludf.DUMMYFUNCTION("""COMPUTED_VALUE"""),"Ninguna")</f>
        <v>Ninguna</v>
      </c>
      <c r="AT161" s="139"/>
    </row>
    <row r="162">
      <c r="A162" s="86"/>
      <c r="B162" s="73"/>
      <c r="C162" s="73"/>
      <c r="D162" s="156"/>
      <c r="E162" s="156"/>
      <c r="F162" s="156"/>
      <c r="G162" s="156"/>
      <c r="H162" s="156"/>
      <c r="I162" s="156"/>
      <c r="J162" s="156"/>
      <c r="K162" s="156"/>
      <c r="L162" s="156"/>
      <c r="M162" s="156"/>
      <c r="N162" s="156"/>
      <c r="O162" s="156"/>
      <c r="P162" s="156"/>
      <c r="Q162" s="157"/>
      <c r="R162" s="158" t="str">
        <f>IFERROR(__xludf.DUMMYFUNCTION("""COMPUTED_VALUE"""),"")</f>
        <v/>
      </c>
      <c r="S162" s="159" t="str">
        <f>IFERROR(__xludf.DUMMYFUNCTION("""COMPUTED_VALUE"""),"")</f>
        <v/>
      </c>
      <c r="T162" s="170"/>
      <c r="U162" s="170"/>
      <c r="V162" s="94"/>
      <c r="W162" s="94"/>
      <c r="X162" s="94"/>
      <c r="Y162" s="94"/>
      <c r="Z162" s="150" t="str">
        <f>IFERROR(__xludf.DUMMYFUNCTION("""COMPUTED_VALUE"""),"30 de agosto")</f>
        <v>30 de agosto</v>
      </c>
      <c r="AA162" s="32" t="str">
        <f>IFERROR(__xludf.DUMMYFUNCTION("""COMPUTED_VALUE"""),"Mayo a  agosto de 2025")</f>
        <v>Mayo a  agosto de 2025</v>
      </c>
      <c r="AB162" s="150" t="str">
        <f>IFERROR(__xludf.DUMMYFUNCTION("""COMPUTED_VALUE"""),"Ejecución del Control: La oficina de Control Interno verificó los informes de Ley a presentar durante la vigencia 2025, los cuales se encuentran en el programa anual de auditoria, el cual se ha publicado en el portal web de la entidad de acuerdo a las act"&amp;"ualizaciones realizadas, sea anexa soporte de la última actualización versión 4.    
Con relación a la acción asociada al tratamiento, durante el periodo reportado, la Oficina de Control Interno solicitó con antelación la información pertinente para la e"&amp;"ntrega oportuna por parte de las distintas dependencias, asegurando el reporte de los informes de ley dentro del término establecido. Se anexa el plan de auditoria 2025 el cual incluye el seguimiento a los informes de ley reportados, así mismo, se anexan "&amp;"los soportes de los informes de ley presentados en el periodo reportado.
Como resultado de los controles ejectudados, se evitó la materialización del riesgo.")</f>
        <v>Ejecución del Control: La oficina de Control Interno verificó los informes de Ley a presentar durante la vigencia 2025, los cuales se encuentran en el programa anual de auditoria, el cual se ha publicado en el portal web de la entidad de acuerdo a las actualizaciones realizadas, sea anexa soporte de la última actualización versión 4.    
Con relación a la acción asociada al tratamiento, durante el periodo reportado, la Oficina de Control Interno solicitó con antelación la información pertinente para la entrega oportuna por parte de las distintas dependencias, asegurando el reporte de los informes de ley dentro del término establecido. Se anexa el plan de auditoria 2025 el cual incluye el seguimiento a los informes de ley reportados, así mismo, se anexan los soportes de los informes de ley presentados en el periodo reportado.
Como resultado de los controles ejectudados, se evitó la materialización del riesgo.</v>
      </c>
      <c r="AC162" s="152" t="str">
        <f>IFERROR(__xludf.DUMMYFUNCTION("""COMPUTED_VALUE"""),"Asesor de control interno")</f>
        <v>Asesor de control interno</v>
      </c>
      <c r="AD162" s="153" t="str">
        <f>IFERROR(__xludf.DUMMYFUNCTION("""COMPUTED_VALUE"""),"Evidencia")</f>
        <v>Evidencia</v>
      </c>
      <c r="AE162" s="150" t="str">
        <f>IFERROR(__xludf.DUMMYFUNCTION("""COMPUTED_VALUE"""),"Si")</f>
        <v>Si</v>
      </c>
      <c r="AF162" s="152" t="str">
        <f>IFERROR(__xludf.DUMMYFUNCTION("""COMPUTED_VALUE"""),"En proceso")</f>
        <v>En proceso</v>
      </c>
      <c r="AG162" s="32" t="str">
        <f>IFERROR(__xludf.DUMMYFUNCTION("""COMPUTED_VALUE"""),"Durante el período de monitoreo verifiqué que NO se materializó el riesgo.
Controles aplicados:
Se constató que la Oficina de Control Interno verificó los informes de ley a presentar durante la vigencia 2025, los cuales estaban incluidos en el Programa "&amp;"Anual de Auditoría.
Se revisó que el Programa Anual de Auditoría se encontraba publicado en el portal web de la entidad, conforme a las actualizaciones realizadas.
Se validó la existencia del soporte de la última actualización (versión 4).
Acciones de "&amp;"tratamiento:
Se verificó que la Oficina de Control Interno solicitó con antelación la información a las distintas dependencias, lo que permitió la entrega oportuna de los informes de ley dentro de los plazos establecidos.
Se revisó el Plan de Auditoría "&amp;"2025, el cual incluía el seguimiento a los informes de ley reportados.
Se corroboraron los soportes de los informes de ley presentados en el periodo.")</f>
        <v>Durante el período de monitoreo verifiqué que NO se materializó el riesgo.
Controles aplicados:
Se constató que la Oficina de Control Interno verificó los informes de ley a presentar durante la vigencia 2025, los cuales estaban incluidos en el Programa Anual de Auditoría.
Se revisó que el Programa Anual de Auditoría se encontraba publicado en el portal web de la entidad, conforme a las actualizaciones realizadas.
Se validó la existencia del soporte de la última actualización (versión 4).
Acciones de tratamiento:
Se verificó que la Oficina de Control Interno solicitó con antelación la información a las distintas dependencias, lo que permitió la entrega oportuna de los informes de ley dentro de los plazos establecidos.
Se revisó el Plan de Auditoría 2025, el cual incluía el seguimiento a los informes de ley reportados.
Se corroboraron los soportes de los informes de ley presentados en el periodo.</v>
      </c>
      <c r="AH162" s="150" t="str">
        <f>IFERROR(__xludf.DUMMYFUNCTION("""COMPUTED_VALUE"""),"31 de agosto")</f>
        <v>31 de agosto</v>
      </c>
      <c r="AI162" s="32" t="str">
        <f>IFERROR(__xludf.DUMMYFUNCTION("""COMPUTED_VALUE"""),"Si")</f>
        <v>Si</v>
      </c>
      <c r="AJ162" s="32" t="str">
        <f>IFERROR(__xludf.DUMMYFUNCTION("""COMPUTED_VALUE"""),"Si")</f>
        <v>Si</v>
      </c>
      <c r="AK162" s="32" t="str">
        <f>IFERROR(__xludf.DUMMYFUNCTION("""COMPUTED_VALUE"""),"Si")</f>
        <v>Si</v>
      </c>
      <c r="AL162" s="32" t="str">
        <f>IFERROR(__xludf.DUMMYFUNCTION("""COMPUTED_VALUE"""),"Si")</f>
        <v>Si</v>
      </c>
      <c r="AM162" s="32" t="str">
        <f>IFERROR(__xludf.DUMMYFUNCTION("""COMPUTED_VALUE"""),"Si")</f>
        <v>Si</v>
      </c>
      <c r="AN162" s="32" t="str">
        <f>IFERROR(__xludf.DUMMYFUNCTION("""COMPUTED_VALUE"""),"Si")</f>
        <v>Si</v>
      </c>
      <c r="AO162" s="32" t="str">
        <f>IFERROR(__xludf.DUMMYFUNCTION("""COMPUTED_VALUE"""),"Si")</f>
        <v>Si</v>
      </c>
      <c r="AP162" s="32" t="str">
        <f>IFERROR(__xludf.DUMMYFUNCTION("""COMPUTED_VALUE"""),"No")</f>
        <v>No</v>
      </c>
      <c r="AQ162" s="32" t="str">
        <f>IFERROR(__xludf.DUMMYFUNCTION("""COMPUTED_VALUE"""),"No aplica")</f>
        <v>No aplica</v>
      </c>
      <c r="AR162" s="32" t="str">
        <f>IFERROR(__xludf.DUMMYFUNCTION("""COMPUTED_VALUE"""),"No aplica")</f>
        <v>No aplica</v>
      </c>
      <c r="AS162" s="150" t="str">
        <f>IFERROR(__xludf.DUMMYFUNCTION("""COMPUTED_VALUE"""),"Ninguna")</f>
        <v>Ninguna</v>
      </c>
      <c r="AT162" s="139"/>
    </row>
    <row r="163">
      <c r="A163" s="86"/>
      <c r="B163" s="73"/>
      <c r="C163" s="73"/>
      <c r="D163" s="119"/>
      <c r="E163" s="119"/>
      <c r="F163" s="119"/>
      <c r="G163" s="119"/>
      <c r="H163" s="119"/>
      <c r="I163" s="119"/>
      <c r="J163" s="119"/>
      <c r="K163" s="119"/>
      <c r="L163" s="119"/>
      <c r="M163" s="119"/>
      <c r="N163" s="119"/>
      <c r="O163" s="119"/>
      <c r="P163" s="119"/>
      <c r="Q163" s="162"/>
      <c r="R163" s="163" t="str">
        <f>IFERROR(__xludf.DUMMYFUNCTION("""COMPUTED_VALUE"""),"")</f>
        <v/>
      </c>
      <c r="S163" s="164" t="str">
        <f>IFERROR(__xludf.DUMMYFUNCTION("""COMPUTED_VALUE"""),"")</f>
        <v/>
      </c>
      <c r="T163" s="176"/>
      <c r="U163" s="176"/>
      <c r="V163" s="98"/>
      <c r="W163" s="98"/>
      <c r="X163" s="98"/>
      <c r="Y163" s="98"/>
      <c r="Z163" s="150" t="str">
        <f>IFERROR(__xludf.DUMMYFUNCTION("""COMPUTED_VALUE"""),"30 de diciembre")</f>
        <v>30 de diciembre</v>
      </c>
      <c r="AA163" s="179">
        <f>IFERROR(__xludf.DUMMYFUNCTION("""COMPUTED_VALUE"""),45992.0)</f>
        <v>45992</v>
      </c>
      <c r="AB163" s="150" t="str">
        <f>IFERROR(__xludf.DUMMYFUNCTION("""COMPUTED_VALUE"""),"Ejecución del Control: La oficina de Control Interno verificó los informes de Ley a presentar durante la vigencia 2025, los cuales se encuentran en el programa anual de auditoria, el cual se ha publicado en el portal web de la entidad de acuerdo a las act"&amp;"ualizaciones realizadas, sea anexa soporte de la última actualización versión 4.    
Acción de tratamiento: Con relación a la acción asociada al tratamiento, durante el periodo reportado, la Oficina de Control Interno solicitó con antelación la informaci"&amp;"ón pertinente para la entrega oportuna por parte de las distintas dependencias, asegurando el reporte de los informes de ley dentro del término establecido. Se anexa el plan de auditoria 2025 el cual incluye el seguimiento a los informes de ley reportados"&amp;", así mismo, se anexan los soportes de los informes de ley presentados en el periodo reportado, no obstante se deja la salvedad de que algunos informes de ley se reportan en el mes de enero de 2026, considerando que se debe dejar registro del corte al 31 "&amp;"de diciembre de 2025.
Materialización del riesgo: Como resultado de los controles ejectudados, se evitó la materialización del riesgo.")</f>
        <v>Ejecución del Control: La oficina de Control Interno verificó los informes de Ley a presentar durante la vigencia 2025, los cuales se encuentran en el programa anual de auditoria, el cual se ha publicado en el portal web de la entidad de acuerdo a las actualizaciones realizadas, sea anexa soporte de la última actualización versión 4.    
Acción de tratamiento: Con relación a la acción asociada al tratamiento, durante el periodo reportado, la Oficina de Control Interno solicitó con antelación la información pertinente para la entrega oportuna por parte de las distintas dependencias, asegurando el reporte de los informes de ley dentro del término establecido. Se anexa el plan de auditoria 2025 el cual incluye el seguimiento a los informes de ley reportados, así mismo, se anexan los soportes de los informes de ley presentados en el periodo reportado, no obstante se deja la salvedad de que algunos informes de ley se reportan en el mes de enero de 2026, considerando que se debe dejar registro del corte al 31 de diciembre de 2025.
Materialización del riesgo: Como resultado de los controles ejectudados, se evitó la materialización del riesgo.</v>
      </c>
      <c r="AC163" s="152" t="str">
        <f>IFERROR(__xludf.DUMMYFUNCTION("""COMPUTED_VALUE"""),"Asesor de control interno")</f>
        <v>Asesor de control interno</v>
      </c>
      <c r="AD163" s="153" t="str">
        <f>IFERROR(__xludf.DUMMYFUNCTION("""COMPUTED_VALUE"""),"Evidencia")</f>
        <v>Evidencia</v>
      </c>
      <c r="AE163" s="150" t="str">
        <f>IFERROR(__xludf.DUMMYFUNCTION("""COMPUTED_VALUE"""),"Si")</f>
        <v>Si</v>
      </c>
      <c r="AF163" s="152" t="str">
        <f>IFERROR(__xludf.DUMMYFUNCTION("""COMPUTED_VALUE"""),"Ejecutada")</f>
        <v>Ejecutada</v>
      </c>
      <c r="AG163" s="32" t="str">
        <f>IFERROR(__xludf.DUMMYFUNCTION("""COMPUTED_VALUE"""),"-Durante el monitoreo del tercer cuatrimestre se evidencia que el riesgo no se materializó.                                                                                                                                                                    "&amp;"        -La Oficina de Control Interno verificó los informes de ley correspondientes a la vigencia 2025, conforme al Programa Anual de Auditoría (Versión 4), el cual fue aportado como evidencia y publicado en el portal institucional.
-Al cierre del perio"&amp;"do monitoreado, se constató que los informes de ley cuentan con su respectiva presentación y con la actualización del porcentaje de cumplimiento en el Plan Anual de Auditoría 2025, permitiendo una adecuada trazabilidad del seguimiento realizado. Así mismo"&amp;", se tuvo en cuenta que algunos informes se presentan en enero de 2026, debido a que requieren información con corte al 31 de diciembre de 2025.
-La información revisada es consistente con la evidencia aportada y refleja el cumplimiento de los lineamient"&amp;"os metodológicos y de los tiempos establecidos, por lo cual se considera adecuado continuar con el esquema actual de registro, seguimiento y soporte documental.")</f>
        <v>-Durante el monitoreo del tercer cuatrimestre se evidencia que el riesgo no se materializó.                                                                                                                                                                            -La Oficina de Control Interno verificó los informes de ley correspondientes a la vigencia 2025, conforme al Programa Anual de Auditoría (Versión 4), el cual fue aportado como evidencia y publicado en el portal institucional.
-Al cierre del periodo monitoreado, se constató que los informes de ley cuentan con su respectiva presentación y con la actualización del porcentaje de cumplimiento en el Plan Anual de Auditoría 2025, permitiendo una adecuada trazabilidad del seguimiento realizado. Así mismo, se tuvo en cuenta que algunos informes se presentan en enero de 2026, debido a que requieren información con corte al 31 de diciembre de 2025.
-La información revisada es consistente con la evidencia aportada y refleja el cumplimiento de los lineamientos metodológicos y de los tiempos establecidos, por lo cual se considera adecuado continuar con el esquema actual de registro, seguimiento y soporte documental.</v>
      </c>
      <c r="AH163" s="150" t="str">
        <f>IFERROR(__xludf.DUMMYFUNCTION("""COMPUTED_VALUE"""),"31 de diciembre")</f>
        <v>31 de diciembre</v>
      </c>
      <c r="AI163" s="32" t="str">
        <f>IFERROR(__xludf.DUMMYFUNCTION("""COMPUTED_VALUE"""),"Si")</f>
        <v>Si</v>
      </c>
      <c r="AJ163" s="32" t="str">
        <f>IFERROR(__xludf.DUMMYFUNCTION("""COMPUTED_VALUE"""),"Si")</f>
        <v>Si</v>
      </c>
      <c r="AK163" s="32" t="str">
        <f>IFERROR(__xludf.DUMMYFUNCTION("""COMPUTED_VALUE"""),"Si")</f>
        <v>Si</v>
      </c>
      <c r="AL163" s="32" t="str">
        <f>IFERROR(__xludf.DUMMYFUNCTION("""COMPUTED_VALUE"""),"Si")</f>
        <v>Si</v>
      </c>
      <c r="AM163" s="32" t="str">
        <f>IFERROR(__xludf.DUMMYFUNCTION("""COMPUTED_VALUE"""),"Si")</f>
        <v>Si</v>
      </c>
      <c r="AN163" s="32" t="str">
        <f>IFERROR(__xludf.DUMMYFUNCTION("""COMPUTED_VALUE"""),"Si")</f>
        <v>Si</v>
      </c>
      <c r="AO163" s="32" t="str">
        <f>IFERROR(__xludf.DUMMYFUNCTION("""COMPUTED_VALUE"""),"Si")</f>
        <v>Si</v>
      </c>
      <c r="AP163" s="32" t="str">
        <f>IFERROR(__xludf.DUMMYFUNCTION("""COMPUTED_VALUE"""),"No")</f>
        <v>No</v>
      </c>
      <c r="AQ163" s="32" t="str">
        <f>IFERROR(__xludf.DUMMYFUNCTION("""COMPUTED_VALUE"""),"No aplica")</f>
        <v>No aplica</v>
      </c>
      <c r="AR163" s="32" t="str">
        <f>IFERROR(__xludf.DUMMYFUNCTION("""COMPUTED_VALUE"""),"No aplica")</f>
        <v>No aplica</v>
      </c>
      <c r="AS163" s="150" t="str">
        <f>IFERROR(__xludf.DUMMYFUNCTION("""COMPUTED_VALUE"""),"Ninguna")</f>
        <v>Ninguna</v>
      </c>
      <c r="AT163" s="139"/>
    </row>
    <row r="164">
      <c r="A164" s="86"/>
      <c r="B164" s="73"/>
      <c r="C164" s="73"/>
      <c r="D164" s="144" t="str">
        <f>IFERROR(__xludf.DUMMYFUNCTION("""COMPUTED_VALUE"""),"Posibilidad de afectación reputacional por incumplimiento del programa anual de auditorias de la tercera línea de defensa por insuficiencia de recurso humano, técnico y financiero debido a fallas en la planificación del programa.")</f>
        <v>Posibilidad de afectación reputacional por incumplimiento del programa anual de auditorias de la tercera línea de defensa por insuficiencia de recurso humano, técnico y financiero debido a fallas en la planificación del programa.</v>
      </c>
      <c r="E164" s="144" t="str">
        <f>IFERROR(__xludf.DUMMYFUNCTION("""COMPUTED_VALUE"""),"Oficina de Control Interno de Gestión")</f>
        <v>Oficina de Control Interno de Gestión</v>
      </c>
      <c r="F164" s="144" t="str">
        <f>IFERROR(__xludf.DUMMYFUNCTION("""COMPUTED_VALUE"""),"Gestión")</f>
        <v>Gestión</v>
      </c>
      <c r="G164" s="144" t="str">
        <f>IFERROR(__xludf.DUMMYFUNCTION("""COMPUTED_VALUE"""),"- Fallas en la planificación del programa anual de auditorias
- Falta de recurso humano, técnico y financiero")</f>
        <v>- Fallas en la planificación del programa anual de auditorias
- Falta de recurso humano, técnico y financiero</v>
      </c>
      <c r="H164" s="144" t="str">
        <f>IFERROR(__xludf.DUMMYFUNCTION("""COMPUTED_VALUE"""),"- Investigaciones disciplinarias
- Pèrdida de credibilidad en la Oficina 
- Carencia de evidencia objetiva en el desempeño de las actividades")</f>
        <v>- Investigaciones disciplinarias
- Pèrdida de credibilidad en la Oficina 
- Carencia de evidencia objetiva en el desempeño de las actividades</v>
      </c>
      <c r="I164" s="145" t="str">
        <f>IFERROR(__xludf.DUMMYFUNCTION("""COMPUTED_VALUE"""),"ECS_06")</f>
        <v>ECS_06</v>
      </c>
      <c r="J164" s="145" t="str">
        <f>IFERROR(__xludf.DUMMYFUNCTION("""COMPUTED_VALUE"""),"Media")</f>
        <v>Media</v>
      </c>
      <c r="K164" s="145" t="str">
        <f>IFERROR(__xludf.DUMMYFUNCTION("""COMPUTED_VALUE"""),"Mayor")</f>
        <v>Mayor</v>
      </c>
      <c r="L164" s="145" t="str">
        <f>IFERROR(__xludf.DUMMYFUNCTION("""COMPUTED_VALUE"""),"Extrema")</f>
        <v>Extrema</v>
      </c>
      <c r="M164" s="144" t="str">
        <f>IFERROR(__xludf.DUMMYFUNCTION("""COMPUTED_VALUE"""),"- La oficina de Control Interno verifica el programa anual de auditoria con los respectivos responsables para su cumplimiento.    ")</f>
        <v>- La oficina de Control Interno verifica el programa anual de auditoria con los respectivos responsables para su cumplimiento.    </v>
      </c>
      <c r="N164" s="145" t="str">
        <f>IFERROR(__xludf.DUMMYFUNCTION("""COMPUTED_VALUE"""),"Baja")</f>
        <v>Baja</v>
      </c>
      <c r="O164" s="145" t="str">
        <f>IFERROR(__xludf.DUMMYFUNCTION("""COMPUTED_VALUE"""),"Mayor")</f>
        <v>Mayor</v>
      </c>
      <c r="P164" s="145" t="str">
        <f>IFERROR(__xludf.DUMMYFUNCTION("""COMPUTED_VALUE"""),"Alta")</f>
        <v>Alta</v>
      </c>
      <c r="Q164" s="178" t="str">
        <f>IFERROR(__xludf.DUMMYFUNCTION("""COMPUTED_VALUE"""),"Reducir")</f>
        <v>Reducir</v>
      </c>
      <c r="R164" s="158" t="str">
        <f>IFERROR(__xludf.DUMMYFUNCTION("""COMPUTED_VALUE"""),"- La Oficina de Control Interno verifica con antelación la información pertinente para el programa anual de auditorias")</f>
        <v>- La Oficina de Control Interno verifica con antelación la información pertinente para el programa anual de auditorias</v>
      </c>
      <c r="S164" s="159" t="str">
        <f>IFERROR(__xludf.DUMMYFUNCTION("""COMPUTED_VALUE"""),"Anualmente")</f>
        <v>Anualmente</v>
      </c>
      <c r="T164" s="170" t="str">
        <f>IFERROR(__xludf.DUMMYFUNCTION("""COMPUTED_VALUE"""),"Asesora de Control Interno")</f>
        <v>Asesora de Control Interno</v>
      </c>
      <c r="U164" s="170" t="str">
        <f>IFERROR(__xludf.DUMMYFUNCTION("""COMPUTED_VALUE"""),"Plan Anual de Auditorias")</f>
        <v>Plan Anual de Auditorias</v>
      </c>
      <c r="V164" s="167" t="str">
        <f>IFERROR(__xludf.DUMMYFUNCTION("""COMPUTED_VALUE"""),"Presentar informe de la situación ante el Comité Institucional de Coordinación de Control Interno")</f>
        <v>Presentar informe de la situación ante el Comité Institucional de Coordinación de Control Interno</v>
      </c>
      <c r="W164" s="167" t="str">
        <f>IFERROR(__xludf.DUMMYFUNCTION("""COMPUTED_VALUE"""),"Acta del comité")</f>
        <v>Acta del comité</v>
      </c>
      <c r="X164" s="169" t="str">
        <f>IFERROR(__xludf.DUMMYFUNCTION("""COMPUTED_VALUE"""),"Asesor de Control interno")</f>
        <v>Asesor de Control interno</v>
      </c>
      <c r="Y164" s="169" t="str">
        <f>IFERROR(__xludf.DUMMYFUNCTION("""COMPUTED_VALUE"""),"30 después después de la materialización")</f>
        <v>30 después después de la materialización</v>
      </c>
      <c r="Z164" s="150" t="str">
        <f>IFERROR(__xludf.DUMMYFUNCTION("""COMPUTED_VALUE"""),"30 de abril")</f>
        <v>30 de abril</v>
      </c>
      <c r="AA164" s="32" t="str">
        <f>IFERROR(__xludf.DUMMYFUNCTION("""COMPUTED_VALUE"""),"Enero a abril de 2025")</f>
        <v>Enero a abril de 2025</v>
      </c>
      <c r="AB164" s="150" t="str">
        <f>IFERROR(__xludf.DUMMYFUNCTION("""COMPUTED_VALUE"""),"Ejecución del Control: La oficina de Control Interno elaboró el programa anual de auditorias para la vigencia 2025,el cual fue aprobado por el Comité Institucional de Coordinación de Control Interno en el comité realizado el día 10 de diciembre de 2024, e"&amp;"l cual contempló inicialmente 9 auditorias correspondientes a la tercera línea de defensa y 10 auditorias internas para la segunda línea de defensa. De acuerdo a solicitud de la Vicerractoría de Recursos Universitarios, se adicionó la auditoria interna de"&amp;" tercera línea al proceso de Bienestar Institucional, la cual se planificó y ejecutó en los meses de marzo-abril de 2025.
Con relación a la acción asociada al tratamiento,  la Oficina de Control Interno verificó con antelación la información pertinente pa"&amp;"ra el programa anual de auditorias, el cual fue actualizado para incluir la auditoria interna de tercera línea al proceso de Bienestar Institucional.
Como resultado de los controles ejectudados, se evitó la materialización del riesgo.")</f>
        <v>Ejecución del Control: La oficina de Control Interno elaboró el programa anual de auditorias para la vigencia 2025,el cual fue aprobado por el Comité Institucional de Coordinación de Control Interno en el comité realizado el día 10 de diciembre de 2024, el cual contempló inicialmente 9 auditorias correspondientes a la tercera línea de defensa y 10 auditorias internas para la segunda línea de defensa. De acuerdo a solicitud de la Vicerractoría de Recursos Universitarios, se adicionó la auditoria interna de tercera línea al proceso de Bienestar Institucional, la cual se planificó y ejecutó en los meses de marzo-abril de 2025.
Con relación a la acción asociada al tratamiento,  la Oficina de Control Interno verificó con antelación la información pertinente para el programa anual de auditorias, el cual fue actualizado para incluir la auditoria interna de tercera línea al proceso de Bienestar Institucional.
Como resultado de los controles ejectudados, se evitó la materialización del riesgo.</v>
      </c>
      <c r="AC164" s="152" t="str">
        <f>IFERROR(__xludf.DUMMYFUNCTION("""COMPUTED_VALUE"""),"Asesor de control interno")</f>
        <v>Asesor de control interno</v>
      </c>
      <c r="AD164" s="153" t="str">
        <f>IFERROR(__xludf.DUMMYFUNCTION("""COMPUTED_VALUE"""),"Evidencia")</f>
        <v>Evidencia</v>
      </c>
      <c r="AE164" s="150" t="str">
        <f>IFERROR(__xludf.DUMMYFUNCTION("""COMPUTED_VALUE"""),"Si")</f>
        <v>Si</v>
      </c>
      <c r="AF164" s="150" t="str">
        <f>IFERROR(__xludf.DUMMYFUNCTION("""COMPUTED_VALUE"""),"En proceso")</f>
        <v>En proceso</v>
      </c>
      <c r="AG164" s="32" t="str">
        <f>IFERROR(__xludf.DUMMYFUNCTION("""COMPUTED_VALUE"""),"1. Materialización del riesgo:
Durante el periodo de monitoreo, no se materializó el riesgo relacionado con la planificación y ejecución del programa anual de auditorías internas.
2. Controles implementados:
Se ejecutó el control correspondiente a la ela"&amp;"boración del programa anual de auditorías 2025, el cual fue aprobado por el Comité Institucional de Coordinación de Control Interno el 10 de diciembre de 2024. Este programa incluyó inicialmente 19 auditorías (9 de tercera línea y 10 internas de segunda l"&amp;"ínea). Además, se dio respuesta efectiva a nuevas necesidades institucionales al adicionar y ejecutar una auditoría solicitada por la Vicerrectoría de Recursos Universitarios al proceso de Bienestar Institucional en marzo-abril de 2025.
3. Acciones asoci"&amp;"adas al tratamiento del riesgo:
La Oficina de Control Interno realizó verificaciones anticipadas de la información necesaria para formular el programa anual de auditorías. Esta planificación fue actualizada oportunamente para incluir auditorías adicionale"&amp;"s según requerimientos institucionales, garantizando así la cobertura y seguimiento adecuado de los procesos críticos.")</f>
        <v>1. Materialización del riesgo:
Durante el periodo de monitoreo, no se materializó el riesgo relacionado con la planificación y ejecución del programa anual de auditorías internas.
2. Controles implementados:
Se ejecutó el control correspondiente a la elaboración del programa anual de auditorías 2025, el cual fue aprobado por el Comité Institucional de Coordinación de Control Interno el 10 de diciembre de 2024. Este programa incluyó inicialmente 19 auditorías (9 de tercera línea y 10 internas de segunda línea). Además, se dio respuesta efectiva a nuevas necesidades institucionales al adicionar y ejecutar una auditoría solicitada por la Vicerrectoría de Recursos Universitarios al proceso de Bienestar Institucional en marzo-abril de 2025.
3. Acciones asociadas al tratamiento del riesgo:
La Oficina de Control Interno realizó verificaciones anticipadas de la información necesaria para formular el programa anual de auditorías. Esta planificación fue actualizada oportunamente para incluir auditorías adicionales según requerimientos institucionales, garantizando así la cobertura y seguimiento adecuado de los procesos críticos.</v>
      </c>
      <c r="AH164" s="150" t="str">
        <f>IFERROR(__xludf.DUMMYFUNCTION("""COMPUTED_VALUE"""),"30 de abril")</f>
        <v>30 de abril</v>
      </c>
      <c r="AI164" s="32" t="str">
        <f>IFERROR(__xludf.DUMMYFUNCTION("""COMPUTED_VALUE"""),"Si")</f>
        <v>Si</v>
      </c>
      <c r="AJ164" s="32" t="str">
        <f>IFERROR(__xludf.DUMMYFUNCTION("""COMPUTED_VALUE"""),"Si")</f>
        <v>Si</v>
      </c>
      <c r="AK164" s="32" t="str">
        <f>IFERROR(__xludf.DUMMYFUNCTION("""COMPUTED_VALUE"""),"Si")</f>
        <v>Si</v>
      </c>
      <c r="AL164" s="32" t="str">
        <f>IFERROR(__xludf.DUMMYFUNCTION("""COMPUTED_VALUE"""),"Si")</f>
        <v>Si</v>
      </c>
      <c r="AM164" s="32" t="str">
        <f>IFERROR(__xludf.DUMMYFUNCTION("""COMPUTED_VALUE"""),"Si")</f>
        <v>Si</v>
      </c>
      <c r="AN164" s="32" t="str">
        <f>IFERROR(__xludf.DUMMYFUNCTION("""COMPUTED_VALUE"""),"Si")</f>
        <v>Si</v>
      </c>
      <c r="AO164" s="32" t="str">
        <f>IFERROR(__xludf.DUMMYFUNCTION("""COMPUTED_VALUE"""),"Si")</f>
        <v>Si</v>
      </c>
      <c r="AP164" s="32" t="str">
        <f>IFERROR(__xludf.DUMMYFUNCTION("""COMPUTED_VALUE"""),"No")</f>
        <v>No</v>
      </c>
      <c r="AQ164" s="32" t="str">
        <f>IFERROR(__xludf.DUMMYFUNCTION("""COMPUTED_VALUE"""),"No aplica")</f>
        <v>No aplica</v>
      </c>
      <c r="AR164" s="32" t="str">
        <f>IFERROR(__xludf.DUMMYFUNCTION("""COMPUTED_VALUE"""),"No aplica")</f>
        <v>No aplica</v>
      </c>
      <c r="AS164" s="150" t="str">
        <f>IFERROR(__xludf.DUMMYFUNCTION("""COMPUTED_VALUE"""),"Ninguna")</f>
        <v>Ninguna</v>
      </c>
      <c r="AT164" s="139"/>
    </row>
    <row r="165">
      <c r="A165" s="86"/>
      <c r="B165" s="73"/>
      <c r="C165" s="73"/>
      <c r="D165" s="156"/>
      <c r="E165" s="156"/>
      <c r="F165" s="156"/>
      <c r="G165" s="156"/>
      <c r="H165" s="156"/>
      <c r="I165" s="156"/>
      <c r="J165" s="156"/>
      <c r="K165" s="156"/>
      <c r="L165" s="156"/>
      <c r="M165" s="156"/>
      <c r="N165" s="156"/>
      <c r="O165" s="156"/>
      <c r="P165" s="156"/>
      <c r="Q165" s="157"/>
      <c r="R165" s="158" t="str">
        <f>IFERROR(__xludf.DUMMYFUNCTION("""COMPUTED_VALUE"""),"")</f>
        <v/>
      </c>
      <c r="S165" s="159" t="str">
        <f>IFERROR(__xludf.DUMMYFUNCTION("""COMPUTED_VALUE"""),"")</f>
        <v/>
      </c>
      <c r="T165" s="170"/>
      <c r="U165" s="170"/>
      <c r="V165" s="94"/>
      <c r="W165" s="94"/>
      <c r="X165" s="94"/>
      <c r="Y165" s="94"/>
      <c r="Z165" s="150" t="str">
        <f>IFERROR(__xludf.DUMMYFUNCTION("""COMPUTED_VALUE"""),"30 de agosto")</f>
        <v>30 de agosto</v>
      </c>
      <c r="AA165" s="32" t="str">
        <f>IFERROR(__xludf.DUMMYFUNCTION("""COMPUTED_VALUE"""),"Mayo a Agosto de 2025")</f>
        <v>Mayo a Agosto de 2025</v>
      </c>
      <c r="AB165" s="150" t="str">
        <f>IFERROR(__xludf.DUMMYFUNCTION("""COMPUTED_VALUE"""),"Ejecución del Control: Durante el segundo cuatrimestre de la vigencia 2025, se realizaron cinco (5) auditorias correspondientes a los procesos  Gestión de Bienes y Servicios-Recursos Estampilla, Gestión de TIC        
Auditoría Especial FCAyRN - Proyecto "&amp;"Vichada, Gestión Documental y ""Gestión de Apoyo a la Academia - Laboratorios - Centro Clínico Veterinario  - Granja"", conforme al plan anual de auditorias vigente. 
Con relación a la acción asociada al tratamiento,  la Oficina de Control Interno verifi"&amp;"có con antelación la información pertinente al plan anual de auditorias gestioanndo las actualización pertientes, se anexa última actualización mediante versión 4.
Como resultado de los controles ejectudados, se evitó la materialización del riesgo.")</f>
        <v>Ejecución del Control: Durante el segundo cuatrimestre de la vigencia 2025, se realizaron cinco (5) auditorias correspondientes a los procesos  Gestión de Bienes y Servicios-Recursos Estampilla, Gestión de TIC        
Auditoría Especial FCAyRN - Proyecto Vichada, Gestión Documental y "Gestión de Apoyo a la Academia - Laboratorios - Centro Clínico Veterinario  - Granja", conforme al plan anual de auditorias vigente. 
Con relación a la acción asociada al tratamiento,  la Oficina de Control Interno verificó con antelación la información pertinente al plan anual de auditorias gestioanndo las actualización pertientes, se anexa última actualización mediante versión 4.
Como resultado de los controles ejectudados, se evitó la materialización del riesgo.</v>
      </c>
      <c r="AC165" s="152" t="str">
        <f>IFERROR(__xludf.DUMMYFUNCTION("""COMPUTED_VALUE"""),"Asesor de control interno")</f>
        <v>Asesor de control interno</v>
      </c>
      <c r="AD165" s="153" t="str">
        <f>IFERROR(__xludf.DUMMYFUNCTION("""COMPUTED_VALUE"""),"Evidencia")</f>
        <v>Evidencia</v>
      </c>
      <c r="AE165" s="150" t="str">
        <f>IFERROR(__xludf.DUMMYFUNCTION("""COMPUTED_VALUE"""),"Si")</f>
        <v>Si</v>
      </c>
      <c r="AF165" s="152" t="str">
        <f>IFERROR(__xludf.DUMMYFUNCTION("""COMPUTED_VALUE"""),"En proceso")</f>
        <v>En proceso</v>
      </c>
      <c r="AG165" s="32" t="str">
        <f>IFERROR(__xludf.DUMMYFUNCTION("""COMPUTED_VALUE"""),"Durante el período de monitoreo verifiqué que NO se materializó el riesgo.
Controles aplicados:
Se constató que durante el segundo cuatrimestre de 2025 se realizaron cinco (5) auditorías correspondientes a los procesos:
Gestión de Bienes y Servicios – R"&amp;"ecursos Estampilla.
Gestión de TIC.
Auditoría Especial FCAyRN – Proyecto Vichada.
Gestión Documental.
Gestión de Apoyo a la Academia – Laboratorios, Centro Clínico Veterinario y Granja.
Dichas auditorías se desarrollaron conforme al Plan Anual de Auditorí"&amp;"as vigente.
Acciones de tratamiento:
Se verificó que la Oficina de Control Interno gestionó con antelación la información pertinente al Plan Anual de Auditorías, asegurando las actualizaciones necesarias.
Se corroboró la última actualización del Plan A"&amp;"nual de Auditorías, correspondiente a la versión 4, la cual se anexa como evidencia.
")</f>
        <v>Durante el período de monitoreo verifiqué que NO se materializó el riesgo.
Controles aplicados:
Se constató que durante el segundo cuatrimestre de 2025 se realizaron cinco (5) auditorías correspondientes a los procesos:
Gestión de Bienes y Servicios – Recursos Estampilla.
Gestión de TIC.
Auditoría Especial FCAyRN – Proyecto Vichada.
Gestión Documental.
Gestión de Apoyo a la Academia – Laboratorios, Centro Clínico Veterinario y Granja.
Dichas auditorías se desarrollaron conforme al Plan Anual de Auditorías vigente.
Acciones de tratamiento:
Se verificó que la Oficina de Control Interno gestionó con antelación la información pertinente al Plan Anual de Auditorías, asegurando las actualizaciones necesarias.
Se corroboró la última actualización del Plan Anual de Auditorías, correspondiente a la versión 4, la cual se anexa como evidencia.
</v>
      </c>
      <c r="AH165" s="150" t="str">
        <f>IFERROR(__xludf.DUMMYFUNCTION("""COMPUTED_VALUE"""),"31 de agosto")</f>
        <v>31 de agosto</v>
      </c>
      <c r="AI165" s="32" t="str">
        <f>IFERROR(__xludf.DUMMYFUNCTION("""COMPUTED_VALUE"""),"Si")</f>
        <v>Si</v>
      </c>
      <c r="AJ165" s="32" t="str">
        <f>IFERROR(__xludf.DUMMYFUNCTION("""COMPUTED_VALUE"""),"Si")</f>
        <v>Si</v>
      </c>
      <c r="AK165" s="32" t="str">
        <f>IFERROR(__xludf.DUMMYFUNCTION("""COMPUTED_VALUE"""),"Si")</f>
        <v>Si</v>
      </c>
      <c r="AL165" s="32" t="str">
        <f>IFERROR(__xludf.DUMMYFUNCTION("""COMPUTED_VALUE"""),"Si")</f>
        <v>Si</v>
      </c>
      <c r="AM165" s="32" t="str">
        <f>IFERROR(__xludf.DUMMYFUNCTION("""COMPUTED_VALUE"""),"Si")</f>
        <v>Si</v>
      </c>
      <c r="AN165" s="32" t="str">
        <f>IFERROR(__xludf.DUMMYFUNCTION("""COMPUTED_VALUE"""),"Si")</f>
        <v>Si</v>
      </c>
      <c r="AO165" s="32" t="str">
        <f>IFERROR(__xludf.DUMMYFUNCTION("""COMPUTED_VALUE"""),"Si")</f>
        <v>Si</v>
      </c>
      <c r="AP165" s="32" t="str">
        <f>IFERROR(__xludf.DUMMYFUNCTION("""COMPUTED_VALUE"""),"No")</f>
        <v>No</v>
      </c>
      <c r="AQ165" s="32" t="str">
        <f>IFERROR(__xludf.DUMMYFUNCTION("""COMPUTED_VALUE"""),"No aplica")</f>
        <v>No aplica</v>
      </c>
      <c r="AR165" s="32" t="str">
        <f>IFERROR(__xludf.DUMMYFUNCTION("""COMPUTED_VALUE"""),"No aplica")</f>
        <v>No aplica</v>
      </c>
      <c r="AS165" s="150" t="str">
        <f>IFERROR(__xludf.DUMMYFUNCTION("""COMPUTED_VALUE"""),"Ninguna")</f>
        <v>Ninguna</v>
      </c>
      <c r="AT165" s="139"/>
    </row>
    <row r="166">
      <c r="A166" s="86"/>
      <c r="B166" s="38"/>
      <c r="C166" s="38"/>
      <c r="D166" s="119"/>
      <c r="E166" s="119"/>
      <c r="F166" s="119"/>
      <c r="G166" s="119"/>
      <c r="H166" s="119"/>
      <c r="I166" s="119"/>
      <c r="J166" s="119"/>
      <c r="K166" s="119"/>
      <c r="L166" s="119"/>
      <c r="M166" s="119"/>
      <c r="N166" s="119"/>
      <c r="O166" s="119"/>
      <c r="P166" s="119"/>
      <c r="Q166" s="162"/>
      <c r="R166" s="163" t="str">
        <f>IFERROR(__xludf.DUMMYFUNCTION("""COMPUTED_VALUE"""),"")</f>
        <v/>
      </c>
      <c r="S166" s="164" t="str">
        <f>IFERROR(__xludf.DUMMYFUNCTION("""COMPUTED_VALUE"""),"")</f>
        <v/>
      </c>
      <c r="T166" s="176"/>
      <c r="U166" s="176"/>
      <c r="V166" s="98"/>
      <c r="W166" s="98"/>
      <c r="X166" s="98"/>
      <c r="Y166" s="98"/>
      <c r="Z166" s="150" t="str">
        <f>IFERROR(__xludf.DUMMYFUNCTION("""COMPUTED_VALUE"""),"30 de diciembre")</f>
        <v>30 de diciembre</v>
      </c>
      <c r="AA166" s="32" t="str">
        <f>IFERROR(__xludf.DUMMYFUNCTION("""COMPUTED_VALUE"""),"Septiembre a Diciembre 2025")</f>
        <v>Septiembre a Diciembre 2025</v>
      </c>
      <c r="AB166" s="150" t="str">
        <f>IFERROR(__xludf.DUMMYFUNCTION("""COMPUTED_VALUE"""),"Ejecución del Control: Durante el tercer cuatrimestre de la vigencia 2025, se realizaron tres (3) auditorias correspondientes a los procesos  Docencia, Gestión del Talento Humano -SST / (Contratación Hora Catedra) y Aseguramiento de la Calidad Institucion"&amp;"a (antes Gestión de la Calidad), cuyos resultados se registraron en el documento 4. Plan Anual de Auditoria 2025 Versión 4, el cual se anexa como evidencia, conforme al plan anual de auditorias vigente, incluyendo el enlace donde pueden ser consultados lo"&amp;"s informes de cada una de las auditorias realizadas. Con lo anterior se alcanza el 100% de cumplimiento del plan de auditorias establecidad para la vigencia 2025 con relación a las auditorias internas de tercera línea.
Acción asociada al Tratamiento: Con"&amp;" relación a la acción asociada al tratamiento,  la Oficina de Control Interno verificó con antelación la información pertinente al plan anual de auditorias registrandose las actualización pertientes, se anexa última actualización mediante versión 4.
Mate"&amp;"rialización del riesgo: Como resultado de los controles ejectudados, se evitó la materialización del riesgo.")</f>
        <v>Ejecución del Control: Durante el tercer cuatrimestre de la vigencia 2025, se realizaron tres (3) auditorias correspondientes a los procesos  Docencia, Gestión del Talento Humano -SST / (Contratación Hora Catedra) y Aseguramiento de la Calidad Instituciona (antes Gestión de la Calidad), cuyos resultados se registraron en el documento 4. Plan Anual de Auditoria 2025 Versión 4, el cual se anexa como evidencia, conforme al plan anual de auditorias vigente, incluyendo el enlace donde pueden ser consultados los informes de cada una de las auditorias realizadas. Con lo anterior se alcanza el 100% de cumplimiento del plan de auditorias establecidad para la vigencia 2025 con relación a las auditorias internas de tercera línea.
Acción asociada al Tratamiento: Con relación a la acción asociada al tratamiento,  la Oficina de Control Interno verificó con antelación la información pertinente al plan anual de auditorias registrandose las actualización pertientes, se anexa última actualización mediante versión 4.
Materialización del riesgo: Como resultado de los controles ejectudados, se evitó la materialización del riesgo.</v>
      </c>
      <c r="AC166" s="152" t="str">
        <f>IFERROR(__xludf.DUMMYFUNCTION("""COMPUTED_VALUE"""),"Asesor de control interno")</f>
        <v>Asesor de control interno</v>
      </c>
      <c r="AD166" s="153" t="str">
        <f>IFERROR(__xludf.DUMMYFUNCTION("""COMPUTED_VALUE"""),"Evidencia")</f>
        <v>Evidencia</v>
      </c>
      <c r="AE166" s="150" t="str">
        <f>IFERROR(__xludf.DUMMYFUNCTION("""COMPUTED_VALUE"""),"Si")</f>
        <v>Si</v>
      </c>
      <c r="AF166" s="152" t="str">
        <f>IFERROR(__xludf.DUMMYFUNCTION("""COMPUTED_VALUE"""),"Ejecutada")</f>
        <v>Ejecutada</v>
      </c>
      <c r="AG166" s="32" t="str">
        <f>IFERROR(__xludf.DUMMYFUNCTION("""COMPUTED_VALUE"""),"-Durante el tercer cuatrimestre de 2025 se ejecutaron tres auditorías internas correspondientes a los procesos de Docencia, Gestión del Talento Humano – SST / Contratación Hora Cátedra y Aseguramiento de la Calidad Institucional.
-Los resultados se encue"&amp;"ntran registrados en el documento “Plan Anual de Auditoría 2025 – Versión 4”, aportado como evidencia, junto con el enlace para consultar los informes completos de cada auditoría. Con ello, se alcanza el 100% de cumplimiento del plan en lo referente a aud"&amp;"itorías internas de tercera línea.
-La Oficina de Control Interno realizó la verificación y actualización previa del Plan Anual de Auditorías, lo cual se refleja en la versión presentada y asegura trazabilidad y seguimiento adecuado.                     "&amp;"                                                                                                                                                                                                                                                               "&amp;" -Se recomienda mantener el esquema actual de registro y actualización oportuna del Plan Anual de Auditorías, dado que ha demostrado ser eficaz y facilita la verificación futura del proceso.")</f>
        <v>-Durante el tercer cuatrimestre de 2025 se ejecutaron tres auditorías internas correspondientes a los procesos de Docencia, Gestión del Talento Humano – SST / Contratación Hora Cátedra y Aseguramiento de la Calidad Institucional.
-Los resultados se encuentran registrados en el documento “Plan Anual de Auditoría 2025 – Versión 4”, aportado como evidencia, junto con el enlace para consultar los informes completos de cada auditoría. Con ello, se alcanza el 100% de cumplimiento del plan en lo referente a auditorías internas de tercera línea.
-La Oficina de Control Interno realizó la verificación y actualización previa del Plan Anual de Auditorías, lo cual se refleja en la versión presentada y asegura trazabilidad y seguimiento adecuado.                                                                                                                                                                                                                                                                                     -Se recomienda mantener el esquema actual de registro y actualización oportuna del Plan Anual de Auditorías, dado que ha demostrado ser eficaz y facilita la verificación futura del proceso.</v>
      </c>
      <c r="AH166" s="150" t="str">
        <f>IFERROR(__xludf.DUMMYFUNCTION("""COMPUTED_VALUE"""),"31 de diciembre")</f>
        <v>31 de diciembre</v>
      </c>
      <c r="AI166" s="32" t="str">
        <f>IFERROR(__xludf.DUMMYFUNCTION("""COMPUTED_VALUE"""),"Si")</f>
        <v>Si</v>
      </c>
      <c r="AJ166" s="32" t="str">
        <f>IFERROR(__xludf.DUMMYFUNCTION("""COMPUTED_VALUE"""),"Si")</f>
        <v>Si</v>
      </c>
      <c r="AK166" s="32" t="str">
        <f>IFERROR(__xludf.DUMMYFUNCTION("""COMPUTED_VALUE"""),"Si")</f>
        <v>Si</v>
      </c>
      <c r="AL166" s="32" t="str">
        <f>IFERROR(__xludf.DUMMYFUNCTION("""COMPUTED_VALUE"""),"Si")</f>
        <v>Si</v>
      </c>
      <c r="AM166" s="32" t="str">
        <f>IFERROR(__xludf.DUMMYFUNCTION("""COMPUTED_VALUE"""),"Si")</f>
        <v>Si</v>
      </c>
      <c r="AN166" s="32" t="str">
        <f>IFERROR(__xludf.DUMMYFUNCTION("""COMPUTED_VALUE"""),"Si")</f>
        <v>Si</v>
      </c>
      <c r="AO166" s="32" t="str">
        <f>IFERROR(__xludf.DUMMYFUNCTION("""COMPUTED_VALUE"""),"Si")</f>
        <v>Si</v>
      </c>
      <c r="AP166" s="32" t="str">
        <f>IFERROR(__xludf.DUMMYFUNCTION("""COMPUTED_VALUE"""),"No")</f>
        <v>No</v>
      </c>
      <c r="AQ166" s="32" t="str">
        <f>IFERROR(__xludf.DUMMYFUNCTION("""COMPUTED_VALUE"""),"No aplica")</f>
        <v>No aplica</v>
      </c>
      <c r="AR166" s="32" t="str">
        <f>IFERROR(__xludf.DUMMYFUNCTION("""COMPUTED_VALUE"""),"No aplica")</f>
        <v>No aplica</v>
      </c>
      <c r="AS166" s="150" t="str">
        <f>IFERROR(__xludf.DUMMYFUNCTION("""COMPUTED_VALUE"""),"Ninguna")</f>
        <v>Ninguna</v>
      </c>
      <c r="AT166" s="139"/>
    </row>
    <row r="167">
      <c r="A167" s="86"/>
      <c r="B167" s="140" t="s">
        <v>234</v>
      </c>
      <c r="C167" s="141" t="str">
        <f>IFERROR(__xludf.DUMMYFUNCTION("IMPORTRANGE(""https://docs.google.com/spreadsheets/d/1BU5nZz9s_XpJvtVsNCVkg15rQonyeipdaFLq7uwhYfg/edit?gid=717266735#gid=717266735"",""Matriz_riesgos!C11:AS13"")"),"Fortalcer y garantizar las condiciones de calidad institucionales y de los programas académicos, con miras al aseguramiento de la calidad académica. ")</f>
        <v>Fortalcer y garantizar las condiciones de calidad institucionales y de los programas académicos, con miras al aseguramiento de la calidad académica. </v>
      </c>
      <c r="D167" s="144" t="str">
        <f>IFERROR(__xludf.DUMMYFUNCTION("""COMPUTED_VALUE"""),"Afectación económica y reputacional, por la pérdida de las condiciones de calidad Institucionales o de los Programas Académicos, debido al incumplimiento de requisitos del decreto 1330 de 2019, las resoluciones 021795 de 2020 (Condiciones de Programas) y "&amp;"015224 de 2020 (Condiciones Institucionaleso)  y el Acuerdo 002 de 2020 CESU (Acreditación de alta calidad de programas e institución), o la normatividad que haga sus veces.")</f>
        <v>Afectación económica y reputacional, por la pérdida de las condiciones de calidad Institucionales o de los Programas Académicos, debido al incumplimiento de requisitos del decreto 1330 de 2019, las resoluciones 021795 de 2020 (Condiciones de Programas) y 015224 de 2020 (Condiciones Institucionaleso)  y el Acuerdo 002 de 2020 CESU (Acreditación de alta calidad de programas e institución), o la normatividad que haga sus veces.</v>
      </c>
      <c r="E167" s="144" t="str">
        <f>IFERROR(__xludf.DUMMYFUNCTION("""COMPUTED_VALUE"""),"Secretaría técnica de Acreditación")</f>
        <v>Secretaría técnica de Acreditación</v>
      </c>
      <c r="F167" s="144" t="str">
        <f>IFERROR(__xludf.DUMMYFUNCTION("""COMPUTED_VALUE"""),"Gestión")</f>
        <v>Gestión</v>
      </c>
      <c r="G167" s="144" t="str">
        <f>IFERROR(__xludf.DUMMYFUNCTION("""COMPUTED_VALUE"""),"- Ineficiencia en la aplicación de los controles por parte de los Consejos de Facultad y de la Alta Dirección a los tiempos y responsabilidades que tienen los Docentes-GAP y Líderes de cada proceso, frente al cumplimiento de los productos requeridos en el"&amp;" ejercicio del aseguramiento de la calidad Institucional y de programas
- Insuficiente asignación de recursos para el desarrollo académico de los programas e institución y para la ejecución de los planes de mejoramiento derivados de los procesos de autoev"&amp;"aluación. 
- Desarticulación de las dinamicas de la Universidad para atender los requerimientos exigidos por MEN y realizar las solicitudes de Registros Calificados y procesos de Acreditación")</f>
        <v>- Ineficiencia en la aplicación de los controles por parte de los Consejos de Facultad y de la Alta Dirección a los tiempos y responsabilidades que tienen los Docentes-GAP y Líderes de cada proceso, frente al cumplimiento de los productos requeridos en el ejercicio del aseguramiento de la calidad Institucional y de programas
- Insuficiente asignación de recursos para el desarrollo académico de los programas e institución y para la ejecución de los planes de mejoramiento derivados de los procesos de autoevaluación. 
- Desarticulación de las dinamicas de la Universidad para atender los requerimientos exigidos por MEN y realizar las solicitudes de Registros Calificados y procesos de Acreditación</v>
      </c>
      <c r="H167" s="144" t="str">
        <f>IFERROR(__xludf.DUMMYFUNCTION("""COMPUTED_VALUE"""),"1. Negación de los Registros calificados.
2. Detrimento patrimonial por descarga de tiempos docentes y contratación adicional
3. Sanciones por parte del MEN
4. Afectación a la imagen y credibilidad institucional
5. Incumplimiento de los indicadores instit"&amp;"ucionales
6. Perdidas de las Acreditaciones de Alta Calidad de  los programas e Institucion")</f>
        <v>1. Negación de los Registros calificados.
2. Detrimento patrimonial por descarga de tiempos docentes y contratación adicional
3. Sanciones por parte del MEN
4. Afectación a la imagen y credibilidad institucional
5. Incumplimiento de los indicadores institucionales
6. Perdidas de las Acreditaciones de Alta Calidad de  los programas e Institucion</v>
      </c>
      <c r="I167" s="145" t="str">
        <f>IFERROR(__xludf.DUMMYFUNCTION("""COMPUTED_VALUE"""),"AEI_01")</f>
        <v>AEI_01</v>
      </c>
      <c r="J167" s="145" t="str">
        <f>IFERROR(__xludf.DUMMYFUNCTION("""COMPUTED_VALUE"""),"Baja")</f>
        <v>Baja</v>
      </c>
      <c r="K167" s="145" t="str">
        <f>IFERROR(__xludf.DUMMYFUNCTION("""COMPUTED_VALUE"""),"Catastrófico")</f>
        <v>Catastrófico</v>
      </c>
      <c r="L167" s="145" t="str">
        <f>IFERROR(__xludf.DUMMYFUNCTION("""COMPUTED_VALUE"""),"Extrema")</f>
        <v>Extrema</v>
      </c>
      <c r="M167" s="144" t="str">
        <f>IFERROR(__xludf.DUMMYFUNCTION("""COMPUTED_VALUE"""),"- El Consejo Académico, emite la Resolución de Tiempos a los docentes de los programas para el desarrollo de las actividades de los procesos de registro calificado y acreditación.
- La AAA presenta informes periódicos ante el Comité Institucional de Acred"&amp;"itación y la Alta dirección de la institución
- La AAA elabora cronograma de trabajo con base del Plan Institucional de Aseguramiento de la Calidad Académica -PIACA - La AAA y el programa académico presentan recurso de reposición ante el MEN, en respuesta"&amp;" a la negación del RC. Y para la negación de la  Acreditación se presenta solicitud de reconsideración. - Proyección de recursos en ficha BPUNI para atender el desarrollo  de los procesos de aseguramiento de la calidad")</f>
        <v>- El Consejo Académico, emite la Resolución de Tiempos a los docentes de los programas para el desarrollo de las actividades de los procesos de registro calificado y acreditación.
- La AAA presenta informes periódicos ante el Comité Institucional de Acreditación y la Alta dirección de la institución
- La AAA elabora cronograma de trabajo con base del Plan Institucional de Aseguramiento de la Calidad Académica -PIACA - La AAA y el programa académico presentan recurso de reposición ante el MEN, en respuesta a la negación del RC. Y para la negación de la  Acreditación se presenta solicitud de reconsideración. - Proyección de recursos en ficha BPUNI para atender el desarrollo  de los procesos de aseguramiento de la calidad</v>
      </c>
      <c r="N167" s="145" t="str">
        <f>IFERROR(__xludf.DUMMYFUNCTION("""COMPUTED_VALUE"""),"Muy baja")</f>
        <v>Muy baja</v>
      </c>
      <c r="O167" s="145" t="str">
        <f>IFERROR(__xludf.DUMMYFUNCTION("""COMPUTED_VALUE"""),"Moderado")</f>
        <v>Moderado</v>
      </c>
      <c r="P167" s="145" t="str">
        <f>IFERROR(__xludf.DUMMYFUNCTION("""COMPUTED_VALUE"""),"Media")</f>
        <v>Media</v>
      </c>
      <c r="Q167" s="178" t="str">
        <f>IFERROR(__xludf.DUMMYFUNCTION("""COMPUTED_VALUE"""),"Reducir")</f>
        <v>Reducir</v>
      </c>
      <c r="R167" s="158" t="str">
        <f>IFERROR(__xludf.DUMMYFUNCTION("""COMPUTED_VALUE"""),"Implementar y mantener el Modelo Institucional de Autoevaluación")</f>
        <v>Implementar y mantener el Modelo Institucional de Autoevaluación</v>
      </c>
      <c r="S167" s="159">
        <f>IFERROR(__xludf.DUMMYFUNCTION("""COMPUTED_VALUE"""),46006.0)</f>
        <v>46006</v>
      </c>
      <c r="T167" s="159" t="str">
        <f>IFERROR(__xludf.DUMMYFUNCTION("""COMPUTED_VALUE"""),"AAA")</f>
        <v>AAA</v>
      </c>
      <c r="U167" s="159" t="str">
        <f>IFERROR(__xludf.DUMMYFUNCTION("""COMPUTED_VALUE"""),"Resolución Académica de tiempos, actas del Comité de Autoevaluación y  Acreditación Institucional. ")</f>
        <v>Resolución Académica de tiempos, actas del Comité de Autoevaluación y  Acreditación Institucional. </v>
      </c>
      <c r="V167" s="167" t="str">
        <f>IFERROR(__xludf.DUMMYFUNCTION("""COMPUTED_VALUE"""),"Medias de contigencia de acuerdo a las observaciones realizadas por el MEN y generar alertas a las directivas de la Universidad ")</f>
        <v>Medias de contigencia de acuerdo a las observaciones realizadas por el MEN y generar alertas a las directivas de la Universidad </v>
      </c>
      <c r="W167" s="167" t="str">
        <f>IFERROR(__xludf.DUMMYFUNCTION("""COMPUTED_VALUE"""),"Informes, actas, memorandos, planes de acción, mejoramiento y contingencia.")</f>
        <v>Informes, actas, memorandos, planes de acción, mejoramiento y contingencia.</v>
      </c>
      <c r="X167" s="169" t="str">
        <f>IFERROR(__xludf.DUMMYFUNCTION("""COMPUTED_VALUE"""),"AAA")</f>
        <v>AAA</v>
      </c>
      <c r="Y167" s="169" t="str">
        <f>IFERROR(__xludf.DUMMYFUNCTION("""COMPUTED_VALUE"""),"30 días")</f>
        <v>30 días</v>
      </c>
      <c r="Z167" s="150" t="str">
        <f>IFERROR(__xludf.DUMMYFUNCTION("""COMPUTED_VALUE"""),"30 de abril")</f>
        <v>30 de abril</v>
      </c>
      <c r="AA167" s="32" t="str">
        <f>IFERROR(__xludf.DUMMYFUNCTION("""COMPUTED_VALUE"""),"19 de noviembre de 2024
12 de diciembre de 2024
4 de marzo de 2025
 febrero 26 de 2025 - marzo 29 - abril 23 
")</f>
        <v>19 de noviembre de 2024
12 de diciembre de 2024
4 de marzo de 2025
 febrero 26 de 2025 - marzo 29 - abril 23 
</v>
      </c>
      <c r="AB167" s="150" t="str">
        <f>IFERROR(__xludf.DUMMYFUNCTION("""COMPUTED_VALUE"""),"
Durante este primer monitoreo NO se materializó el riesgo:
Acciones de tratamiento:
Mediante Resolución Académica 104 del 19 de noviembre de 2024, ""... se definen los tiempos para Gurpos de Autoevaluación con fines de Renovación de Registro Calificad"&amp;"o y de Acreditación en Alta Calidad de los programas académicos para el primer período académico de 2025"".  Esta resolución académica fue modificada por las resoluciones académicas 116 de diciembre 12 de 2025 y 024 del 4 de marzo de 2025.
En el Comité d"&amp;"e Autoevaluación y Acreditación Institucional, sesiones de febrero 26 de 2025 (Acta 01), de marzo 29 (acta 03) y de abril 23 (acta 04), se presentó informe del estado de los procesos de Aseguramiento de la Calidad que adelantan los programas académicos 20"&amp;"25 I, y seguimiento al Plan de Renovación de la Acreditación Institucional (Plan de Mejoramiento Institucional, Sensibilización, Compromisos Diagnóstico Institucional, etc.).
Los procesos de Aseguramiento de la Calidad (Registro Calificado de programas a"&amp;"cadémicos  y su renovación  - acreditación en Alta Calidad y su renovación - Acreditación Institucional), se agendan a la luz del Plan Insittucional de Aseguramiento de la Calidad Académica -PIACA, el cual tiene en cuenta las vigencias de los registros ca"&amp;"lificados y de alta calidad, y la normativa nacional e institucional.
Para el normal desarrollo durante 2025, de los procesos de Aseguramieneto de la Calidad Académica de programas e institucional, se ha proyectado el presupuesto necesario, en el Proyect"&amp;"o de Inversión VIAC 05 0310 2024 FORTALECIMIENTO DE LOS PROCESOS DE ASEGURAMIENTO DE LA CALIDAD ACADEMICA DE LA UNIVERSIDAD DE LOS LLANOS.
Sobre los controles:
Durante 2024 II se realizó la evaluación al Modelo Institucional de Autoevaluación -MIAA, con"&amp;" cuyos resultados se generó la propuesta de actualización del Modelo, la cual se envió al Consejo Académico para su socialización y aprobación.")</f>
        <v>
Durante este primer monitoreo NO se materializó el riesgo:
Acciones de tratamiento:
Mediante Resolución Académica 104 del 19 de noviembre de 2024, "... se definen los tiempos para Gurpos de Autoevaluación con fines de Renovación de Registro Calificado y de Acreditación en Alta Calidad de los programas académicos para el primer período académico de 2025".  Esta resolución académica fue modificada por las resoluciones académicas 116 de diciembre 12 de 2025 y 024 del 4 de marzo de 2025.
En el Comité de Autoevaluación y Acreditación Institucional, sesiones de febrero 26 de 2025 (Acta 01), de marzo 29 (acta 03) y de abril 23 (acta 04), se presentó informe del estado de los procesos de Aseguramiento de la Calidad que adelantan los programas académicos 2025 I, y seguimiento al Plan de Renovación de la Acreditación Institucional (Plan de Mejoramiento Institucional, Sensibilización, Compromisos Diagnóstico Institucional, etc.).
Los procesos de Aseguramiento de la Calidad (Registro Calificado de programas académicos  y su renovación  - acreditación en Alta Calidad y su renovación - Acreditación Institucional), se agendan a la luz del Plan Insittucional de Aseguramiento de la Calidad Académica -PIACA, el cual tiene en cuenta las vigencias de los registros calificados y de alta calidad, y la normativa nacional e institucional.
Para el normal desarrollo durante 2025, de los procesos de Aseguramieneto de la Calidad Académica de programas e institucional, se ha proyectado el presupuesto necesario, en el Proyecto de Inversión VIAC 05 0310 2024 FORTALECIMIENTO DE LOS PROCESOS DE ASEGURAMIENTO DE LA CALIDAD ACADEMICA DE LA UNIVERSIDAD DE LOS LLANOS.
Sobre los controles:
Durante 2024 II se realizó la evaluación al Modelo Institucional de Autoevaluación -MIAA, con cuyos resultados se generó la propuesta de actualización del Modelo, la cual se envió al Consejo Académico para su socialización y aprobación.</v>
      </c>
      <c r="AC167" s="152" t="str">
        <f>IFERROR(__xludf.DUMMYFUNCTION("""COMPUTED_VALUE"""),"secretaria tecnica de acreditación")</f>
        <v>secretaria tecnica de acreditación</v>
      </c>
      <c r="AD167" s="153" t="str">
        <f>IFERROR(__xludf.DUMMYFUNCTION("""COMPUTED_VALUE"""),"Evidencia")</f>
        <v>Evidencia</v>
      </c>
      <c r="AE167" s="150" t="str">
        <f>IFERROR(__xludf.DUMMYFUNCTION("""COMPUTED_VALUE"""),"Si")</f>
        <v>Si</v>
      </c>
      <c r="AF167" s="150" t="str">
        <f>IFERROR(__xludf.DUMMYFUNCTION("""COMPUTED_VALUE"""),"En proceso")</f>
        <v>En proceso</v>
      </c>
      <c r="AG167" s="32" t="str">
        <f>IFERROR(__xludf.DUMMYFUNCTION("""COMPUTED_VALUE"""),"1. Materialización del riesgo:
Durante el primer periodo de monitoreo NO se materializó el riesgo relacionado con fallas en los procesos de aseguramiento de la calidad académica (como renovación de registros calificados o acreditaciones).
2. Controles im"&amp;"plementados:
Se destaca como control principal la evaluación del Modelo Institucional de Autoevaluación (MIAA) durante el segundo semestre de 2024. Los resultados permitieron generar una propuesta de actualización del modelo, la cual fue remitida al Conse"&amp;"jo Académico para su socialización y posterior aprobación. Este control refuerza el marco institucional para la gestión de la calidad.
3. Acciones asociadas al tratamiento del riesgo:
Se expidió la Resolución Académica 104 de noviembre de 2024 (y sus mod"&amp;"ificaciones: 116 de diciembre y 024 de marzo) que define los tiempos para grupos de autoevaluación en el primer semestre de 2025.
En varias sesiones del Comité de Autoevaluación y Acreditación Institucional (febrero, marzo y abril de 2025), se presentó s"&amp;"eguimiento a los procesos académicos y al plan de renovación de la acreditación institucional.
Se aseguró la planeación con base en el PIACA, teniendo en cuenta normativa y vigencias.
Además, se respaldó la ejecución con recursos asignados en el proyect"&amp;"o de inversión VIAC 05 0310 2024, asegurando sostenibilidad operativa del proceso.
se recomienda continuar con el reporte oportuno de los controles y acciones de tratamiento en los proximos monitoreos. ")</f>
        <v>1. Materialización del riesgo:
Durante el primer periodo de monitoreo NO se materializó el riesgo relacionado con fallas en los procesos de aseguramiento de la calidad académica (como renovación de registros calificados o acreditaciones).
2. Controles implementados:
Se destaca como control principal la evaluación del Modelo Institucional de Autoevaluación (MIAA) durante el segundo semestre de 2024. Los resultados permitieron generar una propuesta de actualización del modelo, la cual fue remitida al Consejo Académico para su socialización y posterior aprobación. Este control refuerza el marco institucional para la gestión de la calidad.
3. Acciones asociadas al tratamiento del riesgo:
Se expidió la Resolución Académica 104 de noviembre de 2024 (y sus modificaciones: 116 de diciembre y 024 de marzo) que define los tiempos para grupos de autoevaluación en el primer semestre de 2025.
En varias sesiones del Comité de Autoevaluación y Acreditación Institucional (febrero, marzo y abril de 2025), se presentó seguimiento a los procesos académicos y al plan de renovación de la acreditación institucional.
Se aseguró la planeación con base en el PIACA, teniendo en cuenta normativa y vigencias.
Además, se respaldó la ejecución con recursos asignados en el proyecto de inversión VIAC 05 0310 2024, asegurando sostenibilidad operativa del proceso.
se recomienda continuar con el reporte oportuno de los controles y acciones de tratamiento en los proximos monitoreos. </v>
      </c>
      <c r="AH167" s="150" t="str">
        <f>IFERROR(__xludf.DUMMYFUNCTION("""COMPUTED_VALUE"""),"30 de abril")</f>
        <v>30 de abril</v>
      </c>
      <c r="AI167" s="32" t="str">
        <f>IFERROR(__xludf.DUMMYFUNCTION("""COMPUTED_VALUE"""),"Si")</f>
        <v>Si</v>
      </c>
      <c r="AJ167" s="32" t="str">
        <f>IFERROR(__xludf.DUMMYFUNCTION("""COMPUTED_VALUE"""),"Si")</f>
        <v>Si</v>
      </c>
      <c r="AK167" s="32" t="str">
        <f>IFERROR(__xludf.DUMMYFUNCTION("""COMPUTED_VALUE"""),"Si")</f>
        <v>Si</v>
      </c>
      <c r="AL167" s="32" t="str">
        <f>IFERROR(__xludf.DUMMYFUNCTION("""COMPUTED_VALUE"""),"Si")</f>
        <v>Si</v>
      </c>
      <c r="AM167" s="32" t="str">
        <f>IFERROR(__xludf.DUMMYFUNCTION("""COMPUTED_VALUE"""),"Si")</f>
        <v>Si</v>
      </c>
      <c r="AN167" s="32" t="str">
        <f>IFERROR(__xludf.DUMMYFUNCTION("""COMPUTED_VALUE"""),"Si")</f>
        <v>Si</v>
      </c>
      <c r="AO167" s="32" t="str">
        <f>IFERROR(__xludf.DUMMYFUNCTION("""COMPUTED_VALUE"""),"Si")</f>
        <v>Si</v>
      </c>
      <c r="AP167" s="32" t="str">
        <f>IFERROR(__xludf.DUMMYFUNCTION("""COMPUTED_VALUE"""),"No aplica")</f>
        <v>No aplica</v>
      </c>
      <c r="AQ167" s="32" t="str">
        <f>IFERROR(__xludf.DUMMYFUNCTION("""COMPUTED_VALUE"""),"No aplica")</f>
        <v>No aplica</v>
      </c>
      <c r="AR167" s="32" t="str">
        <f>IFERROR(__xludf.DUMMYFUNCTION("""COMPUTED_VALUE"""),"No aplica")</f>
        <v>No aplica</v>
      </c>
      <c r="AS167" s="150" t="str">
        <f>IFERROR(__xludf.DUMMYFUNCTION("""COMPUTED_VALUE"""),"Recomendaciòn: reevaluar la priorizaciòn de las causas de manera que permita establecer la causa raiz. En el present caso 2 causas fueron calificadas con el mismo puntaje.")</f>
        <v>Recomendaciòn: reevaluar la priorizaciòn de las causas de manera que permita establecer la causa raiz. En el present caso 2 causas fueron calificadas con el mismo puntaje.</v>
      </c>
      <c r="AT167" s="139"/>
    </row>
    <row r="168">
      <c r="A168" s="86"/>
      <c r="B168" s="73"/>
      <c r="C168" s="73"/>
      <c r="D168" s="156"/>
      <c r="E168" s="156"/>
      <c r="F168" s="156"/>
      <c r="G168" s="156"/>
      <c r="H168" s="156"/>
      <c r="I168" s="156"/>
      <c r="J168" s="156"/>
      <c r="K168" s="156"/>
      <c r="L168" s="156"/>
      <c r="M168" s="156"/>
      <c r="N168" s="156"/>
      <c r="O168" s="156"/>
      <c r="P168" s="156"/>
      <c r="Q168" s="157"/>
      <c r="R168" s="158" t="str">
        <f>IFERROR(__xludf.DUMMYFUNCTION("""COMPUTED_VALUE"""),"")</f>
        <v/>
      </c>
      <c r="S168" s="159" t="str">
        <f>IFERROR(__xludf.DUMMYFUNCTION("""COMPUTED_VALUE"""),"")</f>
        <v/>
      </c>
      <c r="T168" s="170"/>
      <c r="U168" s="170"/>
      <c r="V168" s="94"/>
      <c r="W168" s="94"/>
      <c r="X168" s="94"/>
      <c r="Y168" s="94"/>
      <c r="Z168" s="150" t="str">
        <f>IFERROR(__xludf.DUMMYFUNCTION("""COMPUTED_VALUE"""),"30 de agosto")</f>
        <v>30 de agosto</v>
      </c>
      <c r="AA168" s="32" t="str">
        <f>IFERROR(__xludf.DUMMYFUNCTION("""COMPUTED_VALUE"""),"20.05.2025 - 15.07.2025
28,05,2025 - 23.07.2025 - 27.08.2025
19.08.2025
13.05.2025")</f>
        <v>20.05.2025 - 15.07.2025
28,05,2025 - 23.07.2025 - 27.08.2025
19.08.2025
13.05.2025</v>
      </c>
      <c r="AB168" s="150" t="str">
        <f>IFERROR(__xludf.DUMMYFUNCTION("""COMPUTED_VALUE"""),"Durante este monitoreo NO se materializó el riesgo:
Acciones de tratamiento:
Mediante Resolución Académica 055 del 20 de mayo de 2025, ""... se definen los tiempos para Gurpos de Autoevaluación con fines de Renovación de Registro Calificado y de Acredit"&amp;"ación en Alta Calidad de los programas académicos para el segundo  período académico de 2025"".  Esta resolución académica fue modificada por la resolución académicas 072 de julio 15 de 2025.
En el Comité de Autoevaluación y Acreditación Institucional, s"&amp;"esiones de mayo 28 de 2025 (Acta 05), de julio 23 (acta 08) y de agosto 27 (acta 010), se presentó informe del estado de los procesos de Aseguramiento de la Calidad que adelantan los programas académicos en 2025, y seguimiento al Plan de Renovación de la "&amp;"Acreditación Institucional (Plan de Mejoramiento Institucional, Sensibilización, Compromisos Diagnóstico Institucional, etc.).
Los procesos de Aseguramiento de la Calidad (Registro Calificado de programas académicos  y su renovación  - acreditación en Al"&amp;"ta Calidad y su renovación - Acreditación Institucional), se agendan a la luz del Plan Insittucional de Aseguramiento de la Calidad Académica -PIACA, el cual tiene en cuenta las vigencias de los registros calificados y de alta calidad, y la normativa naci"&amp;"onal e institucional.
Para el normal desarrollo durante 2025, de los procesos de Aseguramieneto de la Calidad Académica de programas e institucional, se ha proyectado el presupuesto necesario, en el Proyecto de Inversión VIAC 05 0310 2024 FORTALECIMIENTO"&amp;" DE LOS PROCESOS DE ASEGURAMIENTO DE LA CALIDAD ACADEMICA DE LA UNIVERSIDAD DE LOS LLANOS.
Sobre los controles:
Durante 2024 II se realizó la evaluación al Modelo Institucional de Autoevaluación -MIAA, con cuyos resultados se generó la propuesta de actu"&amp;"alización del Modelo, la cual fue aprobada por el Consejo Académico mediante Acuerdo Académico 009 de 2025.")</f>
        <v>Durante este monitoreo NO se materializó el riesgo:
Acciones de tratamiento:
Mediante Resolución Académica 055 del 20 de mayo de 2025, "... se definen los tiempos para Gurpos de Autoevaluación con fines de Renovación de Registro Calificado y de Acreditación en Alta Calidad de los programas académicos para el segundo  período académico de 2025".  Esta resolución académica fue modificada por la resolución académicas 072 de julio 15 de 2025.
En el Comité de Autoevaluación y Acreditación Institucional, sesiones de mayo 28 de 2025 (Acta 05), de julio 23 (acta 08) y de agosto 27 (acta 010), se presentó informe del estado de los procesos de Aseguramiento de la Calidad que adelantan los programas académicos en 2025, y seguimiento al Plan de Renovación de la Acreditación Institucional (Plan de Mejoramiento Institucional, Sensibilización, Compromisos Diagnóstico Institucional, etc.).
Los procesos de Aseguramiento de la Calidad (Registro Calificado de programas académicos  y su renovación  - acreditación en Alta Calidad y su renovación - Acreditación Institucional), se agendan a la luz del Plan Insittucional de Aseguramiento de la Calidad Académica -PIACA, el cual tiene en cuenta las vigencias de los registros calificados y de alta calidad, y la normativa nacional e institucional.
Para el normal desarrollo durante 2025, de los procesos de Aseguramieneto de la Calidad Académica de programas e institucional, se ha proyectado el presupuesto necesario, en el Proyecto de Inversión VIAC 05 0310 2024 FORTALECIMIENTO DE LOS PROCESOS DE ASEGURAMIENTO DE LA CALIDAD ACADEMICA DE LA UNIVERSIDAD DE LOS LLANOS.
Sobre los controles:
Durante 2024 II se realizó la evaluación al Modelo Institucional de Autoevaluación -MIAA, con cuyos resultados se generó la propuesta de actualización del Modelo, la cual fue aprobada por el Consejo Académico mediante Acuerdo Académico 009 de 2025.</v>
      </c>
      <c r="AC168" s="152" t="str">
        <f>IFERROR(__xludf.DUMMYFUNCTION("""COMPUTED_VALUE"""),"Secretaria Tecnica de Acreditación")</f>
        <v>Secretaria Tecnica de Acreditación</v>
      </c>
      <c r="AD168" s="153" t="str">
        <f>IFERROR(__xludf.DUMMYFUNCTION("""COMPUTED_VALUE"""),"Evidencia")</f>
        <v>Evidencia</v>
      </c>
      <c r="AE168" s="150" t="str">
        <f>IFERROR(__xludf.DUMMYFUNCTION("""COMPUTED_VALUE"""),"Si")</f>
        <v>Si</v>
      </c>
      <c r="AF168" s="152" t="str">
        <f>IFERROR(__xludf.DUMMYFUNCTION("""COMPUTED_VALUE"""),"En proceso")</f>
        <v>En proceso</v>
      </c>
      <c r="AG168" s="32" t="str">
        <f>IFERROR(__xludf.DUMMYFUNCTION("""COMPUTED_VALUE"""),"Durante este monitoreo verifiqué que NO se materializó el riesgo.
Controles aplicados:
Se evidenció que en el segundo período académico de 2024 se realizó la evaluación al Modelo Institucional de Autoevaluación – MIAA.
Con base en dichos resultados, se"&amp;" elaboró una propuesta de actualización del Modelo, la cual fue aprobada por el Consejo Académico mediante Acuerdo Académico 009 de 2025.
Este ajuste al modelo constituyó un control clave, al fortalecer la consistencia y pertinencia de los procesos de au"&amp;"toevaluación académica e institucional.
Acciones de tratamiento:
Se verificó la expedición de la Resolución Académica 055 del 20 de mayo de 2025, por la cual se definieron los tiempos para los Grupos de Autoevaluación con fines de renovación de registro"&amp;" calificado y acreditación en alta calidad.
Se constató que esta resolución fue modificada mediante la Resolución Académica 072 del 15 de julio de 2025, lo que evidenció gestión y ajuste oportuno.
En el Comité de Autoevaluación y Acreditación Institucio"&amp;"nal, sesiones del 28 de mayo (Acta 05), 23 de julio (Acta 08) y 27 de agosto (Acta 010), se presentaron informes del estado de los procesos de aseguramiento de la calidad de programas académicos y se hizo seguimiento al Plan de Renovación de la Acreditaci"&amp;"ón Institucional.
Se evidenció que los procesos de aseguramiento de la calidad (registros calificados, acreditaciones de programas e institucional) se encontraban articulados al Plan Institucional de Aseguramiento de la Calidad Académica – PIACA, en cohe"&amp;"rencia con las vigencias y la normativa nacional e institucional.
Finalmente, se verificó que para garantizar el normal desarrollo de estos procesos en 2025, se proyectó el presupuesto correspondiente en el Proyecto de Inversión VIAC 05 0310 2024: Fortal"&amp;"ecimiento de los Procesos de Aseguramiento de la Calidad Académica.
Con la revisión efectuada se evidenció que los controles y acciones aplicados fueron efectivos para fortalecer los procesos de autoevaluación institucional, garantizar su articulación c"&amp;"on la normativa vigente y asegurar la disponibilidad de recursos, evitando así la materialización del riesgo.")</f>
        <v>Durante este monitoreo verifiqué que NO se materializó el riesgo.
Controles aplicados:
Se evidenció que en el segundo período académico de 2024 se realizó la evaluación al Modelo Institucional de Autoevaluación – MIAA.
Con base en dichos resultados, se elaboró una propuesta de actualización del Modelo, la cual fue aprobada por el Consejo Académico mediante Acuerdo Académico 009 de 2025.
Este ajuste al modelo constituyó un control clave, al fortalecer la consistencia y pertinencia de los procesos de autoevaluación académica e institucional.
Acciones de tratamiento:
Se verificó la expedición de la Resolución Académica 055 del 20 de mayo de 2025, por la cual se definieron los tiempos para los Grupos de Autoevaluación con fines de renovación de registro calificado y acreditación en alta calidad.
Se constató que esta resolución fue modificada mediante la Resolución Académica 072 del 15 de julio de 2025, lo que evidenció gestión y ajuste oportuno.
En el Comité de Autoevaluación y Acreditación Institucional, sesiones del 28 de mayo (Acta 05), 23 de julio (Acta 08) y 27 de agosto (Acta 010), se presentaron informes del estado de los procesos de aseguramiento de la calidad de programas académicos y se hizo seguimiento al Plan de Renovación de la Acreditación Institucional.
Se evidenció que los procesos de aseguramiento de la calidad (registros calificados, acreditaciones de programas e institucional) se encontraban articulados al Plan Institucional de Aseguramiento de la Calidad Académica – PIACA, en coherencia con las vigencias y la normativa nacional e institucional.
Finalmente, se verificó que para garantizar el normal desarrollo de estos procesos en 2025, se proyectó el presupuesto correspondiente en el Proyecto de Inversión VIAC 05 0310 2024: Fortalecimiento de los Procesos de Aseguramiento de la Calidad Académica.
Con la revisión efectuada se evidenció que los controles y acciones aplicados fueron efectivos para fortalecer los procesos de autoevaluación institucional, garantizar su articulación con la normativa vigente y asegurar la disponibilidad de recursos, evitando así la materialización del riesgo.</v>
      </c>
      <c r="AH168" s="150" t="str">
        <f>IFERROR(__xludf.DUMMYFUNCTION("""COMPUTED_VALUE"""),"31 de agosto")</f>
        <v>31 de agosto</v>
      </c>
      <c r="AI168" s="32" t="str">
        <f>IFERROR(__xludf.DUMMYFUNCTION("""COMPUTED_VALUE"""),"Si")</f>
        <v>Si</v>
      </c>
      <c r="AJ168" s="32" t="str">
        <f>IFERROR(__xludf.DUMMYFUNCTION("""COMPUTED_VALUE"""),"Si")</f>
        <v>Si</v>
      </c>
      <c r="AK168" s="32" t="str">
        <f>IFERROR(__xludf.DUMMYFUNCTION("""COMPUTED_VALUE"""),"Si")</f>
        <v>Si</v>
      </c>
      <c r="AL168" s="32" t="str">
        <f>IFERROR(__xludf.DUMMYFUNCTION("""COMPUTED_VALUE"""),"Si")</f>
        <v>Si</v>
      </c>
      <c r="AM168" s="32" t="str">
        <f>IFERROR(__xludf.DUMMYFUNCTION("""COMPUTED_VALUE"""),"Si")</f>
        <v>Si</v>
      </c>
      <c r="AN168" s="32" t="str">
        <f>IFERROR(__xludf.DUMMYFUNCTION("""COMPUTED_VALUE"""),"Si")</f>
        <v>Si</v>
      </c>
      <c r="AO168" s="32" t="str">
        <f>IFERROR(__xludf.DUMMYFUNCTION("""COMPUTED_VALUE"""),"Si")</f>
        <v>Si</v>
      </c>
      <c r="AP168" s="32" t="str">
        <f>IFERROR(__xludf.DUMMYFUNCTION("""COMPUTED_VALUE"""),"No aplica")</f>
        <v>No aplica</v>
      </c>
      <c r="AQ168" s="32" t="str">
        <f>IFERROR(__xludf.DUMMYFUNCTION("""COMPUTED_VALUE"""),"No aplica")</f>
        <v>No aplica</v>
      </c>
      <c r="AR168" s="32" t="str">
        <f>IFERROR(__xludf.DUMMYFUNCTION("""COMPUTED_VALUE"""),"No aplica")</f>
        <v>No aplica</v>
      </c>
      <c r="AS168" s="150" t="str">
        <f>IFERROR(__xludf.DUMMYFUNCTION("""COMPUTED_VALUE"""),"Se reitera recomendación generada en la evaluación dle primer cuatrimestre: reevaluar la priorizaciòn de las causas de manera que permita establecer la causa raiz. En el present caso 2 causas fueron calificadas con el mismo puntaje.")</f>
        <v>Se reitera recomendación generada en la evaluación dle primer cuatrimestre: reevaluar la priorizaciòn de las causas de manera que permita establecer la causa raiz. En el present caso 2 causas fueron calificadas con el mismo puntaje.</v>
      </c>
      <c r="AT168" s="139"/>
    </row>
    <row r="169">
      <c r="A169" s="86"/>
      <c r="B169" s="38"/>
      <c r="C169" s="38"/>
      <c r="D169" s="119"/>
      <c r="E169" s="119"/>
      <c r="F169" s="119"/>
      <c r="G169" s="119"/>
      <c r="H169" s="119"/>
      <c r="I169" s="119"/>
      <c r="J169" s="119"/>
      <c r="K169" s="119"/>
      <c r="L169" s="119"/>
      <c r="M169" s="119"/>
      <c r="N169" s="119"/>
      <c r="O169" s="119"/>
      <c r="P169" s="119"/>
      <c r="Q169" s="162"/>
      <c r="R169" s="163" t="str">
        <f>IFERROR(__xludf.DUMMYFUNCTION("""COMPUTED_VALUE"""),"")</f>
        <v/>
      </c>
      <c r="S169" s="164" t="str">
        <f>IFERROR(__xludf.DUMMYFUNCTION("""COMPUTED_VALUE"""),"")</f>
        <v/>
      </c>
      <c r="T169" s="176"/>
      <c r="U169" s="176"/>
      <c r="V169" s="98"/>
      <c r="W169" s="98"/>
      <c r="X169" s="98"/>
      <c r="Y169" s="98"/>
      <c r="Z169" s="150" t="str">
        <f>IFERROR(__xludf.DUMMYFUNCTION("""COMPUTED_VALUE"""),"30 de diciembre")</f>
        <v>30 de diciembre</v>
      </c>
      <c r="AA169" s="32" t="str">
        <f>IFERROR(__xludf.DUMMYFUNCTION("""COMPUTED_VALUE"""),"
Mayo 20 de 2025
Julio 15 de 2025
Septiembre 29 de 2025
Octubre 29 de 2025
Noviembre 26 de 2025
Septiembre 17 de 2025
Octubre 17 de 2025
Noviembre 26 de 2025
")</f>
        <v>
Mayo 20 de 2025
Julio 15 de 2025
Septiembre 29 de 2025
Octubre 29 de 2025
Noviembre 26 de 2025
Septiembre 17 de 2025
Octubre 17 de 2025
Noviembre 26 de 2025
</v>
      </c>
      <c r="AB169" s="150" t="str">
        <f>IFERROR(__xludf.DUMMYFUNCTION("""COMPUTED_VALUE"""),"Durante este monitoreo NO se materializó el riesgo:Acciones de tratamiento:
Mediante Resolución Académica 055 del 20 de mayo de 2025, ""... se definen los tiempos para Gurpos de Autoevaluación con fines de Renovación de Registro Calificado y de Acreditac"&amp;"ión en Alta Calidad de los programas académicos para el segundo  período académico de 2025"".  Esta resolución académica fue modificada por la resolución académicas 072 de julio 15 de 2025.
En el Comité de Autoevaluación y Acreditación Institucional, ses"&amp;"iones de deptiembre 29 de 2025 (Acta 011), de octubre 29 (acta 013), y de 26 de noviembre de 2025 (acta 014), se presentó informe del estado de los procesos de Aseguramiento de la Calidad que adelantan los programas académicos en 2025, y seguimiento al Pl"&amp;"an de Renovación de la Acreditación Institucional (Plan de Mejoramiento Institucional, Sensibilización, Compromisos Diagnóstico Institucional, etc.).
Los procesos de Aseguramiento de la Calidad (Registro Calificado de programas académicos  y su renovació"&amp;"n  - acreditación en Alta Calidad y su renovación - Acreditación Institucional), se agendan a la luz del Plan Insittucional de Aseguramiento de la Calidad Académica -PIACA, el cual tiene en cuenta las vigencias de los registros calificados y de alta calid"&amp;"ad, y la normativa nacional e institucional.
Para el normal desarrollo durante 2025, de los procesos de Aseguramieneto de la Calidad Académica de programas e institucional, se ha proyectado el presupuesto necesario, en el Proyecto de Inversión VIAC 05 03"&amp;"10 2024 FORTALECIMIENTO DE LOS PROCESOS DE ASEGURAMIENTO DE LA CALIDAD ACADEMICA DE LA UNIVERSIDAD DE LOS LLANOS.
Sobre los controles:
Atendiendo disposiciones del Modelo Institucional de Autoevaluación y Autorregulación, (Acuerdo Académico 009 de 2025)"&amp;", se ajustó el Plan Institucional de Aseguramiento de la Calidad Académica -PIACA. ")</f>
        <v>Durante este monitoreo NO se materializó el riesgo:Acciones de tratamiento:
Mediante Resolución Académica 055 del 20 de mayo de 2025, "... se definen los tiempos para Gurpos de Autoevaluación con fines de Renovación de Registro Calificado y de Acreditación en Alta Calidad de los programas académicos para el segundo  período académico de 2025".  Esta resolución académica fue modificada por la resolución académicas 072 de julio 15 de 2025.
En el Comité de Autoevaluación y Acreditación Institucional, sesiones de deptiembre 29 de 2025 (Acta 011), de octubre 29 (acta 013), y de 26 de noviembre de 2025 (acta 014), se presentó informe del estado de los procesos de Aseguramiento de la Calidad que adelantan los programas académicos en 2025, y seguimiento al Plan de Renovación de la Acreditación Institucional (Plan de Mejoramiento Institucional, Sensibilización, Compromisos Diagnóstico Institucional, etc.).
Los procesos de Aseguramiento de la Calidad (Registro Calificado de programas académicos  y su renovación  - acreditación en Alta Calidad y su renovación - Acreditación Institucional), se agendan a la luz del Plan Insittucional de Aseguramiento de la Calidad Académica -PIACA, el cual tiene en cuenta las vigencias de los registros calificados y de alta calidad, y la normativa nacional e institucional.
Para el normal desarrollo durante 2025, de los procesos de Aseguramieneto de la Calidad Académica de programas e institucional, se ha proyectado el presupuesto necesario, en el Proyecto de Inversión VIAC 05 0310 2024 FORTALECIMIENTO DE LOS PROCESOS DE ASEGURAMIENTO DE LA CALIDAD ACADEMICA DE LA UNIVERSIDAD DE LOS LLANOS.
Sobre los controles:
Atendiendo disposiciones del Modelo Institucional de Autoevaluación y Autorregulación, (Acuerdo Académico 009 de 2025), se ajustó el Plan Institucional de Aseguramiento de la Calidad Académica -PIACA. </v>
      </c>
      <c r="AC169" s="152" t="str">
        <f>IFERROR(__xludf.DUMMYFUNCTION("""COMPUTED_VALUE"""),"Secretaria Técnica de Acreditación")</f>
        <v>Secretaria Técnica de Acreditación</v>
      </c>
      <c r="AD169" s="153" t="str">
        <f>IFERROR(__xludf.DUMMYFUNCTION("""COMPUTED_VALUE"""),"Evidencia")</f>
        <v>Evidencia</v>
      </c>
      <c r="AE169" s="150" t="str">
        <f>IFERROR(__xludf.DUMMYFUNCTION("""COMPUTED_VALUE"""),"Si")</f>
        <v>Si</v>
      </c>
      <c r="AF169" s="152" t="str">
        <f>IFERROR(__xludf.DUMMYFUNCTION("""COMPUTED_VALUE"""),"En proceso")</f>
        <v>En proceso</v>
      </c>
      <c r="AG169" s="32" t="str">
        <f>IFERROR(__xludf.DUMMYFUNCTION("""COMPUTED_VALUE"""),"- Durante este primer monitoreo NO se materializó el riesgo                                                                                                                                                                        -Actualización de tiempos pa"&amp;"ra procesos de autoevaluación y acreditación:
Se verificó la expedición de la Resolución Académica 055 del 20 de mayo de 2025 y su modificación mediante la Resolución Académica 072 del 15 de julio de 2025. Ambas resoluciones se encuentran anexas como evid"&amp;"encia, lo que permite confirmar la actualización del cronograma institucional para el periodo 2025-II.
-Se reportó la presentación del estado de avance en el Comité de Autoevaluación y Acreditación Institucional en las sesiones del 29 de septiembre de 20"&amp;"25 (Acta 011), 29 de octubre de 2025 (Acta 013) y 26 de noviembre de 2025 (Acta 014).
Sin embargo, las actas de estas sesiones no se encuentran anexas, lo que impide verificar formalmente los reportes mencionados.
-Los procesos de registro calificado, re"&amp;"novación, acreditación y acreditación institucional continúan articulándose con el Plan Institucional de Aseguramiento de la Calidad Académica – PIACA, conforme a las vigencias y lineamientos normativos.
-Para el desarrollo de los procesos de aseguramien"&amp;"to de la calidad durante 2025, se evidenció la inclusión de recursos en el Proyecto de Inversión VIAC 05 0310 2024 – Fortalecimiento de los Procesos de Aseguramiento de la Calidad Académica, garantizando disponibilidad financiera.
-En cumplimiento del Mo"&amp;"delo Institucional de Autoevaluación y Autorregulación (Acuerdo Académico 009 de 2025), se reporta la actualización del PIACA. Esta actualización no se encontró dentro de la evidencia adjunta.                                                               "&amp;"                                                                                             -No se encuentran anexas las actas 011, 013 y 014 del Comité de Autoevaluación y Acreditación Institucional.
-No se adjunta la versión actualizada del PIACA refer"&amp;"enciada en el reporte.                                                                                                                                       -Se sugiere complementar  las evidencias con las actas del Comité y con el documento actualizado d"&amp;"el PIACA, de modo que se refleje de manera integral el trabajo adelantado y se facilite un seguimiento más completo en los próximos monitoreos.")</f>
        <v>- Durante este primer monitoreo NO se materializó el riesgo                                                                                                                                                                        -Actualización de tiempos para procesos de autoevaluación y acreditación:
Se verificó la expedición de la Resolución Académica 055 del 20 de mayo de 2025 y su modificación mediante la Resolución Académica 072 del 15 de julio de 2025. Ambas resoluciones se encuentran anexas como evidencia, lo que permite confirmar la actualización del cronograma institucional para el periodo 2025-II.
-Se reportó la presentación del estado de avance en el Comité de Autoevaluación y Acreditación Institucional en las sesiones del 29 de septiembre de 2025 (Acta 011), 29 de octubre de 2025 (Acta 013) y 26 de noviembre de 2025 (Acta 014).
Sin embargo, las actas de estas sesiones no se encuentran anexas, lo que impide verificar formalmente los reportes mencionados.
-Los procesos de registro calificado, renovación, acreditación y acreditación institucional continúan articulándose con el Plan Institucional de Aseguramiento de la Calidad Académica – PIACA, conforme a las vigencias y lineamientos normativos.
-Para el desarrollo de los procesos de aseguramiento de la calidad durante 2025, se evidenció la inclusión de recursos en el Proyecto de Inversión VIAC 05 0310 2024 – Fortalecimiento de los Procesos de Aseguramiento de la Calidad Académica, garantizando disponibilidad financiera.
-En cumplimiento del Modelo Institucional de Autoevaluación y Autorregulación (Acuerdo Académico 009 de 2025), se reporta la actualización del PIACA. Esta actualización no se encontró dentro de la evidencia adjunta.                                                                                                                                                            -No se encuentran anexas las actas 011, 013 y 014 del Comité de Autoevaluación y Acreditación Institucional.
-No se adjunta la versión actualizada del PIACA referenciada en el reporte.                                                                                                                                       -Se sugiere complementar  las evidencias con las actas del Comité y con el documento actualizado del PIACA, de modo que se refleje de manera integral el trabajo adelantado y se facilite un seguimiento más completo en los próximos monitoreos.</v>
      </c>
      <c r="AH169" s="150" t="str">
        <f>IFERROR(__xludf.DUMMYFUNCTION("""COMPUTED_VALUE"""),"31 de diciembre")</f>
        <v>31 de diciembre</v>
      </c>
      <c r="AI169" s="32" t="str">
        <f>IFERROR(__xludf.DUMMYFUNCTION("""COMPUTED_VALUE"""),"Si")</f>
        <v>Si</v>
      </c>
      <c r="AJ169" s="32" t="str">
        <f>IFERROR(__xludf.DUMMYFUNCTION("""COMPUTED_VALUE"""),"Si")</f>
        <v>Si</v>
      </c>
      <c r="AK169" s="32" t="str">
        <f>IFERROR(__xludf.DUMMYFUNCTION("""COMPUTED_VALUE"""),"Si")</f>
        <v>Si</v>
      </c>
      <c r="AL169" s="32" t="str">
        <f>IFERROR(__xludf.DUMMYFUNCTION("""COMPUTED_VALUE"""),"Si")</f>
        <v>Si</v>
      </c>
      <c r="AM169" s="32" t="str">
        <f>IFERROR(__xludf.DUMMYFUNCTION("""COMPUTED_VALUE"""),"Si")</f>
        <v>Si</v>
      </c>
      <c r="AN169" s="32" t="str">
        <f>IFERROR(__xludf.DUMMYFUNCTION("""COMPUTED_VALUE"""),"Si")</f>
        <v>Si</v>
      </c>
      <c r="AO169" s="32" t="str">
        <f>IFERROR(__xludf.DUMMYFUNCTION("""COMPUTED_VALUE"""),"Si")</f>
        <v>Si</v>
      </c>
      <c r="AP169" s="32" t="str">
        <f>IFERROR(__xludf.DUMMYFUNCTION("""COMPUTED_VALUE"""),"No aplica")</f>
        <v>No aplica</v>
      </c>
      <c r="AQ169" s="32" t="str">
        <f>IFERROR(__xludf.DUMMYFUNCTION("""COMPUTED_VALUE"""),"No aplica")</f>
        <v>No aplica</v>
      </c>
      <c r="AR169" s="32" t="str">
        <f>IFERROR(__xludf.DUMMYFUNCTION("""COMPUTED_VALUE"""),"No aplica")</f>
        <v>No aplica</v>
      </c>
      <c r="AS169" s="150" t="str">
        <f>IFERROR(__xludf.DUMMYFUNCTION("""COMPUTED_VALUE"""),"Recomendaciòn: reevaluar la priorizaciòn de las causas de manera que permita establecer la causa raiz. En el present caso 2 causas fueron calificadas con el mismo puntaje.")</f>
        <v>Recomendaciòn: reevaluar la priorizaciòn de las causas de manera que permita establecer la causa raiz. En el present caso 2 causas fueron calificadas con el mismo puntaje.</v>
      </c>
      <c r="AT169" s="139"/>
    </row>
    <row r="170" ht="6.0" customHeight="1">
      <c r="A170" s="86"/>
      <c r="B170" s="87"/>
      <c r="C170" s="87"/>
      <c r="D170" s="86"/>
      <c r="E170" s="86"/>
      <c r="F170" s="86"/>
      <c r="G170" s="86"/>
      <c r="H170" s="86"/>
      <c r="I170" s="86"/>
      <c r="J170" s="86"/>
      <c r="K170" s="86"/>
      <c r="L170" s="86"/>
      <c r="M170" s="88"/>
      <c r="N170" s="86"/>
      <c r="O170" s="86"/>
      <c r="P170" s="86"/>
      <c r="Q170" s="86"/>
      <c r="R170" s="86"/>
      <c r="S170" s="34"/>
      <c r="T170" s="34"/>
      <c r="U170" s="34"/>
      <c r="V170" s="86"/>
      <c r="W170" s="86"/>
      <c r="X170" s="86"/>
      <c r="Y170" s="86"/>
      <c r="Z170" s="86"/>
      <c r="AA170" s="86"/>
      <c r="AB170" s="86"/>
      <c r="AC170" s="88"/>
      <c r="AD170" s="34"/>
      <c r="AE170" s="86"/>
      <c r="AF170" s="86"/>
      <c r="AG170" s="86"/>
      <c r="AH170" s="88"/>
      <c r="AI170" s="34"/>
      <c r="AJ170" s="34"/>
      <c r="AK170" s="34"/>
      <c r="AL170" s="34"/>
      <c r="AM170" s="34"/>
      <c r="AN170" s="34"/>
      <c r="AO170" s="34"/>
      <c r="AP170" s="34"/>
      <c r="AQ170" s="34"/>
      <c r="AR170" s="34"/>
      <c r="AS170" s="86"/>
      <c r="AT170" s="86"/>
    </row>
  </sheetData>
  <mergeCells count="1051">
    <mergeCell ref="B122:B127"/>
    <mergeCell ref="B128:B136"/>
    <mergeCell ref="C128:C136"/>
    <mergeCell ref="D134:D136"/>
    <mergeCell ref="E134:E136"/>
    <mergeCell ref="F134:F136"/>
    <mergeCell ref="G134:G136"/>
    <mergeCell ref="O134:O136"/>
    <mergeCell ref="P134:P136"/>
    <mergeCell ref="Q134:Q136"/>
    <mergeCell ref="H134:H136"/>
    <mergeCell ref="I134:I136"/>
    <mergeCell ref="J134:J136"/>
    <mergeCell ref="K134:K136"/>
    <mergeCell ref="L134:L136"/>
    <mergeCell ref="M134:M136"/>
    <mergeCell ref="N134:N136"/>
    <mergeCell ref="C101:C115"/>
    <mergeCell ref="D113:D115"/>
    <mergeCell ref="B116:B121"/>
    <mergeCell ref="C116:C121"/>
    <mergeCell ref="D116:D118"/>
    <mergeCell ref="C122:C127"/>
    <mergeCell ref="D125:D127"/>
    <mergeCell ref="P137:P139"/>
    <mergeCell ref="Q137:Q139"/>
    <mergeCell ref="I137:I139"/>
    <mergeCell ref="J137:J139"/>
    <mergeCell ref="K137:K139"/>
    <mergeCell ref="L137:L139"/>
    <mergeCell ref="M137:M139"/>
    <mergeCell ref="N137:N139"/>
    <mergeCell ref="O137:O139"/>
    <mergeCell ref="N140:N142"/>
    <mergeCell ref="O140:O142"/>
    <mergeCell ref="P140:P142"/>
    <mergeCell ref="Q140:Q142"/>
    <mergeCell ref="D140:D142"/>
    <mergeCell ref="E140:E142"/>
    <mergeCell ref="I140:I142"/>
    <mergeCell ref="J140:J142"/>
    <mergeCell ref="K140:K142"/>
    <mergeCell ref="L140:L142"/>
    <mergeCell ref="M140:M142"/>
    <mergeCell ref="F140:F142"/>
    <mergeCell ref="G140:G142"/>
    <mergeCell ref="D137:D139"/>
    <mergeCell ref="D143:D145"/>
    <mergeCell ref="E143:E145"/>
    <mergeCell ref="F143:F145"/>
    <mergeCell ref="N143:N145"/>
    <mergeCell ref="O143:O145"/>
    <mergeCell ref="P143:P145"/>
    <mergeCell ref="Q143:Q145"/>
    <mergeCell ref="P146:P148"/>
    <mergeCell ref="Q146:Q148"/>
    <mergeCell ref="G143:G145"/>
    <mergeCell ref="H143:H145"/>
    <mergeCell ref="I143:I145"/>
    <mergeCell ref="J143:J145"/>
    <mergeCell ref="K143:K145"/>
    <mergeCell ref="L143:L145"/>
    <mergeCell ref="M143:M145"/>
    <mergeCell ref="D146:D148"/>
    <mergeCell ref="E146:E148"/>
    <mergeCell ref="B137:B148"/>
    <mergeCell ref="C137:C148"/>
    <mergeCell ref="E137:E139"/>
    <mergeCell ref="F137:F139"/>
    <mergeCell ref="G137:G139"/>
    <mergeCell ref="H137:H139"/>
    <mergeCell ref="H140:H142"/>
    <mergeCell ref="H146:H148"/>
    <mergeCell ref="N146:N148"/>
    <mergeCell ref="O146:O148"/>
    <mergeCell ref="F146:F148"/>
    <mergeCell ref="G146:G148"/>
    <mergeCell ref="I146:I148"/>
    <mergeCell ref="J146:J148"/>
    <mergeCell ref="K146:K148"/>
    <mergeCell ref="L146:L148"/>
    <mergeCell ref="M146:M148"/>
    <mergeCell ref="P149:P151"/>
    <mergeCell ref="Q149:Q151"/>
    <mergeCell ref="I149:I151"/>
    <mergeCell ref="J149:J151"/>
    <mergeCell ref="K149:K151"/>
    <mergeCell ref="L149:L151"/>
    <mergeCell ref="M149:M151"/>
    <mergeCell ref="N149:N151"/>
    <mergeCell ref="O149:O151"/>
    <mergeCell ref="D152:D154"/>
    <mergeCell ref="E152:E154"/>
    <mergeCell ref="N152:N154"/>
    <mergeCell ref="O152:O154"/>
    <mergeCell ref="P152:P154"/>
    <mergeCell ref="Q152:Q154"/>
    <mergeCell ref="F152:F154"/>
    <mergeCell ref="G152:G154"/>
    <mergeCell ref="I152:I154"/>
    <mergeCell ref="J152:J154"/>
    <mergeCell ref="K152:K154"/>
    <mergeCell ref="L152:L154"/>
    <mergeCell ref="M152:M154"/>
    <mergeCell ref="D149:D151"/>
    <mergeCell ref="D155:D157"/>
    <mergeCell ref="E155:E157"/>
    <mergeCell ref="F155:F157"/>
    <mergeCell ref="N155:N157"/>
    <mergeCell ref="O155:O157"/>
    <mergeCell ref="P155:P157"/>
    <mergeCell ref="Q155:Q157"/>
    <mergeCell ref="G155:G157"/>
    <mergeCell ref="H155:H157"/>
    <mergeCell ref="I155:I157"/>
    <mergeCell ref="J155:J157"/>
    <mergeCell ref="K155:K157"/>
    <mergeCell ref="L155:L157"/>
    <mergeCell ref="M155:M157"/>
    <mergeCell ref="D158:D160"/>
    <mergeCell ref="E158:E160"/>
    <mergeCell ref="N158:N160"/>
    <mergeCell ref="O158:O160"/>
    <mergeCell ref="P158:P160"/>
    <mergeCell ref="Q158:Q160"/>
    <mergeCell ref="F158:F160"/>
    <mergeCell ref="G158:G160"/>
    <mergeCell ref="I158:I160"/>
    <mergeCell ref="J158:J160"/>
    <mergeCell ref="K158:K160"/>
    <mergeCell ref="L158:L160"/>
    <mergeCell ref="M158:M160"/>
    <mergeCell ref="P167:P169"/>
    <mergeCell ref="Q167:Q169"/>
    <mergeCell ref="I167:I169"/>
    <mergeCell ref="J167:J169"/>
    <mergeCell ref="K167:K169"/>
    <mergeCell ref="L167:L169"/>
    <mergeCell ref="M167:M169"/>
    <mergeCell ref="N167:N169"/>
    <mergeCell ref="O167:O169"/>
    <mergeCell ref="E161:E163"/>
    <mergeCell ref="F161:F163"/>
    <mergeCell ref="N161:N163"/>
    <mergeCell ref="O161:O163"/>
    <mergeCell ref="P161:P163"/>
    <mergeCell ref="Q161:Q163"/>
    <mergeCell ref="G161:G163"/>
    <mergeCell ref="H161:H163"/>
    <mergeCell ref="I161:I163"/>
    <mergeCell ref="J161:J163"/>
    <mergeCell ref="K161:K163"/>
    <mergeCell ref="L161:L163"/>
    <mergeCell ref="M161:M163"/>
    <mergeCell ref="E164:E166"/>
    <mergeCell ref="F164:F166"/>
    <mergeCell ref="N164:N166"/>
    <mergeCell ref="O164:O166"/>
    <mergeCell ref="P164:P166"/>
    <mergeCell ref="Q164:Q166"/>
    <mergeCell ref="G164:G166"/>
    <mergeCell ref="H164:H166"/>
    <mergeCell ref="I164:I166"/>
    <mergeCell ref="J164:J166"/>
    <mergeCell ref="K164:K166"/>
    <mergeCell ref="L164:L166"/>
    <mergeCell ref="M164:M166"/>
    <mergeCell ref="B167:B169"/>
    <mergeCell ref="C167:C169"/>
    <mergeCell ref="D167:D169"/>
    <mergeCell ref="E167:E169"/>
    <mergeCell ref="F167:F169"/>
    <mergeCell ref="G167:G169"/>
    <mergeCell ref="H167:H169"/>
    <mergeCell ref="D11:D13"/>
    <mergeCell ref="D17:D19"/>
    <mergeCell ref="J20:J22"/>
    <mergeCell ref="K20:K22"/>
    <mergeCell ref="M20:M22"/>
    <mergeCell ref="N20:N22"/>
    <mergeCell ref="O20:O22"/>
    <mergeCell ref="P20:P22"/>
    <mergeCell ref="Q20:Q22"/>
    <mergeCell ref="K9:K10"/>
    <mergeCell ref="L9:L10"/>
    <mergeCell ref="B11:B22"/>
    <mergeCell ref="C11:C22"/>
    <mergeCell ref="E11:E13"/>
    <mergeCell ref="F11:F13"/>
    <mergeCell ref="L14:L16"/>
    <mergeCell ref="L20:L22"/>
    <mergeCell ref="M23:M25"/>
    <mergeCell ref="N23:N25"/>
    <mergeCell ref="O23:O25"/>
    <mergeCell ref="P23:P25"/>
    <mergeCell ref="Q23:Q25"/>
    <mergeCell ref="H20:H22"/>
    <mergeCell ref="I20:I22"/>
    <mergeCell ref="H23:H25"/>
    <mergeCell ref="I23:I25"/>
    <mergeCell ref="J23:J25"/>
    <mergeCell ref="K23:K25"/>
    <mergeCell ref="L23:L25"/>
    <mergeCell ref="B23:B28"/>
    <mergeCell ref="B29:B31"/>
    <mergeCell ref="J29:J31"/>
    <mergeCell ref="K29:K31"/>
    <mergeCell ref="L29:L31"/>
    <mergeCell ref="M29:M31"/>
    <mergeCell ref="N29:N31"/>
    <mergeCell ref="O29:O31"/>
    <mergeCell ref="P29:P31"/>
    <mergeCell ref="Q29:Q31"/>
    <mergeCell ref="C29:C31"/>
    <mergeCell ref="D29:D31"/>
    <mergeCell ref="E29:E31"/>
    <mergeCell ref="F29:F31"/>
    <mergeCell ref="G29:G31"/>
    <mergeCell ref="H29:H31"/>
    <mergeCell ref="I29:I31"/>
    <mergeCell ref="N41:N43"/>
    <mergeCell ref="O41:O43"/>
    <mergeCell ref="G41:G43"/>
    <mergeCell ref="H41:H43"/>
    <mergeCell ref="I41:I43"/>
    <mergeCell ref="J41:J43"/>
    <mergeCell ref="K41:K43"/>
    <mergeCell ref="L41:L43"/>
    <mergeCell ref="M41:M43"/>
    <mergeCell ref="L44:L46"/>
    <mergeCell ref="M44:M46"/>
    <mergeCell ref="D44:D46"/>
    <mergeCell ref="E44:E46"/>
    <mergeCell ref="G44:G46"/>
    <mergeCell ref="H44:H46"/>
    <mergeCell ref="I44:I46"/>
    <mergeCell ref="J44:J46"/>
    <mergeCell ref="K44:K46"/>
    <mergeCell ref="F20:F22"/>
    <mergeCell ref="G20:G22"/>
    <mergeCell ref="F23:F25"/>
    <mergeCell ref="G23:G25"/>
    <mergeCell ref="F26:F28"/>
    <mergeCell ref="G26:G28"/>
    <mergeCell ref="H26:H28"/>
    <mergeCell ref="D20:D22"/>
    <mergeCell ref="E20:E22"/>
    <mergeCell ref="C23:C28"/>
    <mergeCell ref="D23:D25"/>
    <mergeCell ref="E23:E25"/>
    <mergeCell ref="D26:D28"/>
    <mergeCell ref="E26:E28"/>
    <mergeCell ref="P32:P34"/>
    <mergeCell ref="Q32:Q34"/>
    <mergeCell ref="P41:P43"/>
    <mergeCell ref="Q41:Q43"/>
    <mergeCell ref="I32:I34"/>
    <mergeCell ref="J32:J34"/>
    <mergeCell ref="K32:K34"/>
    <mergeCell ref="L32:L34"/>
    <mergeCell ref="M32:M34"/>
    <mergeCell ref="N32:N34"/>
    <mergeCell ref="O32:O34"/>
    <mergeCell ref="N35:N37"/>
    <mergeCell ref="O35:O37"/>
    <mergeCell ref="P35:P37"/>
    <mergeCell ref="Q35:Q37"/>
    <mergeCell ref="N44:N46"/>
    <mergeCell ref="O44:O46"/>
    <mergeCell ref="P44:P46"/>
    <mergeCell ref="Q44:Q46"/>
    <mergeCell ref="F35:F37"/>
    <mergeCell ref="G35:G37"/>
    <mergeCell ref="I35:I37"/>
    <mergeCell ref="J35:J37"/>
    <mergeCell ref="K35:K37"/>
    <mergeCell ref="L35:L37"/>
    <mergeCell ref="M35:M37"/>
    <mergeCell ref="L47:L49"/>
    <mergeCell ref="M47:M49"/>
    <mergeCell ref="N47:N49"/>
    <mergeCell ref="O47:O49"/>
    <mergeCell ref="P47:P49"/>
    <mergeCell ref="Q47:Q49"/>
    <mergeCell ref="E47:E49"/>
    <mergeCell ref="F47:F49"/>
    <mergeCell ref="G47:G49"/>
    <mergeCell ref="H47:H49"/>
    <mergeCell ref="I47:I49"/>
    <mergeCell ref="J47:J49"/>
    <mergeCell ref="K47:K49"/>
    <mergeCell ref="P56:P58"/>
    <mergeCell ref="Q56:Q58"/>
    <mergeCell ref="I56:I58"/>
    <mergeCell ref="J56:J58"/>
    <mergeCell ref="K56:K58"/>
    <mergeCell ref="L56:L58"/>
    <mergeCell ref="M56:M58"/>
    <mergeCell ref="N56:N58"/>
    <mergeCell ref="O56:O58"/>
    <mergeCell ref="D41:D43"/>
    <mergeCell ref="D47:D49"/>
    <mergeCell ref="L50:L52"/>
    <mergeCell ref="M50:M52"/>
    <mergeCell ref="N50:N52"/>
    <mergeCell ref="O50:O52"/>
    <mergeCell ref="P50:P52"/>
    <mergeCell ref="Q50:Q52"/>
    <mergeCell ref="D50:D52"/>
    <mergeCell ref="E50:E52"/>
    <mergeCell ref="G50:G52"/>
    <mergeCell ref="H50:H52"/>
    <mergeCell ref="I50:I52"/>
    <mergeCell ref="J50:J52"/>
    <mergeCell ref="K50:K52"/>
    <mergeCell ref="J53:J55"/>
    <mergeCell ref="K53:K55"/>
    <mergeCell ref="L53:L55"/>
    <mergeCell ref="M53:M55"/>
    <mergeCell ref="N53:N55"/>
    <mergeCell ref="O53:O55"/>
    <mergeCell ref="P53:P55"/>
    <mergeCell ref="Q53:Q55"/>
    <mergeCell ref="F50:F52"/>
    <mergeCell ref="D53:D55"/>
    <mergeCell ref="E53:E55"/>
    <mergeCell ref="F53:F55"/>
    <mergeCell ref="G53:G55"/>
    <mergeCell ref="H53:H55"/>
    <mergeCell ref="I53:I55"/>
    <mergeCell ref="D35:D37"/>
    <mergeCell ref="E35:E37"/>
    <mergeCell ref="B41:B55"/>
    <mergeCell ref="C41:C55"/>
    <mergeCell ref="E41:E43"/>
    <mergeCell ref="F41:F43"/>
    <mergeCell ref="F44:F46"/>
    <mergeCell ref="N59:N61"/>
    <mergeCell ref="O59:O61"/>
    <mergeCell ref="P59:P61"/>
    <mergeCell ref="Q59:Q61"/>
    <mergeCell ref="D59:D61"/>
    <mergeCell ref="E59:E61"/>
    <mergeCell ref="I59:I61"/>
    <mergeCell ref="J59:J61"/>
    <mergeCell ref="K59:K61"/>
    <mergeCell ref="L59:L61"/>
    <mergeCell ref="M59:M61"/>
    <mergeCell ref="C149:C166"/>
    <mergeCell ref="D161:D163"/>
    <mergeCell ref="D164:D166"/>
    <mergeCell ref="B149:B166"/>
    <mergeCell ref="E149:E151"/>
    <mergeCell ref="F149:F151"/>
    <mergeCell ref="G149:G151"/>
    <mergeCell ref="H149:H151"/>
    <mergeCell ref="H152:H154"/>
    <mergeCell ref="H158:H160"/>
    <mergeCell ref="AC9:AC10"/>
    <mergeCell ref="AD9:AD10"/>
    <mergeCell ref="V9:V10"/>
    <mergeCell ref="W9:W10"/>
    <mergeCell ref="X9:X10"/>
    <mergeCell ref="Y9:Y10"/>
    <mergeCell ref="Z9:Z10"/>
    <mergeCell ref="AA9:AA10"/>
    <mergeCell ref="AB9:AB10"/>
    <mergeCell ref="V11:V13"/>
    <mergeCell ref="W11:W13"/>
    <mergeCell ref="X11:X13"/>
    <mergeCell ref="Y11:Y13"/>
    <mergeCell ref="W14:W16"/>
    <mergeCell ref="X14:X16"/>
    <mergeCell ref="Y14:Y16"/>
    <mergeCell ref="X20:X22"/>
    <mergeCell ref="Y20:Y22"/>
    <mergeCell ref="V23:V25"/>
    <mergeCell ref="W23:W25"/>
    <mergeCell ref="X23:X25"/>
    <mergeCell ref="Y23:Y25"/>
    <mergeCell ref="V14:V16"/>
    <mergeCell ref="V17:V19"/>
    <mergeCell ref="W17:W19"/>
    <mergeCell ref="X17:X19"/>
    <mergeCell ref="Y17:Y19"/>
    <mergeCell ref="V20:V22"/>
    <mergeCell ref="W20:W22"/>
    <mergeCell ref="AO9:AO10"/>
    <mergeCell ref="AP9:AP10"/>
    <mergeCell ref="AH9:AH10"/>
    <mergeCell ref="AI9:AI10"/>
    <mergeCell ref="AJ9:AJ10"/>
    <mergeCell ref="AK9:AK10"/>
    <mergeCell ref="AL9:AL10"/>
    <mergeCell ref="AM9:AM10"/>
    <mergeCell ref="AN9:AN10"/>
    <mergeCell ref="B2:C4"/>
    <mergeCell ref="D2:AS2"/>
    <mergeCell ref="D3:AS3"/>
    <mergeCell ref="K4:M4"/>
    <mergeCell ref="N4:AH4"/>
    <mergeCell ref="AI4:AS4"/>
    <mergeCell ref="B5:AS5"/>
    <mergeCell ref="Q8:U8"/>
    <mergeCell ref="V8:Y8"/>
    <mergeCell ref="C9:C10"/>
    <mergeCell ref="D9:D10"/>
    <mergeCell ref="E9:E10"/>
    <mergeCell ref="F9:F10"/>
    <mergeCell ref="G9:G10"/>
    <mergeCell ref="H9:H10"/>
    <mergeCell ref="I9:I10"/>
    <mergeCell ref="J9:J10"/>
    <mergeCell ref="Q9:Q10"/>
    <mergeCell ref="R9:R10"/>
    <mergeCell ref="S9:S10"/>
    <mergeCell ref="T9:T10"/>
    <mergeCell ref="U9:U10"/>
    <mergeCell ref="AQ9:AQ10"/>
    <mergeCell ref="AR9:AR10"/>
    <mergeCell ref="AS9:AS10"/>
    <mergeCell ref="J6:Y6"/>
    <mergeCell ref="Z6:AG6"/>
    <mergeCell ref="AH6:AS6"/>
    <mergeCell ref="Q7:Y7"/>
    <mergeCell ref="Z7:AD8"/>
    <mergeCell ref="AE7:AG9"/>
    <mergeCell ref="AH7:AS8"/>
    <mergeCell ref="M9:M10"/>
    <mergeCell ref="N9:N10"/>
    <mergeCell ref="M14:M16"/>
    <mergeCell ref="N14:N16"/>
    <mergeCell ref="O14:O16"/>
    <mergeCell ref="P14:P16"/>
    <mergeCell ref="Q14:Q16"/>
    <mergeCell ref="O9:O10"/>
    <mergeCell ref="P9:P10"/>
    <mergeCell ref="D4:J4"/>
    <mergeCell ref="B6:I6"/>
    <mergeCell ref="B7:I8"/>
    <mergeCell ref="J7:L8"/>
    <mergeCell ref="M7:M8"/>
    <mergeCell ref="N7:P8"/>
    <mergeCell ref="B9:B10"/>
    <mergeCell ref="G11:G13"/>
    <mergeCell ref="H11:H13"/>
    <mergeCell ref="I11:I13"/>
    <mergeCell ref="J11:J13"/>
    <mergeCell ref="K11:K13"/>
    <mergeCell ref="L11:L13"/>
    <mergeCell ref="M11:M13"/>
    <mergeCell ref="N11:N13"/>
    <mergeCell ref="O11:O13"/>
    <mergeCell ref="P11:P13"/>
    <mergeCell ref="Q11:Q13"/>
    <mergeCell ref="D14:D16"/>
    <mergeCell ref="E14:E16"/>
    <mergeCell ref="F14:F16"/>
    <mergeCell ref="G14:G16"/>
    <mergeCell ref="H14:H16"/>
    <mergeCell ref="I14:I16"/>
    <mergeCell ref="J14:J16"/>
    <mergeCell ref="K14:K16"/>
    <mergeCell ref="E17:E19"/>
    <mergeCell ref="F17:F19"/>
    <mergeCell ref="G17:G19"/>
    <mergeCell ref="H17:H19"/>
    <mergeCell ref="I17:I19"/>
    <mergeCell ref="J17:J19"/>
    <mergeCell ref="K17:K19"/>
    <mergeCell ref="L17:L19"/>
    <mergeCell ref="M17:M19"/>
    <mergeCell ref="N17:N19"/>
    <mergeCell ref="O17:O19"/>
    <mergeCell ref="P17:P19"/>
    <mergeCell ref="Q17:Q19"/>
    <mergeCell ref="I26:I28"/>
    <mergeCell ref="J26:J28"/>
    <mergeCell ref="K26:K28"/>
    <mergeCell ref="L26:L28"/>
    <mergeCell ref="M26:M28"/>
    <mergeCell ref="N26:N28"/>
    <mergeCell ref="O26:O28"/>
    <mergeCell ref="P26:P28"/>
    <mergeCell ref="Q26:Q28"/>
    <mergeCell ref="V26:V28"/>
    <mergeCell ref="W26:W28"/>
    <mergeCell ref="X26:X28"/>
    <mergeCell ref="Y26:Y28"/>
    <mergeCell ref="V29:V31"/>
    <mergeCell ref="Y29:Y31"/>
    <mergeCell ref="W35:W37"/>
    <mergeCell ref="X35:X37"/>
    <mergeCell ref="W29:W31"/>
    <mergeCell ref="X29:X31"/>
    <mergeCell ref="V32:V34"/>
    <mergeCell ref="W32:W34"/>
    <mergeCell ref="X32:X34"/>
    <mergeCell ref="Y32:Y34"/>
    <mergeCell ref="V35:V37"/>
    <mergeCell ref="Y35:Y37"/>
    <mergeCell ref="V38:V40"/>
    <mergeCell ref="V41:V43"/>
    <mergeCell ref="W41:W43"/>
    <mergeCell ref="X41:X43"/>
    <mergeCell ref="Y41:Y43"/>
    <mergeCell ref="V44:V46"/>
    <mergeCell ref="W44:W46"/>
    <mergeCell ref="V47:V49"/>
    <mergeCell ref="W47:W49"/>
    <mergeCell ref="X47:X49"/>
    <mergeCell ref="Y47:Y49"/>
    <mergeCell ref="W50:W52"/>
    <mergeCell ref="X50:X52"/>
    <mergeCell ref="Y50:Y52"/>
    <mergeCell ref="V56:V58"/>
    <mergeCell ref="W56:W58"/>
    <mergeCell ref="X56:X58"/>
    <mergeCell ref="Y56:Y58"/>
    <mergeCell ref="W59:W61"/>
    <mergeCell ref="X59:X61"/>
    <mergeCell ref="Y59:Y61"/>
    <mergeCell ref="X65:X67"/>
    <mergeCell ref="Y65:Y67"/>
    <mergeCell ref="V68:V70"/>
    <mergeCell ref="W68:W70"/>
    <mergeCell ref="X68:X70"/>
    <mergeCell ref="Y68:Y70"/>
    <mergeCell ref="V59:V61"/>
    <mergeCell ref="V62:V64"/>
    <mergeCell ref="W62:W64"/>
    <mergeCell ref="X62:X64"/>
    <mergeCell ref="Y62:Y64"/>
    <mergeCell ref="V65:V67"/>
    <mergeCell ref="W65:W67"/>
    <mergeCell ref="D32:D34"/>
    <mergeCell ref="D38:D40"/>
    <mergeCell ref="E38:E40"/>
    <mergeCell ref="F38:F40"/>
    <mergeCell ref="B32:B40"/>
    <mergeCell ref="C32:C40"/>
    <mergeCell ref="E32:E34"/>
    <mergeCell ref="F32:F34"/>
    <mergeCell ref="G32:G34"/>
    <mergeCell ref="H32:H34"/>
    <mergeCell ref="H35:H37"/>
    <mergeCell ref="G38:G40"/>
    <mergeCell ref="H38:H40"/>
    <mergeCell ref="I38:I40"/>
    <mergeCell ref="J38:J40"/>
    <mergeCell ref="K38:K40"/>
    <mergeCell ref="L38:L40"/>
    <mergeCell ref="M38:M40"/>
    <mergeCell ref="N38:N40"/>
    <mergeCell ref="O38:O40"/>
    <mergeCell ref="P38:P40"/>
    <mergeCell ref="Q38:Q40"/>
    <mergeCell ref="W38:W40"/>
    <mergeCell ref="X38:X40"/>
    <mergeCell ref="Y38:Y40"/>
    <mergeCell ref="X44:X46"/>
    <mergeCell ref="Y44:Y46"/>
    <mergeCell ref="V50:V52"/>
    <mergeCell ref="V53:V55"/>
    <mergeCell ref="W53:W55"/>
    <mergeCell ref="X53:X55"/>
    <mergeCell ref="Y53:Y55"/>
    <mergeCell ref="O77:O79"/>
    <mergeCell ref="P77:P79"/>
    <mergeCell ref="H77:H79"/>
    <mergeCell ref="I77:I79"/>
    <mergeCell ref="J77:J79"/>
    <mergeCell ref="K77:K79"/>
    <mergeCell ref="L77:L79"/>
    <mergeCell ref="M77:M79"/>
    <mergeCell ref="N77:N79"/>
    <mergeCell ref="L68:L70"/>
    <mergeCell ref="M68:M70"/>
    <mergeCell ref="E68:E70"/>
    <mergeCell ref="F68:F70"/>
    <mergeCell ref="G68:G70"/>
    <mergeCell ref="H68:H70"/>
    <mergeCell ref="I68:I70"/>
    <mergeCell ref="J68:J70"/>
    <mergeCell ref="K68:K70"/>
    <mergeCell ref="P74:P76"/>
    <mergeCell ref="Q74:Q76"/>
    <mergeCell ref="Q77:Q79"/>
    <mergeCell ref="I74:I76"/>
    <mergeCell ref="J74:J76"/>
    <mergeCell ref="K74:K76"/>
    <mergeCell ref="L74:L76"/>
    <mergeCell ref="M74:M76"/>
    <mergeCell ref="N74:N76"/>
    <mergeCell ref="O74:O76"/>
    <mergeCell ref="B74:B79"/>
    <mergeCell ref="C74:C79"/>
    <mergeCell ref="D74:D76"/>
    <mergeCell ref="E74:E76"/>
    <mergeCell ref="F74:F76"/>
    <mergeCell ref="G74:G76"/>
    <mergeCell ref="H74:H76"/>
    <mergeCell ref="K80:K82"/>
    <mergeCell ref="L80:L82"/>
    <mergeCell ref="M80:M82"/>
    <mergeCell ref="N80:N82"/>
    <mergeCell ref="O80:O82"/>
    <mergeCell ref="P80:P82"/>
    <mergeCell ref="Q80:Q82"/>
    <mergeCell ref="F77:F79"/>
    <mergeCell ref="G77:G79"/>
    <mergeCell ref="F80:F82"/>
    <mergeCell ref="G80:G82"/>
    <mergeCell ref="H80:H82"/>
    <mergeCell ref="I80:I82"/>
    <mergeCell ref="J80:J82"/>
    <mergeCell ref="L83:L85"/>
    <mergeCell ref="M83:M85"/>
    <mergeCell ref="N83:N85"/>
    <mergeCell ref="O83:O85"/>
    <mergeCell ref="P83:P85"/>
    <mergeCell ref="Q83:Q85"/>
    <mergeCell ref="E83:E85"/>
    <mergeCell ref="F83:F85"/>
    <mergeCell ref="G83:G85"/>
    <mergeCell ref="H83:H85"/>
    <mergeCell ref="I83:I85"/>
    <mergeCell ref="J83:J85"/>
    <mergeCell ref="K83:K85"/>
    <mergeCell ref="K86:K88"/>
    <mergeCell ref="L86:L88"/>
    <mergeCell ref="M86:M88"/>
    <mergeCell ref="N86:N88"/>
    <mergeCell ref="O86:O88"/>
    <mergeCell ref="P86:P88"/>
    <mergeCell ref="Q86:Q88"/>
    <mergeCell ref="D86:D88"/>
    <mergeCell ref="E86:E88"/>
    <mergeCell ref="F86:F88"/>
    <mergeCell ref="G86:G88"/>
    <mergeCell ref="H86:H88"/>
    <mergeCell ref="I86:I88"/>
    <mergeCell ref="J86:J88"/>
    <mergeCell ref="D77:D79"/>
    <mergeCell ref="E77:E79"/>
    <mergeCell ref="B80:B88"/>
    <mergeCell ref="C80:C88"/>
    <mergeCell ref="D80:D82"/>
    <mergeCell ref="E80:E82"/>
    <mergeCell ref="D83:D85"/>
    <mergeCell ref="K89:K91"/>
    <mergeCell ref="L89:L91"/>
    <mergeCell ref="M89:M91"/>
    <mergeCell ref="N89:N91"/>
    <mergeCell ref="O89:O91"/>
    <mergeCell ref="P89:P91"/>
    <mergeCell ref="Q89:Q91"/>
    <mergeCell ref="P92:P94"/>
    <mergeCell ref="Q92:Q94"/>
    <mergeCell ref="I92:I94"/>
    <mergeCell ref="J92:J94"/>
    <mergeCell ref="K92:K94"/>
    <mergeCell ref="L92:L94"/>
    <mergeCell ref="M92:M94"/>
    <mergeCell ref="N92:N94"/>
    <mergeCell ref="O92:O94"/>
    <mergeCell ref="D89:D91"/>
    <mergeCell ref="E89:E91"/>
    <mergeCell ref="F89:F91"/>
    <mergeCell ref="G89:G91"/>
    <mergeCell ref="H89:H91"/>
    <mergeCell ref="I89:I91"/>
    <mergeCell ref="J89:J91"/>
    <mergeCell ref="D95:D97"/>
    <mergeCell ref="E95:E97"/>
    <mergeCell ref="N95:N97"/>
    <mergeCell ref="O95:O97"/>
    <mergeCell ref="P95:P97"/>
    <mergeCell ref="Q95:Q97"/>
    <mergeCell ref="P98:P100"/>
    <mergeCell ref="Q98:Q100"/>
    <mergeCell ref="F95:F97"/>
    <mergeCell ref="G95:G97"/>
    <mergeCell ref="I95:I97"/>
    <mergeCell ref="J95:J97"/>
    <mergeCell ref="K95:K97"/>
    <mergeCell ref="L95:L97"/>
    <mergeCell ref="M95:M97"/>
    <mergeCell ref="D92:D94"/>
    <mergeCell ref="D98:D100"/>
    <mergeCell ref="E98:E100"/>
    <mergeCell ref="F98:F100"/>
    <mergeCell ref="B89:B100"/>
    <mergeCell ref="C89:C100"/>
    <mergeCell ref="E92:E94"/>
    <mergeCell ref="F92:F94"/>
    <mergeCell ref="G92:G94"/>
    <mergeCell ref="H92:H94"/>
    <mergeCell ref="H95:H97"/>
    <mergeCell ref="N98:N100"/>
    <mergeCell ref="O98:O100"/>
    <mergeCell ref="G98:G100"/>
    <mergeCell ref="H98:H100"/>
    <mergeCell ref="I98:I100"/>
    <mergeCell ref="J98:J100"/>
    <mergeCell ref="K98:K100"/>
    <mergeCell ref="L98:L100"/>
    <mergeCell ref="M98:M100"/>
    <mergeCell ref="P101:P103"/>
    <mergeCell ref="Q101:Q103"/>
    <mergeCell ref="I101:I103"/>
    <mergeCell ref="J101:J103"/>
    <mergeCell ref="K101:K103"/>
    <mergeCell ref="L101:L103"/>
    <mergeCell ref="M101:M103"/>
    <mergeCell ref="N101:N103"/>
    <mergeCell ref="O101:O103"/>
    <mergeCell ref="D104:D106"/>
    <mergeCell ref="E104:E106"/>
    <mergeCell ref="N104:N106"/>
    <mergeCell ref="O104:O106"/>
    <mergeCell ref="P104:P106"/>
    <mergeCell ref="Q104:Q106"/>
    <mergeCell ref="F104:F106"/>
    <mergeCell ref="G104:G106"/>
    <mergeCell ref="I104:I106"/>
    <mergeCell ref="J104:J106"/>
    <mergeCell ref="K104:K106"/>
    <mergeCell ref="L104:L106"/>
    <mergeCell ref="M104:M106"/>
    <mergeCell ref="D101:D103"/>
    <mergeCell ref="D107:D109"/>
    <mergeCell ref="E107:E109"/>
    <mergeCell ref="F107:F109"/>
    <mergeCell ref="N107:N109"/>
    <mergeCell ref="O107:O109"/>
    <mergeCell ref="P107:P109"/>
    <mergeCell ref="Q107:Q109"/>
    <mergeCell ref="G107:G109"/>
    <mergeCell ref="H107:H109"/>
    <mergeCell ref="I107:I109"/>
    <mergeCell ref="J107:J109"/>
    <mergeCell ref="K107:K109"/>
    <mergeCell ref="L107:L109"/>
    <mergeCell ref="M107:M109"/>
    <mergeCell ref="D110:D112"/>
    <mergeCell ref="E110:E112"/>
    <mergeCell ref="N110:N112"/>
    <mergeCell ref="O110:O112"/>
    <mergeCell ref="P110:P112"/>
    <mergeCell ref="Q110:Q112"/>
    <mergeCell ref="F110:F112"/>
    <mergeCell ref="G110:G112"/>
    <mergeCell ref="I110:I112"/>
    <mergeCell ref="J110:J112"/>
    <mergeCell ref="K110:K112"/>
    <mergeCell ref="L110:L112"/>
    <mergeCell ref="M110:M112"/>
    <mergeCell ref="B101:B115"/>
    <mergeCell ref="E101:E103"/>
    <mergeCell ref="F101:F103"/>
    <mergeCell ref="G101:G103"/>
    <mergeCell ref="H101:H103"/>
    <mergeCell ref="H104:H106"/>
    <mergeCell ref="H110:H112"/>
    <mergeCell ref="N113:N115"/>
    <mergeCell ref="O113:O115"/>
    <mergeCell ref="P113:P115"/>
    <mergeCell ref="Q113:Q115"/>
    <mergeCell ref="G113:G115"/>
    <mergeCell ref="H113:H115"/>
    <mergeCell ref="I113:I115"/>
    <mergeCell ref="J113:J115"/>
    <mergeCell ref="K113:K115"/>
    <mergeCell ref="L113:L115"/>
    <mergeCell ref="M113:M115"/>
    <mergeCell ref="J116:J118"/>
    <mergeCell ref="K116:K118"/>
    <mergeCell ref="L116:L118"/>
    <mergeCell ref="M116:M118"/>
    <mergeCell ref="N116:N118"/>
    <mergeCell ref="O116:O118"/>
    <mergeCell ref="P116:P118"/>
    <mergeCell ref="Q116:Q118"/>
    <mergeCell ref="E113:E115"/>
    <mergeCell ref="F113:F115"/>
    <mergeCell ref="E116:E118"/>
    <mergeCell ref="F116:F118"/>
    <mergeCell ref="G116:G118"/>
    <mergeCell ref="H116:H118"/>
    <mergeCell ref="I116:I118"/>
    <mergeCell ref="L119:L121"/>
    <mergeCell ref="M119:M121"/>
    <mergeCell ref="N119:N121"/>
    <mergeCell ref="O119:O121"/>
    <mergeCell ref="P119:P121"/>
    <mergeCell ref="Q119:Q121"/>
    <mergeCell ref="E119:E121"/>
    <mergeCell ref="F119:F121"/>
    <mergeCell ref="G119:G121"/>
    <mergeCell ref="H119:H121"/>
    <mergeCell ref="I119:I121"/>
    <mergeCell ref="J119:J121"/>
    <mergeCell ref="K119:K121"/>
    <mergeCell ref="J122:J124"/>
    <mergeCell ref="K122:K124"/>
    <mergeCell ref="L122:L124"/>
    <mergeCell ref="M122:M124"/>
    <mergeCell ref="N122:N124"/>
    <mergeCell ref="O122:O124"/>
    <mergeCell ref="P122:P124"/>
    <mergeCell ref="Q122:Q124"/>
    <mergeCell ref="D119:D121"/>
    <mergeCell ref="D122:D124"/>
    <mergeCell ref="E122:E124"/>
    <mergeCell ref="F122:F124"/>
    <mergeCell ref="G122:G124"/>
    <mergeCell ref="H122:H124"/>
    <mergeCell ref="I122:I124"/>
    <mergeCell ref="L125:L127"/>
    <mergeCell ref="M125:M127"/>
    <mergeCell ref="N125:N127"/>
    <mergeCell ref="O125:O127"/>
    <mergeCell ref="P125:P127"/>
    <mergeCell ref="Q125:Q127"/>
    <mergeCell ref="E125:E127"/>
    <mergeCell ref="F125:F127"/>
    <mergeCell ref="G125:G127"/>
    <mergeCell ref="H125:H127"/>
    <mergeCell ref="I125:I127"/>
    <mergeCell ref="J125:J127"/>
    <mergeCell ref="K125:K127"/>
    <mergeCell ref="L128:L130"/>
    <mergeCell ref="M128:M130"/>
    <mergeCell ref="N128:N130"/>
    <mergeCell ref="O128:O130"/>
    <mergeCell ref="P128:P130"/>
    <mergeCell ref="Q128:Q130"/>
    <mergeCell ref="E128:E130"/>
    <mergeCell ref="F128:F130"/>
    <mergeCell ref="G128:G130"/>
    <mergeCell ref="H128:H130"/>
    <mergeCell ref="I128:I130"/>
    <mergeCell ref="J128:J130"/>
    <mergeCell ref="K128:K130"/>
    <mergeCell ref="J131:J133"/>
    <mergeCell ref="K131:K133"/>
    <mergeCell ref="L131:L133"/>
    <mergeCell ref="M131:M133"/>
    <mergeCell ref="N131:N133"/>
    <mergeCell ref="O131:O133"/>
    <mergeCell ref="P131:P133"/>
    <mergeCell ref="Q131:Q133"/>
    <mergeCell ref="D128:D130"/>
    <mergeCell ref="D131:D133"/>
    <mergeCell ref="E131:E133"/>
    <mergeCell ref="F131:F133"/>
    <mergeCell ref="G131:G133"/>
    <mergeCell ref="H131:H133"/>
    <mergeCell ref="I131:I133"/>
    <mergeCell ref="V131:V133"/>
    <mergeCell ref="W131:W133"/>
    <mergeCell ref="X131:X133"/>
    <mergeCell ref="Y131:Y133"/>
    <mergeCell ref="W134:W136"/>
    <mergeCell ref="X134:X136"/>
    <mergeCell ref="Y134:Y136"/>
    <mergeCell ref="V134:V136"/>
    <mergeCell ref="V137:V139"/>
    <mergeCell ref="W137:W139"/>
    <mergeCell ref="X137:X139"/>
    <mergeCell ref="Y137:Y139"/>
    <mergeCell ref="V140:V142"/>
    <mergeCell ref="W140:W142"/>
    <mergeCell ref="W146:W148"/>
    <mergeCell ref="X146:X148"/>
    <mergeCell ref="X140:X142"/>
    <mergeCell ref="Y140:Y142"/>
    <mergeCell ref="V143:V145"/>
    <mergeCell ref="W143:W145"/>
    <mergeCell ref="X143:X145"/>
    <mergeCell ref="Y143:Y145"/>
    <mergeCell ref="Y146:Y148"/>
    <mergeCell ref="X152:X154"/>
    <mergeCell ref="Y152:Y154"/>
    <mergeCell ref="V146:V148"/>
    <mergeCell ref="V149:V151"/>
    <mergeCell ref="W149:W151"/>
    <mergeCell ref="X149:X151"/>
    <mergeCell ref="Y149:Y151"/>
    <mergeCell ref="V152:V154"/>
    <mergeCell ref="W152:W154"/>
    <mergeCell ref="V155:V157"/>
    <mergeCell ref="W155:W157"/>
    <mergeCell ref="X155:X157"/>
    <mergeCell ref="Y155:Y157"/>
    <mergeCell ref="W158:W160"/>
    <mergeCell ref="X158:X160"/>
    <mergeCell ref="Y158:Y160"/>
    <mergeCell ref="V158:V160"/>
    <mergeCell ref="V161:V163"/>
    <mergeCell ref="W161:W163"/>
    <mergeCell ref="X161:X163"/>
    <mergeCell ref="Y161:Y163"/>
    <mergeCell ref="V164:V166"/>
    <mergeCell ref="W164:W166"/>
    <mergeCell ref="X77:X79"/>
    <mergeCell ref="Y77:Y79"/>
    <mergeCell ref="X80:X82"/>
    <mergeCell ref="Y80:Y82"/>
    <mergeCell ref="V71:V73"/>
    <mergeCell ref="V74:V76"/>
    <mergeCell ref="W74:W76"/>
    <mergeCell ref="X74:X76"/>
    <mergeCell ref="Y74:Y76"/>
    <mergeCell ref="V77:V79"/>
    <mergeCell ref="W77:W79"/>
    <mergeCell ref="V83:V85"/>
    <mergeCell ref="W83:W85"/>
    <mergeCell ref="X83:X85"/>
    <mergeCell ref="Y83:Y85"/>
    <mergeCell ref="W86:W88"/>
    <mergeCell ref="X86:X88"/>
    <mergeCell ref="Y86:Y88"/>
    <mergeCell ref="X92:X94"/>
    <mergeCell ref="Y92:Y94"/>
    <mergeCell ref="V86:V88"/>
    <mergeCell ref="V89:V91"/>
    <mergeCell ref="W89:W91"/>
    <mergeCell ref="X89:X91"/>
    <mergeCell ref="Y89:Y91"/>
    <mergeCell ref="V92:V94"/>
    <mergeCell ref="W92:W94"/>
    <mergeCell ref="X104:X106"/>
    <mergeCell ref="Y104:Y106"/>
    <mergeCell ref="X164:X166"/>
    <mergeCell ref="Y164:Y166"/>
    <mergeCell ref="V167:V169"/>
    <mergeCell ref="W167:W169"/>
    <mergeCell ref="X167:X169"/>
    <mergeCell ref="Y167:Y169"/>
    <mergeCell ref="B56:B64"/>
    <mergeCell ref="C56:C64"/>
    <mergeCell ref="E56:E58"/>
    <mergeCell ref="F56:F58"/>
    <mergeCell ref="G56:G58"/>
    <mergeCell ref="H56:H58"/>
    <mergeCell ref="H59:H61"/>
    <mergeCell ref="G71:G73"/>
    <mergeCell ref="H71:H73"/>
    <mergeCell ref="D56:D58"/>
    <mergeCell ref="D62:D64"/>
    <mergeCell ref="B65:B73"/>
    <mergeCell ref="C65:C73"/>
    <mergeCell ref="D65:D67"/>
    <mergeCell ref="D68:D70"/>
    <mergeCell ref="D71:D73"/>
    <mergeCell ref="E71:E73"/>
    <mergeCell ref="F71:F73"/>
    <mergeCell ref="I71:I73"/>
    <mergeCell ref="J71:J73"/>
    <mergeCell ref="K71:K73"/>
    <mergeCell ref="L71:L73"/>
    <mergeCell ref="M71:M73"/>
    <mergeCell ref="N71:N73"/>
    <mergeCell ref="O71:O73"/>
    <mergeCell ref="P71:P73"/>
    <mergeCell ref="Q71:Q73"/>
    <mergeCell ref="W71:W73"/>
    <mergeCell ref="X71:X73"/>
    <mergeCell ref="Y71:Y73"/>
    <mergeCell ref="F59:F61"/>
    <mergeCell ref="G59:G61"/>
    <mergeCell ref="N62:N64"/>
    <mergeCell ref="O62:O64"/>
    <mergeCell ref="P62:P64"/>
    <mergeCell ref="Q62:Q64"/>
    <mergeCell ref="G62:G64"/>
    <mergeCell ref="H62:H64"/>
    <mergeCell ref="I62:I64"/>
    <mergeCell ref="J62:J64"/>
    <mergeCell ref="K62:K64"/>
    <mergeCell ref="L62:L64"/>
    <mergeCell ref="M62:M64"/>
    <mergeCell ref="E62:E64"/>
    <mergeCell ref="F62:F64"/>
    <mergeCell ref="E65:E67"/>
    <mergeCell ref="F65:F67"/>
    <mergeCell ref="G65:G67"/>
    <mergeCell ref="H65:H67"/>
    <mergeCell ref="I65:I67"/>
    <mergeCell ref="N65:N67"/>
    <mergeCell ref="N68:N70"/>
    <mergeCell ref="O68:O70"/>
    <mergeCell ref="P68:P70"/>
    <mergeCell ref="Q68:Q70"/>
    <mergeCell ref="J65:J67"/>
    <mergeCell ref="K65:K67"/>
    <mergeCell ref="L65:L67"/>
    <mergeCell ref="M65:M67"/>
    <mergeCell ref="O65:O67"/>
    <mergeCell ref="P65:P67"/>
    <mergeCell ref="Q65:Q67"/>
    <mergeCell ref="V80:V82"/>
    <mergeCell ref="W80:W82"/>
    <mergeCell ref="V95:V97"/>
    <mergeCell ref="W95:W97"/>
    <mergeCell ref="X95:X97"/>
    <mergeCell ref="Y95:Y97"/>
    <mergeCell ref="W98:W100"/>
    <mergeCell ref="X98:X100"/>
    <mergeCell ref="Y98:Y100"/>
    <mergeCell ref="V98:V100"/>
    <mergeCell ref="V101:V103"/>
    <mergeCell ref="W101:W103"/>
    <mergeCell ref="X101:X103"/>
    <mergeCell ref="Y101:Y103"/>
    <mergeCell ref="V104:V106"/>
    <mergeCell ref="W104:W106"/>
    <mergeCell ref="V107:V109"/>
    <mergeCell ref="W107:W109"/>
    <mergeCell ref="X107:X109"/>
    <mergeCell ref="Y107:Y109"/>
    <mergeCell ref="W110:W112"/>
    <mergeCell ref="X110:X112"/>
    <mergeCell ref="Y110:Y112"/>
    <mergeCell ref="V110:V112"/>
    <mergeCell ref="V113:V115"/>
    <mergeCell ref="W113:W115"/>
    <mergeCell ref="X113:X115"/>
    <mergeCell ref="Y113:Y115"/>
    <mergeCell ref="V116:V118"/>
    <mergeCell ref="W116:W118"/>
    <mergeCell ref="W122:W124"/>
    <mergeCell ref="X122:X124"/>
    <mergeCell ref="X116:X118"/>
    <mergeCell ref="Y116:Y118"/>
    <mergeCell ref="V119:V121"/>
    <mergeCell ref="W119:W121"/>
    <mergeCell ref="X119:X121"/>
    <mergeCell ref="Y119:Y121"/>
    <mergeCell ref="Y122:Y124"/>
    <mergeCell ref="X128:X130"/>
    <mergeCell ref="Y128:Y130"/>
    <mergeCell ref="V122:V124"/>
    <mergeCell ref="V125:V127"/>
    <mergeCell ref="W125:W127"/>
    <mergeCell ref="X125:X127"/>
    <mergeCell ref="Y125:Y127"/>
    <mergeCell ref="V128:V130"/>
    <mergeCell ref="W128:W130"/>
  </mergeCells>
  <conditionalFormatting sqref="L11:L169 P11:P169">
    <cfRule type="containsText" dxfId="6" priority="1" operator="containsText" text="Baja">
      <formula>NOT(ISERROR(SEARCH(("Baja"),(L11))))</formula>
    </cfRule>
  </conditionalFormatting>
  <conditionalFormatting sqref="L11:L169 P11:P169">
    <cfRule type="containsText" dxfId="3" priority="2" operator="containsText" text="Media">
      <formula>NOT(ISERROR(SEARCH(("Media"),(L11))))</formula>
    </cfRule>
  </conditionalFormatting>
  <conditionalFormatting sqref="L11:L169 P11:P169">
    <cfRule type="containsText" dxfId="7" priority="3" operator="containsText" text="Alta">
      <formula>NOT(ISERROR(SEARCH(("Alta"),(L11))))</formula>
    </cfRule>
  </conditionalFormatting>
  <conditionalFormatting sqref="L11:L169 P11:P169">
    <cfRule type="containsText" dxfId="8" priority="4" operator="containsText" text="Extrema">
      <formula>NOT(ISERROR(SEARCH(("Extrema"),(L11))))</formula>
    </cfRule>
  </conditionalFormatting>
  <conditionalFormatting sqref="H11:I11 H14:I14 H17:I17 H20:I20 H23:I41 H44:I44 H47:I59 H62:I62 H65:I65 H68:I71 H74:I149 H155:I155 H161:I161 H164:I164 H167:I167">
    <cfRule type="expression" dxfId="9" priority="5" stopIfTrue="1">
      <formula>#REF!=0</formula>
    </cfRule>
  </conditionalFormatting>
  <conditionalFormatting sqref="AI40:AI169">
    <cfRule type="cellIs" dxfId="10" priority="6" operator="equal">
      <formula>"Ejecutada"</formula>
    </cfRule>
  </conditionalFormatting>
  <conditionalFormatting sqref="AI40:AI169">
    <cfRule type="cellIs" dxfId="11" priority="7" operator="equal">
      <formula>"En proceso"</formula>
    </cfRule>
  </conditionalFormatting>
  <conditionalFormatting sqref="AI40:AI169">
    <cfRule type="cellIs" dxfId="12" priority="8" operator="equal">
      <formula>"Vencida"</formula>
    </cfRule>
  </conditionalFormatting>
  <conditionalFormatting sqref="AI40:AI169">
    <cfRule type="cellIs" dxfId="13" priority="9" operator="equal">
      <formula>"Pendiente"</formula>
    </cfRule>
  </conditionalFormatting>
  <dataValidations>
    <dataValidation type="list" allowBlank="1" sqref="AI40:AI169">
      <formula1>Listas!$CZ$4:$CZ$18</formula1>
    </dataValidation>
  </dataValidations>
  <hyperlinks>
    <hyperlink r:id="rId2" location="gid=2098233099" ref="B11"/>
    <hyperlink r:id="rId3" ref="AD11"/>
    <hyperlink r:id="rId4" ref="AD12"/>
    <hyperlink r:id="rId5" ref="AD13"/>
    <hyperlink r:id="rId6" ref="AD14"/>
    <hyperlink r:id="rId7" ref="AD15"/>
    <hyperlink r:id="rId8" ref="AD16"/>
    <hyperlink r:id="rId9" ref="AD17"/>
    <hyperlink r:id="rId10" ref="AD18"/>
    <hyperlink r:id="rId11" ref="AD19"/>
    <hyperlink r:id="rId12" ref="AD20"/>
    <hyperlink r:id="rId13" ref="AD21"/>
    <hyperlink r:id="rId14" ref="AD22"/>
    <hyperlink r:id="rId15" location="gid=2098233099" ref="B23"/>
    <hyperlink r:id="rId16" ref="AD23"/>
    <hyperlink r:id="rId17" ref="AD24"/>
    <hyperlink r:id="rId18" ref="AD25"/>
    <hyperlink r:id="rId19" ref="AD26"/>
    <hyperlink r:id="rId20" ref="AD27"/>
    <hyperlink r:id="rId21" ref="AD28"/>
    <hyperlink r:id="rId22" location="gid=794822255" ref="B29"/>
    <hyperlink r:id="rId23" ref="AD29"/>
    <hyperlink r:id="rId24" ref="AD30"/>
    <hyperlink r:id="rId25" ref="AD31"/>
    <hyperlink r:id="rId26" location="gid=2098233099" ref="B32"/>
    <hyperlink r:id="rId27" ref="AB32"/>
    <hyperlink r:id="rId28" ref="AD32"/>
    <hyperlink r:id="rId29" ref="AB33"/>
    <hyperlink r:id="rId30" ref="AD33"/>
    <hyperlink r:id="rId31" ref="AB34"/>
    <hyperlink r:id="rId32" ref="AD34"/>
    <hyperlink r:id="rId33" ref="AD35"/>
    <hyperlink r:id="rId34" ref="AD36"/>
    <hyperlink r:id="rId35" ref="AD37"/>
    <hyperlink r:id="rId36" ref="AD38"/>
    <hyperlink r:id="rId37" ref="AB39"/>
    <hyperlink r:id="rId38" ref="AD39"/>
    <hyperlink r:id="rId39" ref="AD40"/>
    <hyperlink r:id="rId40" location="gid=2098233099" ref="B41"/>
    <hyperlink r:id="rId41" ref="AD41"/>
    <hyperlink r:id="rId42" ref="AD42"/>
    <hyperlink r:id="rId43" ref="AD43"/>
    <hyperlink r:id="rId44" ref="AD44"/>
    <hyperlink r:id="rId45" ref="AD45"/>
    <hyperlink r:id="rId46" ref="AD46"/>
    <hyperlink r:id="rId47" ref="AD47"/>
    <hyperlink r:id="rId48" ref="AD48"/>
    <hyperlink r:id="rId49" ref="AD49"/>
    <hyperlink r:id="rId50" ref="AD50"/>
    <hyperlink r:id="rId51" ref="AD51"/>
    <hyperlink r:id="rId52" ref="AD52"/>
    <hyperlink r:id="rId53" ref="AD53"/>
    <hyperlink r:id="rId54" ref="AD54"/>
    <hyperlink r:id="rId55" ref="AD55"/>
    <hyperlink r:id="rId56" location="gid=2098233099" ref="B56"/>
    <hyperlink r:id="rId57" ref="AD56"/>
    <hyperlink r:id="rId58" ref="AD57"/>
    <hyperlink r:id="rId59" ref="AD58"/>
    <hyperlink r:id="rId60" ref="AD59"/>
    <hyperlink r:id="rId61" ref="AD60"/>
    <hyperlink r:id="rId62" ref="AD61"/>
    <hyperlink r:id="rId63" ref="AD62"/>
    <hyperlink r:id="rId64" ref="AD63"/>
    <hyperlink r:id="rId65" ref="AD64"/>
    <hyperlink r:id="rId66" location="gid=2098233099" ref="B65"/>
    <hyperlink r:id="rId67" ref="AD65"/>
    <hyperlink r:id="rId68" ref="AD66"/>
    <hyperlink r:id="rId69" ref="AD67"/>
    <hyperlink r:id="rId70" ref="AD68"/>
    <hyperlink r:id="rId71" ref="AD69"/>
    <hyperlink r:id="rId72" ref="AD70"/>
    <hyperlink r:id="rId73" ref="AD71"/>
    <hyperlink r:id="rId74" ref="AD72"/>
    <hyperlink r:id="rId75" ref="AD73"/>
    <hyperlink r:id="rId76" location="gid=2098233099" ref="B74"/>
    <hyperlink r:id="rId77" ref="AD74"/>
    <hyperlink r:id="rId78" ref="AD75"/>
    <hyperlink r:id="rId79" ref="AB76"/>
    <hyperlink r:id="rId80" ref="AD76"/>
    <hyperlink r:id="rId81" ref="AD77"/>
    <hyperlink r:id="rId82" ref="AD78"/>
    <hyperlink r:id="rId83" ref="AD79"/>
    <hyperlink r:id="rId84" location="gid=2098233099" ref="B80"/>
    <hyperlink r:id="rId85" ref="AD80"/>
    <hyperlink r:id="rId86" ref="AD81"/>
    <hyperlink r:id="rId87" ref="AD82"/>
    <hyperlink r:id="rId88" ref="AD83"/>
    <hyperlink r:id="rId89" ref="AD84"/>
    <hyperlink r:id="rId90" ref="AD85"/>
    <hyperlink r:id="rId91" ref="AD86"/>
    <hyperlink r:id="rId92" ref="AD87"/>
    <hyperlink r:id="rId93" ref="AD88"/>
    <hyperlink r:id="rId94" location="gid=2098233099" ref="B89"/>
    <hyperlink r:id="rId95" ref="AD89"/>
    <hyperlink r:id="rId96" ref="AD90"/>
    <hyperlink r:id="rId97" ref="AD91"/>
    <hyperlink r:id="rId98" ref="AD92"/>
    <hyperlink r:id="rId99" ref="AD93"/>
    <hyperlink r:id="rId100" ref="AD94"/>
    <hyperlink r:id="rId101" ref="AD95"/>
    <hyperlink r:id="rId102" ref="AD96"/>
    <hyperlink r:id="rId103" ref="AD97"/>
    <hyperlink r:id="rId104" ref="AD98"/>
    <hyperlink r:id="rId105" ref="AD99"/>
    <hyperlink r:id="rId106" ref="AD100"/>
    <hyperlink r:id="rId107" location="gid=2098233099" ref="B101"/>
    <hyperlink r:id="rId108" ref="AD101"/>
    <hyperlink r:id="rId109" ref="AD102"/>
    <hyperlink r:id="rId110" ref="AD103"/>
    <hyperlink r:id="rId111" ref="AD104"/>
    <hyperlink r:id="rId112" ref="AD105"/>
    <hyperlink r:id="rId113" ref="AD106"/>
    <hyperlink r:id="rId114" ref="AD107"/>
    <hyperlink r:id="rId115" ref="AD108"/>
    <hyperlink r:id="rId116" ref="AD109"/>
    <hyperlink r:id="rId117" ref="AD110"/>
    <hyperlink r:id="rId118" ref="AD111"/>
    <hyperlink r:id="rId119" ref="AB112"/>
    <hyperlink r:id="rId120" ref="AD112"/>
    <hyperlink r:id="rId121" ref="AD113"/>
    <hyperlink r:id="rId122" ref="AD114"/>
    <hyperlink r:id="rId123" ref="AD115"/>
    <hyperlink r:id="rId124" location="gid=2098233099" ref="B116"/>
    <hyperlink r:id="rId125" ref="AD116"/>
    <hyperlink r:id="rId126" ref="AD117"/>
    <hyperlink r:id="rId127" ref="AD118"/>
    <hyperlink r:id="rId128" ref="AD119"/>
    <hyperlink r:id="rId129" ref="AD120"/>
    <hyperlink r:id="rId130" ref="AD121"/>
    <hyperlink r:id="rId131" location="gid=2098233099" ref="B122"/>
    <hyperlink r:id="rId132" ref="AD122"/>
    <hyperlink r:id="rId133" ref="AD123"/>
    <hyperlink r:id="rId134" ref="AB124"/>
    <hyperlink r:id="rId135" ref="AD124"/>
    <hyperlink r:id="rId136" ref="AD125"/>
    <hyperlink r:id="rId137" ref="AD126"/>
    <hyperlink r:id="rId138" ref="AB127"/>
    <hyperlink r:id="rId139" ref="AD127"/>
    <hyperlink r:id="rId140" location="gid=2098233099" ref="B128"/>
    <hyperlink r:id="rId141" ref="AD128"/>
    <hyperlink r:id="rId142" ref="AD129"/>
    <hyperlink r:id="rId143" ref="AD130"/>
    <hyperlink r:id="rId144" ref="AD131"/>
    <hyperlink r:id="rId145" ref="AD132"/>
    <hyperlink r:id="rId146" ref="AD133"/>
    <hyperlink r:id="rId147" ref="AD134"/>
    <hyperlink r:id="rId148" ref="AD135"/>
    <hyperlink r:id="rId149" ref="AD136"/>
    <hyperlink r:id="rId150" location="gid=318156647" ref="B137"/>
    <hyperlink r:id="rId151" ref="AD137"/>
    <hyperlink r:id="rId152" ref="AD138"/>
    <hyperlink r:id="rId153" ref="AD139"/>
    <hyperlink r:id="rId154" ref="AD140"/>
    <hyperlink r:id="rId155" ref="AD141"/>
    <hyperlink r:id="rId156" ref="AD142"/>
    <hyperlink r:id="rId157" ref="AD143"/>
    <hyperlink r:id="rId158" ref="AD144"/>
    <hyperlink r:id="rId159" ref="AD145"/>
    <hyperlink r:id="rId160" ref="AD146"/>
    <hyperlink r:id="rId161" ref="AD147"/>
    <hyperlink r:id="rId162" ref="AD148"/>
    <hyperlink r:id="rId163" location="gid=2098233099" ref="B149"/>
    <hyperlink r:id="rId164" ref="AD149"/>
    <hyperlink r:id="rId165" ref="AD150"/>
    <hyperlink r:id="rId166" ref="AD151"/>
    <hyperlink r:id="rId167" ref="AD152"/>
    <hyperlink r:id="rId168" ref="AD153"/>
    <hyperlink r:id="rId169" ref="AD154"/>
    <hyperlink r:id="rId170" ref="AD155"/>
    <hyperlink r:id="rId171" ref="AD156"/>
    <hyperlink r:id="rId172" ref="AD157"/>
    <hyperlink r:id="rId173" ref="AD158"/>
    <hyperlink r:id="rId174" ref="AD159"/>
    <hyperlink r:id="rId175" ref="AD160"/>
    <hyperlink r:id="rId176" ref="AD161"/>
    <hyperlink r:id="rId177" ref="AD162"/>
    <hyperlink r:id="rId178" ref="AD163"/>
    <hyperlink r:id="rId179" ref="AD164"/>
    <hyperlink r:id="rId180" ref="AD165"/>
    <hyperlink r:id="rId181" ref="AD166"/>
    <hyperlink r:id="rId182" location="gid=2098233099" ref="B167"/>
    <hyperlink r:id="rId183" ref="AD167"/>
    <hyperlink r:id="rId184" ref="AD168"/>
    <hyperlink r:id="rId185" ref="AD169"/>
  </hyperlinks>
  <printOptions/>
  <pageMargins bottom="0.75" footer="0.0" header="0.0" left="0.7" right="0.7" top="0.75"/>
  <pageSetup orientation="portrait"/>
  <drawing r:id="rId186"/>
  <legacyDrawing r:id="rId187"/>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0.86"/>
    <col customWidth="1" min="2" max="2" width="11.86"/>
    <col customWidth="1" min="3" max="3" width="19.43"/>
    <col customWidth="1" min="4" max="4" width="10.14"/>
    <col customWidth="1" min="5" max="38" width="8.14"/>
    <col customWidth="1" min="39" max="55" width="7.29"/>
    <col customWidth="1" min="56" max="56" width="11.86"/>
    <col customWidth="1" min="57" max="90" width="6.57"/>
    <col customWidth="1" min="91" max="91" width="11.43"/>
    <col customWidth="1" min="92" max="92" width="10.43"/>
    <col customWidth="1" min="93" max="93" width="10.86"/>
    <col customWidth="1" min="94" max="94" width="11.0"/>
    <col customWidth="1" min="95" max="95" width="12.57"/>
    <col customWidth="1" min="96" max="101" width="11.0"/>
    <col customWidth="1" min="102" max="104" width="12.43"/>
    <col customWidth="1" min="105" max="106" width="13.43"/>
  </cols>
  <sheetData>
    <row r="1" ht="12.0" customHeight="1">
      <c r="A1" s="228"/>
      <c r="B1" s="228"/>
      <c r="C1" s="228"/>
      <c r="D1" s="228"/>
      <c r="E1" s="228"/>
      <c r="F1" s="228"/>
      <c r="G1" s="228"/>
      <c r="H1" s="228"/>
      <c r="I1" s="228"/>
      <c r="J1" s="228"/>
      <c r="K1" s="228"/>
      <c r="L1" s="228"/>
      <c r="M1" s="228"/>
      <c r="N1" s="228"/>
      <c r="O1" s="228"/>
      <c r="P1" s="228"/>
      <c r="Q1" s="228"/>
      <c r="R1" s="228"/>
      <c r="S1" s="228"/>
      <c r="T1" s="228"/>
      <c r="U1" s="228"/>
      <c r="V1" s="228"/>
      <c r="W1" s="228"/>
      <c r="X1" s="228"/>
      <c r="Y1" s="228"/>
      <c r="Z1" s="228"/>
      <c r="AA1" s="228"/>
      <c r="AB1" s="228"/>
      <c r="AC1" s="228"/>
      <c r="AD1" s="228"/>
      <c r="AE1" s="228"/>
      <c r="AF1" s="228"/>
      <c r="AG1" s="228"/>
      <c r="AH1" s="228"/>
      <c r="AI1" s="228"/>
      <c r="AJ1" s="228"/>
      <c r="AK1" s="228"/>
      <c r="AL1" s="228"/>
      <c r="AM1" s="228"/>
      <c r="AN1" s="228"/>
      <c r="AO1" s="228"/>
      <c r="AP1" s="228"/>
      <c r="AQ1" s="228"/>
      <c r="AR1" s="228"/>
      <c r="AS1" s="228"/>
      <c r="AT1" s="228"/>
      <c r="AU1" s="228"/>
      <c r="AV1" s="228"/>
      <c r="AW1" s="228"/>
      <c r="AX1" s="228"/>
      <c r="AY1" s="228"/>
      <c r="AZ1" s="228"/>
      <c r="BA1" s="228"/>
      <c r="BB1" s="228"/>
      <c r="BC1" s="228"/>
      <c r="BD1" s="228"/>
      <c r="BE1" s="228"/>
      <c r="BF1" s="228"/>
      <c r="BG1" s="228"/>
      <c r="BH1" s="228"/>
      <c r="BI1" s="228"/>
      <c r="BJ1" s="228"/>
      <c r="BK1" s="228"/>
      <c r="BL1" s="228"/>
      <c r="BM1" s="228"/>
      <c r="BN1" s="228"/>
      <c r="BO1" s="228"/>
      <c r="BP1" s="228"/>
      <c r="BQ1" s="228"/>
      <c r="BR1" s="228"/>
      <c r="BS1" s="228"/>
      <c r="BT1" s="228"/>
      <c r="BU1" s="228"/>
      <c r="BV1" s="228"/>
      <c r="BW1" s="228"/>
      <c r="BX1" s="228"/>
      <c r="BY1" s="228"/>
      <c r="BZ1" s="228"/>
      <c r="CA1" s="228"/>
      <c r="CB1" s="228"/>
      <c r="CC1" s="228"/>
      <c r="CD1" s="228"/>
      <c r="CE1" s="228"/>
      <c r="CF1" s="228"/>
      <c r="CG1" s="228"/>
      <c r="CH1" s="228"/>
      <c r="CI1" s="228"/>
      <c r="CJ1" s="228"/>
      <c r="CK1" s="228"/>
      <c r="CL1" s="228"/>
      <c r="CM1" s="228"/>
      <c r="CN1" s="228"/>
      <c r="CO1" s="228"/>
      <c r="CP1" s="228"/>
      <c r="CQ1" s="228"/>
      <c r="CR1" s="228"/>
      <c r="CS1" s="228"/>
      <c r="CT1" s="228"/>
      <c r="CU1" s="228"/>
      <c r="CV1" s="228"/>
      <c r="CW1" s="228"/>
      <c r="CX1" s="228"/>
      <c r="CY1" s="228"/>
      <c r="CZ1" s="228"/>
      <c r="DA1" s="228"/>
      <c r="DB1" s="228"/>
    </row>
    <row r="2" ht="12.0" customHeight="1">
      <c r="A2" s="228"/>
      <c r="B2" s="228"/>
      <c r="C2" s="228"/>
      <c r="D2" s="228"/>
      <c r="E2" s="229" t="s">
        <v>235</v>
      </c>
      <c r="G2" s="229" t="s">
        <v>236</v>
      </c>
      <c r="I2" s="229" t="s">
        <v>237</v>
      </c>
      <c r="K2" s="229" t="s">
        <v>238</v>
      </c>
      <c r="M2" s="229" t="s">
        <v>239</v>
      </c>
      <c r="O2" s="229" t="s">
        <v>240</v>
      </c>
      <c r="Q2" s="229" t="s">
        <v>241</v>
      </c>
      <c r="S2" s="229" t="s">
        <v>242</v>
      </c>
      <c r="U2" s="229" t="s">
        <v>243</v>
      </c>
      <c r="W2" s="229" t="s">
        <v>244</v>
      </c>
      <c r="Y2" s="229" t="s">
        <v>245</v>
      </c>
      <c r="AA2" s="229" t="s">
        <v>246</v>
      </c>
      <c r="AC2" s="229" t="s">
        <v>247</v>
      </c>
      <c r="AE2" s="229" t="s">
        <v>248</v>
      </c>
      <c r="AG2" s="229" t="s">
        <v>249</v>
      </c>
      <c r="AI2" s="229" t="s">
        <v>250</v>
      </c>
      <c r="AK2" s="229" t="s">
        <v>251</v>
      </c>
      <c r="AM2" s="230" t="s">
        <v>252</v>
      </c>
      <c r="BD2" s="231"/>
      <c r="BE2" s="229" t="s">
        <v>235</v>
      </c>
      <c r="BG2" s="229" t="s">
        <v>236</v>
      </c>
      <c r="BI2" s="229" t="s">
        <v>237</v>
      </c>
      <c r="BK2" s="229" t="s">
        <v>238</v>
      </c>
      <c r="BM2" s="229" t="s">
        <v>239</v>
      </c>
      <c r="BO2" s="229" t="s">
        <v>240</v>
      </c>
      <c r="BQ2" s="229" t="s">
        <v>241</v>
      </c>
      <c r="BS2" s="229" t="s">
        <v>242</v>
      </c>
      <c r="BU2" s="229" t="s">
        <v>243</v>
      </c>
      <c r="BW2" s="229" t="s">
        <v>244</v>
      </c>
      <c r="BY2" s="229" t="s">
        <v>253</v>
      </c>
      <c r="CA2" s="229" t="s">
        <v>246</v>
      </c>
      <c r="CC2" s="229" t="s">
        <v>247</v>
      </c>
      <c r="CE2" s="229" t="s">
        <v>248</v>
      </c>
      <c r="CG2" s="229" t="s">
        <v>254</v>
      </c>
      <c r="CI2" s="229" t="s">
        <v>250</v>
      </c>
      <c r="CK2" s="229" t="s">
        <v>251</v>
      </c>
      <c r="CM2" s="228"/>
      <c r="CN2" s="228"/>
      <c r="CO2" s="228"/>
      <c r="CP2" s="232"/>
      <c r="CQ2" s="232"/>
      <c r="CR2" s="232"/>
      <c r="CS2" s="232" t="s">
        <v>255</v>
      </c>
      <c r="CX2" s="228"/>
      <c r="CY2" s="228"/>
      <c r="CZ2" s="228"/>
      <c r="DA2" s="228"/>
      <c r="DB2" s="228"/>
    </row>
    <row r="3" ht="12.0" customHeight="1">
      <c r="A3" s="233"/>
      <c r="B3" s="233" t="s">
        <v>190</v>
      </c>
      <c r="C3" s="233" t="s">
        <v>256</v>
      </c>
      <c r="D3" s="233" t="s">
        <v>257</v>
      </c>
      <c r="E3" s="234" t="s">
        <v>258</v>
      </c>
      <c r="F3" s="234" t="s">
        <v>259</v>
      </c>
      <c r="G3" s="234" t="s">
        <v>258</v>
      </c>
      <c r="H3" s="234" t="s">
        <v>259</v>
      </c>
      <c r="I3" s="234" t="s">
        <v>258</v>
      </c>
      <c r="J3" s="234" t="s">
        <v>259</v>
      </c>
      <c r="K3" s="234" t="s">
        <v>258</v>
      </c>
      <c r="L3" s="234" t="s">
        <v>259</v>
      </c>
      <c r="M3" s="234" t="s">
        <v>258</v>
      </c>
      <c r="N3" s="234" t="s">
        <v>259</v>
      </c>
      <c r="O3" s="234" t="s">
        <v>258</v>
      </c>
      <c r="P3" s="234" t="s">
        <v>259</v>
      </c>
      <c r="Q3" s="234" t="s">
        <v>258</v>
      </c>
      <c r="R3" s="234" t="s">
        <v>259</v>
      </c>
      <c r="S3" s="234" t="s">
        <v>258</v>
      </c>
      <c r="T3" s="234" t="s">
        <v>259</v>
      </c>
      <c r="U3" s="234" t="s">
        <v>258</v>
      </c>
      <c r="V3" s="234" t="s">
        <v>259</v>
      </c>
      <c r="W3" s="234" t="s">
        <v>258</v>
      </c>
      <c r="X3" s="234" t="s">
        <v>259</v>
      </c>
      <c r="Y3" s="234" t="s">
        <v>258</v>
      </c>
      <c r="Z3" s="234" t="s">
        <v>259</v>
      </c>
      <c r="AA3" s="234" t="s">
        <v>258</v>
      </c>
      <c r="AB3" s="234" t="s">
        <v>259</v>
      </c>
      <c r="AC3" s="234" t="s">
        <v>258</v>
      </c>
      <c r="AD3" s="234" t="s">
        <v>259</v>
      </c>
      <c r="AE3" s="234" t="s">
        <v>258</v>
      </c>
      <c r="AF3" s="234" t="s">
        <v>259</v>
      </c>
      <c r="AG3" s="234" t="s">
        <v>258</v>
      </c>
      <c r="AH3" s="234" t="s">
        <v>259</v>
      </c>
      <c r="AI3" s="234" t="s">
        <v>258</v>
      </c>
      <c r="AJ3" s="234" t="s">
        <v>259</v>
      </c>
      <c r="AK3" s="234" t="s">
        <v>258</v>
      </c>
      <c r="AL3" s="234" t="s">
        <v>259</v>
      </c>
      <c r="AM3" s="233" t="s">
        <v>235</v>
      </c>
      <c r="AN3" s="233" t="s">
        <v>236</v>
      </c>
      <c r="AO3" s="233" t="s">
        <v>237</v>
      </c>
      <c r="AP3" s="233" t="s">
        <v>238</v>
      </c>
      <c r="AQ3" s="233" t="s">
        <v>239</v>
      </c>
      <c r="AR3" s="233" t="s">
        <v>240</v>
      </c>
      <c r="AS3" s="233" t="s">
        <v>241</v>
      </c>
      <c r="AT3" s="233" t="s">
        <v>242</v>
      </c>
      <c r="AU3" s="233" t="s">
        <v>243</v>
      </c>
      <c r="AV3" s="233" t="s">
        <v>244</v>
      </c>
      <c r="AW3" s="233" t="s">
        <v>245</v>
      </c>
      <c r="AX3" s="233" t="s">
        <v>246</v>
      </c>
      <c r="AY3" s="233" t="s">
        <v>247</v>
      </c>
      <c r="AZ3" s="233" t="s">
        <v>248</v>
      </c>
      <c r="BA3" s="233" t="s">
        <v>249</v>
      </c>
      <c r="BB3" s="233" t="s">
        <v>250</v>
      </c>
      <c r="BC3" s="233" t="s">
        <v>251</v>
      </c>
      <c r="BD3" s="235" t="s">
        <v>260</v>
      </c>
      <c r="BE3" s="236" t="s">
        <v>261</v>
      </c>
      <c r="BF3" s="236" t="s">
        <v>262</v>
      </c>
      <c r="BG3" s="236" t="s">
        <v>261</v>
      </c>
      <c r="BH3" s="236" t="s">
        <v>262</v>
      </c>
      <c r="BI3" s="236" t="s">
        <v>261</v>
      </c>
      <c r="BJ3" s="236" t="s">
        <v>262</v>
      </c>
      <c r="BK3" s="236" t="s">
        <v>261</v>
      </c>
      <c r="BL3" s="236" t="s">
        <v>262</v>
      </c>
      <c r="BM3" s="236" t="s">
        <v>261</v>
      </c>
      <c r="BN3" s="236" t="s">
        <v>262</v>
      </c>
      <c r="BO3" s="236" t="s">
        <v>261</v>
      </c>
      <c r="BP3" s="236" t="s">
        <v>262</v>
      </c>
      <c r="BQ3" s="236" t="s">
        <v>261</v>
      </c>
      <c r="BR3" s="236" t="s">
        <v>262</v>
      </c>
      <c r="BS3" s="236" t="s">
        <v>261</v>
      </c>
      <c r="BT3" s="236" t="s">
        <v>262</v>
      </c>
      <c r="BU3" s="236" t="s">
        <v>261</v>
      </c>
      <c r="BV3" s="236" t="s">
        <v>262</v>
      </c>
      <c r="BW3" s="236" t="s">
        <v>261</v>
      </c>
      <c r="BX3" s="236" t="s">
        <v>262</v>
      </c>
      <c r="BY3" s="236" t="s">
        <v>261</v>
      </c>
      <c r="BZ3" s="236" t="s">
        <v>262</v>
      </c>
      <c r="CA3" s="236" t="s">
        <v>261</v>
      </c>
      <c r="CB3" s="236" t="s">
        <v>262</v>
      </c>
      <c r="CC3" s="236" t="s">
        <v>261</v>
      </c>
      <c r="CD3" s="236" t="s">
        <v>262</v>
      </c>
      <c r="CE3" s="236" t="s">
        <v>261</v>
      </c>
      <c r="CF3" s="236" t="s">
        <v>262</v>
      </c>
      <c r="CG3" s="236" t="s">
        <v>261</v>
      </c>
      <c r="CH3" s="236" t="s">
        <v>262</v>
      </c>
      <c r="CI3" s="236" t="s">
        <v>261</v>
      </c>
      <c r="CJ3" s="236" t="s">
        <v>262</v>
      </c>
      <c r="CK3" s="236" t="s">
        <v>261</v>
      </c>
      <c r="CL3" s="236" t="s">
        <v>262</v>
      </c>
      <c r="CM3" s="237" t="s">
        <v>16</v>
      </c>
      <c r="CN3" s="237" t="s">
        <v>263</v>
      </c>
      <c r="CO3" s="237" t="s">
        <v>35</v>
      </c>
      <c r="CP3" s="237" t="s">
        <v>98</v>
      </c>
      <c r="CQ3" s="237" t="s">
        <v>264</v>
      </c>
      <c r="CR3" s="235" t="s">
        <v>265</v>
      </c>
      <c r="CS3" s="233" t="s">
        <v>266</v>
      </c>
      <c r="CT3" s="237" t="s">
        <v>109</v>
      </c>
      <c r="CU3" s="237" t="s">
        <v>110</v>
      </c>
      <c r="CV3" s="237" t="s">
        <v>111</v>
      </c>
      <c r="CW3" s="237" t="s">
        <v>112</v>
      </c>
      <c r="CX3" s="233" t="s">
        <v>267</v>
      </c>
      <c r="CY3" s="237" t="s">
        <v>268</v>
      </c>
      <c r="CZ3" s="237" t="s">
        <v>269</v>
      </c>
      <c r="DA3" s="237"/>
      <c r="DB3" s="237"/>
    </row>
    <row r="4" ht="13.5" customHeight="1">
      <c r="A4" s="228"/>
      <c r="B4" s="238" t="s">
        <v>218</v>
      </c>
      <c r="C4" s="238" t="s">
        <v>270</v>
      </c>
      <c r="D4" s="238" t="s">
        <v>235</v>
      </c>
      <c r="E4" s="239" t="s">
        <v>271</v>
      </c>
      <c r="F4" s="240" t="s">
        <v>272</v>
      </c>
      <c r="G4" s="240" t="s">
        <v>273</v>
      </c>
      <c r="H4" s="240" t="s">
        <v>274</v>
      </c>
      <c r="I4" s="240" t="s">
        <v>271</v>
      </c>
      <c r="J4" s="240" t="s">
        <v>275</v>
      </c>
      <c r="K4" s="240" t="s">
        <v>271</v>
      </c>
      <c r="L4" s="240" t="s">
        <v>276</v>
      </c>
      <c r="M4" s="240" t="s">
        <v>271</v>
      </c>
      <c r="N4" s="240" t="s">
        <v>277</v>
      </c>
      <c r="O4" s="240" t="s">
        <v>271</v>
      </c>
      <c r="P4" s="240" t="s">
        <v>277</v>
      </c>
      <c r="Q4" s="240" t="s">
        <v>271</v>
      </c>
      <c r="R4" s="240" t="s">
        <v>278</v>
      </c>
      <c r="S4" s="240" t="s">
        <v>279</v>
      </c>
      <c r="T4" s="240" t="s">
        <v>280</v>
      </c>
      <c r="U4" s="240" t="s">
        <v>271</v>
      </c>
      <c r="V4" s="240" t="s">
        <v>281</v>
      </c>
      <c r="W4" s="240" t="s">
        <v>282</v>
      </c>
      <c r="X4" s="240" t="s">
        <v>283</v>
      </c>
      <c r="Y4" s="240" t="s">
        <v>271</v>
      </c>
      <c r="Z4" s="240" t="s">
        <v>284</v>
      </c>
      <c r="AA4" s="240" t="s">
        <v>271</v>
      </c>
      <c r="AB4" s="240" t="s">
        <v>285</v>
      </c>
      <c r="AC4" s="240" t="s">
        <v>286</v>
      </c>
      <c r="AD4" s="240" t="s">
        <v>287</v>
      </c>
      <c r="AE4" s="240" t="s">
        <v>286</v>
      </c>
      <c r="AF4" s="240" t="s">
        <v>287</v>
      </c>
      <c r="AG4" s="240" t="s">
        <v>271</v>
      </c>
      <c r="AH4" s="240" t="s">
        <v>284</v>
      </c>
      <c r="AI4" s="240" t="s">
        <v>286</v>
      </c>
      <c r="AJ4" s="240" t="s">
        <v>287</v>
      </c>
      <c r="AK4" s="240" t="s">
        <v>271</v>
      </c>
      <c r="AL4" s="240" t="s">
        <v>284</v>
      </c>
      <c r="AM4" s="228" t="s">
        <v>288</v>
      </c>
      <c r="AN4" s="228" t="s">
        <v>289</v>
      </c>
      <c r="AO4" s="228" t="s">
        <v>290</v>
      </c>
      <c r="AP4" s="228" t="s">
        <v>291</v>
      </c>
      <c r="AQ4" s="228" t="s">
        <v>292</v>
      </c>
      <c r="AR4" s="228" t="s">
        <v>293</v>
      </c>
      <c r="AS4" s="228" t="s">
        <v>294</v>
      </c>
      <c r="AT4" s="228" t="s">
        <v>295</v>
      </c>
      <c r="AU4" s="228" t="s">
        <v>296</v>
      </c>
      <c r="AV4" s="228" t="s">
        <v>297</v>
      </c>
      <c r="AW4" s="228" t="s">
        <v>298</v>
      </c>
      <c r="AX4" s="228" t="s">
        <v>299</v>
      </c>
      <c r="AY4" s="228" t="s">
        <v>300</v>
      </c>
      <c r="AZ4" s="228" t="s">
        <v>301</v>
      </c>
      <c r="BA4" s="228" t="s">
        <v>302</v>
      </c>
      <c r="BB4" s="228" t="s">
        <v>303</v>
      </c>
      <c r="BC4" s="228" t="s">
        <v>304</v>
      </c>
      <c r="BD4" s="228" t="str">
        <f t="array" ref="BD4">if('Rg1'!E6=B4,AM4:AM20,if('Rg1'!E6=B5,AN4:AN20,if('Rg1'!E6=B6,AO4:AO20,if('Rg1'!E6=B7,AP4:AP20,if('Rg1'!E6=B8,AQ4:AQ20,if('Rg1'!E6=B9,AR4:AR20,if('Rg1'!E6=B10,AS4:AS20,if('Rg1'!E6=B11,AT4:AT20,if('Rg1'!E6=B12,AU4:AU20,if('Rg1'!E6=B13,AV4:AV20,if('Rg1'!E6=B14,AW4:AW20,if('Rg1'!E6=B15,AX4:AX20,if('Rg1'!E6=B16,AY4:AY20,if('Rg1'!E6=B17,AZ4:AZ20,if('Rg1'!E6=B18,BA4:BA20,if('Rg1'!E6=B19,BB4:BB20,if('Rg1'!E6=B20,BC4:BC20,"Seleccione su proceso")))))))))))))))))</f>
        <v>#REF!</v>
      </c>
      <c r="BE4" s="239" t="s">
        <v>305</v>
      </c>
      <c r="BF4" s="241" t="s">
        <v>306</v>
      </c>
      <c r="BG4" s="239" t="s">
        <v>307</v>
      </c>
      <c r="BH4" s="239" t="s">
        <v>308</v>
      </c>
      <c r="BI4" s="239" t="s">
        <v>309</v>
      </c>
      <c r="BJ4" s="239" t="s">
        <v>310</v>
      </c>
      <c r="BK4" s="241" t="s">
        <v>305</v>
      </c>
      <c r="BL4" s="239" t="s">
        <v>306</v>
      </c>
      <c r="BM4" s="239" t="s">
        <v>305</v>
      </c>
      <c r="BN4" s="239" t="s">
        <v>311</v>
      </c>
      <c r="BO4" s="239" t="s">
        <v>305</v>
      </c>
      <c r="BP4" s="239" t="s">
        <v>312</v>
      </c>
      <c r="BQ4" s="239" t="s">
        <v>313</v>
      </c>
      <c r="BR4" s="239" t="s">
        <v>314</v>
      </c>
      <c r="BS4" s="239" t="s">
        <v>313</v>
      </c>
      <c r="BT4" s="239" t="s">
        <v>311</v>
      </c>
      <c r="BU4" s="239" t="s">
        <v>313</v>
      </c>
      <c r="BV4" s="239" t="s">
        <v>311</v>
      </c>
      <c r="BW4" s="239" t="s">
        <v>313</v>
      </c>
      <c r="BX4" s="239" t="s">
        <v>314</v>
      </c>
      <c r="BY4" s="239" t="s">
        <v>313</v>
      </c>
      <c r="BZ4" s="239" t="s">
        <v>315</v>
      </c>
      <c r="CA4" s="239" t="s">
        <v>313</v>
      </c>
      <c r="CB4" s="239" t="s">
        <v>308</v>
      </c>
      <c r="CC4" s="239" t="s">
        <v>313</v>
      </c>
      <c r="CD4" s="239" t="s">
        <v>316</v>
      </c>
      <c r="CE4" s="239" t="s">
        <v>313</v>
      </c>
      <c r="CF4" s="239" t="s">
        <v>315</v>
      </c>
      <c r="CG4" s="239" t="s">
        <v>313</v>
      </c>
      <c r="CH4" s="239" t="s">
        <v>315</v>
      </c>
      <c r="CI4" s="239" t="s">
        <v>313</v>
      </c>
      <c r="CJ4" s="239" t="s">
        <v>311</v>
      </c>
      <c r="CK4" s="239" t="s">
        <v>313</v>
      </c>
      <c r="CL4" s="239" t="s">
        <v>308</v>
      </c>
      <c r="CM4" s="242" t="s">
        <v>317</v>
      </c>
      <c r="CN4" s="228">
        <v>1.0</v>
      </c>
      <c r="CO4" s="242" t="s">
        <v>36</v>
      </c>
      <c r="CP4" s="242" t="s">
        <v>103</v>
      </c>
      <c r="CQ4" s="242" t="s">
        <v>318</v>
      </c>
      <c r="CR4" s="242" t="s">
        <v>38</v>
      </c>
      <c r="CS4" s="228" t="s">
        <v>319</v>
      </c>
      <c r="CT4" s="242" t="s">
        <v>320</v>
      </c>
      <c r="CU4" s="242" t="s">
        <v>321</v>
      </c>
      <c r="CV4" s="242" t="s">
        <v>322</v>
      </c>
      <c r="CW4" s="242" t="s">
        <v>323</v>
      </c>
      <c r="CX4" s="228" t="s">
        <v>324</v>
      </c>
      <c r="CY4" s="243" t="s">
        <v>325</v>
      </c>
      <c r="CZ4" s="244" t="s">
        <v>326</v>
      </c>
      <c r="DA4" s="244"/>
      <c r="DB4" s="244"/>
    </row>
    <row r="5" ht="13.5" customHeight="1">
      <c r="A5" s="228"/>
      <c r="B5" s="238" t="s">
        <v>219</v>
      </c>
      <c r="C5" s="238" t="s">
        <v>327</v>
      </c>
      <c r="D5" s="238" t="s">
        <v>236</v>
      </c>
      <c r="E5" s="239" t="s">
        <v>279</v>
      </c>
      <c r="F5" s="240" t="s">
        <v>328</v>
      </c>
      <c r="G5" s="240" t="s">
        <v>286</v>
      </c>
      <c r="H5" s="240" t="s">
        <v>329</v>
      </c>
      <c r="I5" s="240" t="s">
        <v>279</v>
      </c>
      <c r="J5" s="240" t="s">
        <v>330</v>
      </c>
      <c r="K5" s="240" t="s">
        <v>279</v>
      </c>
      <c r="L5" s="240" t="s">
        <v>331</v>
      </c>
      <c r="M5" s="240" t="s">
        <v>273</v>
      </c>
      <c r="N5" s="240" t="s">
        <v>332</v>
      </c>
      <c r="O5" s="240" t="s">
        <v>273</v>
      </c>
      <c r="P5" s="240" t="s">
        <v>333</v>
      </c>
      <c r="Q5" s="240" t="s">
        <v>279</v>
      </c>
      <c r="R5" s="240" t="s">
        <v>334</v>
      </c>
      <c r="S5" s="240" t="s">
        <v>335</v>
      </c>
      <c r="T5" s="240" t="s">
        <v>336</v>
      </c>
      <c r="U5" s="240" t="s">
        <v>279</v>
      </c>
      <c r="V5" s="240" t="s">
        <v>331</v>
      </c>
      <c r="W5" s="240" t="s">
        <v>286</v>
      </c>
      <c r="X5" s="240" t="s">
        <v>287</v>
      </c>
      <c r="Y5" s="240" t="s">
        <v>337</v>
      </c>
      <c r="Z5" s="240" t="s">
        <v>338</v>
      </c>
      <c r="AA5" s="240" t="s">
        <v>279</v>
      </c>
      <c r="AB5" s="240" t="s">
        <v>339</v>
      </c>
      <c r="AC5" s="240" t="s">
        <v>340</v>
      </c>
      <c r="AD5" s="240" t="s">
        <v>341</v>
      </c>
      <c r="AE5" s="240" t="s">
        <v>340</v>
      </c>
      <c r="AF5" s="240" t="s">
        <v>341</v>
      </c>
      <c r="AG5" s="240" t="s">
        <v>286</v>
      </c>
      <c r="AH5" s="240" t="s">
        <v>287</v>
      </c>
      <c r="AI5" s="240" t="s">
        <v>340</v>
      </c>
      <c r="AJ5" s="240" t="s">
        <v>341</v>
      </c>
      <c r="AK5" s="240" t="s">
        <v>286</v>
      </c>
      <c r="AL5" s="240" t="s">
        <v>342</v>
      </c>
      <c r="AM5" s="228" t="s">
        <v>343</v>
      </c>
      <c r="AN5" s="228" t="s">
        <v>344</v>
      </c>
      <c r="AO5" s="242" t="s">
        <v>345</v>
      </c>
      <c r="AP5" s="228" t="s">
        <v>346</v>
      </c>
      <c r="AQ5" s="228" t="s">
        <v>347</v>
      </c>
      <c r="AR5" s="228" t="s">
        <v>348</v>
      </c>
      <c r="AS5" s="228" t="s">
        <v>349</v>
      </c>
      <c r="AT5" s="228" t="s">
        <v>350</v>
      </c>
      <c r="AU5" s="228" t="s">
        <v>351</v>
      </c>
      <c r="AV5" s="228" t="s">
        <v>352</v>
      </c>
      <c r="AW5" s="228"/>
      <c r="AX5" s="228" t="s">
        <v>353</v>
      </c>
      <c r="AY5" s="228" t="s">
        <v>354</v>
      </c>
      <c r="AZ5" s="228"/>
      <c r="BA5" s="228" t="s">
        <v>355</v>
      </c>
      <c r="BB5" s="228" t="s">
        <v>356</v>
      </c>
      <c r="BC5" s="228"/>
      <c r="BD5" s="228"/>
      <c r="BE5" s="239" t="s">
        <v>313</v>
      </c>
      <c r="BF5" s="241" t="s">
        <v>357</v>
      </c>
      <c r="BG5" s="241" t="s">
        <v>358</v>
      </c>
      <c r="BH5" s="239" t="s">
        <v>359</v>
      </c>
      <c r="BI5" s="241" t="s">
        <v>360</v>
      </c>
      <c r="BJ5" s="245"/>
      <c r="BK5" s="241" t="s">
        <v>361</v>
      </c>
      <c r="BL5" s="241" t="s">
        <v>362</v>
      </c>
      <c r="BM5" s="239" t="s">
        <v>363</v>
      </c>
      <c r="BN5" s="239" t="s">
        <v>315</v>
      </c>
      <c r="BO5" s="241" t="s">
        <v>363</v>
      </c>
      <c r="BP5" s="239" t="s">
        <v>364</v>
      </c>
      <c r="BQ5" s="239" t="s">
        <v>365</v>
      </c>
      <c r="BR5" s="239" t="s">
        <v>312</v>
      </c>
      <c r="BS5" s="239" t="s">
        <v>358</v>
      </c>
      <c r="BT5" s="239" t="s">
        <v>359</v>
      </c>
      <c r="BU5" s="239" t="s">
        <v>363</v>
      </c>
      <c r="BV5" s="245"/>
      <c r="BW5" s="239" t="s">
        <v>307</v>
      </c>
      <c r="BX5" s="239" t="s">
        <v>364</v>
      </c>
      <c r="BY5" s="239" t="s">
        <v>363</v>
      </c>
      <c r="BZ5" s="239" t="s">
        <v>366</v>
      </c>
      <c r="CA5" s="239" t="s">
        <v>307</v>
      </c>
      <c r="CB5" s="239" t="s">
        <v>316</v>
      </c>
      <c r="CC5" s="239" t="s">
        <v>363</v>
      </c>
      <c r="CD5" s="245"/>
      <c r="CE5" s="239" t="s">
        <v>367</v>
      </c>
      <c r="CF5" s="239" t="s">
        <v>316</v>
      </c>
      <c r="CG5" s="239" t="s">
        <v>309</v>
      </c>
      <c r="CH5" s="239" t="s">
        <v>316</v>
      </c>
      <c r="CI5" s="239" t="s">
        <v>365</v>
      </c>
      <c r="CJ5" s="245"/>
      <c r="CK5" s="239" t="s">
        <v>361</v>
      </c>
      <c r="CL5" s="239" t="s">
        <v>368</v>
      </c>
      <c r="CM5" s="228" t="s">
        <v>369</v>
      </c>
      <c r="CN5" s="228">
        <v>2.0</v>
      </c>
      <c r="CO5" s="242" t="s">
        <v>38</v>
      </c>
      <c r="CP5" s="242" t="s">
        <v>104</v>
      </c>
      <c r="CQ5" s="242" t="s">
        <v>370</v>
      </c>
      <c r="CR5" s="242" t="s">
        <v>38</v>
      </c>
      <c r="CS5" s="228" t="s">
        <v>371</v>
      </c>
      <c r="CT5" s="242" t="s">
        <v>372</v>
      </c>
      <c r="CU5" s="242" t="s">
        <v>373</v>
      </c>
      <c r="CV5" s="242" t="s">
        <v>374</v>
      </c>
      <c r="CW5" s="242" t="s">
        <v>375</v>
      </c>
      <c r="CX5" s="228" t="s">
        <v>376</v>
      </c>
      <c r="CY5" s="243" t="s">
        <v>377</v>
      </c>
      <c r="CZ5" s="244" t="s">
        <v>378</v>
      </c>
      <c r="DA5" s="244"/>
      <c r="DB5" s="244"/>
    </row>
    <row r="6" ht="13.5" customHeight="1">
      <c r="A6" s="228"/>
      <c r="B6" s="238" t="s">
        <v>220</v>
      </c>
      <c r="C6" s="246" t="s">
        <v>379</v>
      </c>
      <c r="D6" s="238" t="s">
        <v>237</v>
      </c>
      <c r="E6" s="239" t="s">
        <v>335</v>
      </c>
      <c r="F6" s="240" t="s">
        <v>380</v>
      </c>
      <c r="G6" s="240" t="s">
        <v>340</v>
      </c>
      <c r="H6" s="240" t="s">
        <v>381</v>
      </c>
      <c r="I6" s="240" t="s">
        <v>282</v>
      </c>
      <c r="J6" s="240" t="s">
        <v>382</v>
      </c>
      <c r="K6" s="240" t="s">
        <v>273</v>
      </c>
      <c r="L6" s="240" t="s">
        <v>383</v>
      </c>
      <c r="M6" s="240" t="s">
        <v>282</v>
      </c>
      <c r="N6" s="240" t="s">
        <v>384</v>
      </c>
      <c r="O6" s="240" t="s">
        <v>282</v>
      </c>
      <c r="P6" s="240" t="s">
        <v>384</v>
      </c>
      <c r="Q6" s="240" t="s">
        <v>335</v>
      </c>
      <c r="R6" s="240" t="s">
        <v>334</v>
      </c>
      <c r="S6" s="240" t="s">
        <v>282</v>
      </c>
      <c r="T6" s="240" t="s">
        <v>283</v>
      </c>
      <c r="U6" s="240" t="s">
        <v>335</v>
      </c>
      <c r="V6" s="240" t="s">
        <v>385</v>
      </c>
      <c r="W6" s="240" t="s">
        <v>340</v>
      </c>
      <c r="X6" s="240" t="s">
        <v>341</v>
      </c>
      <c r="Y6" s="240" t="s">
        <v>286</v>
      </c>
      <c r="Z6" s="240" t="s">
        <v>287</v>
      </c>
      <c r="AA6" s="240" t="s">
        <v>335</v>
      </c>
      <c r="AB6" s="240" t="s">
        <v>386</v>
      </c>
      <c r="AC6" s="240" t="s">
        <v>387</v>
      </c>
      <c r="AD6" s="240" t="s">
        <v>388</v>
      </c>
      <c r="AE6" s="240" t="s">
        <v>387</v>
      </c>
      <c r="AF6" s="240" t="s">
        <v>388</v>
      </c>
      <c r="AG6" s="240" t="s">
        <v>340</v>
      </c>
      <c r="AH6" s="240" t="s">
        <v>341</v>
      </c>
      <c r="AI6" s="240" t="s">
        <v>387</v>
      </c>
      <c r="AJ6" s="240" t="s">
        <v>388</v>
      </c>
      <c r="AK6" s="240" t="s">
        <v>340</v>
      </c>
      <c r="AL6" s="240" t="s">
        <v>341</v>
      </c>
      <c r="AM6" s="228" t="s">
        <v>389</v>
      </c>
      <c r="AN6" s="228" t="s">
        <v>390</v>
      </c>
      <c r="AO6" s="242" t="s">
        <v>391</v>
      </c>
      <c r="AP6" s="228" t="s">
        <v>392</v>
      </c>
      <c r="AQ6" s="228" t="s">
        <v>393</v>
      </c>
      <c r="AR6" s="228" t="s">
        <v>394</v>
      </c>
      <c r="AS6" s="228" t="s">
        <v>395</v>
      </c>
      <c r="AT6" s="228" t="s">
        <v>396</v>
      </c>
      <c r="AU6" s="228" t="s">
        <v>397</v>
      </c>
      <c r="AV6" s="228" t="s">
        <v>398</v>
      </c>
      <c r="AW6" s="228"/>
      <c r="AX6" s="228" t="s">
        <v>399</v>
      </c>
      <c r="AY6" s="228"/>
      <c r="AZ6" s="228"/>
      <c r="BA6" s="228" t="s">
        <v>400</v>
      </c>
      <c r="BB6" s="228"/>
      <c r="BC6" s="228"/>
      <c r="BD6" s="228"/>
      <c r="BE6" s="239" t="s">
        <v>365</v>
      </c>
      <c r="BF6" s="241" t="s">
        <v>401</v>
      </c>
      <c r="BG6" s="241" t="s">
        <v>402</v>
      </c>
      <c r="BH6" s="245"/>
      <c r="BI6" s="240" t="s">
        <v>365</v>
      </c>
      <c r="BJ6" s="245"/>
      <c r="BK6" s="241" t="s">
        <v>403</v>
      </c>
      <c r="BL6" s="241" t="s">
        <v>310</v>
      </c>
      <c r="BM6" s="239" t="s">
        <v>404</v>
      </c>
      <c r="BN6" s="247"/>
      <c r="BO6" s="241" t="s">
        <v>405</v>
      </c>
      <c r="BP6" s="239" t="s">
        <v>311</v>
      </c>
      <c r="BQ6" s="239" t="s">
        <v>307</v>
      </c>
      <c r="BR6" s="239" t="s">
        <v>308</v>
      </c>
      <c r="BS6" s="239" t="s">
        <v>363</v>
      </c>
      <c r="BT6" s="245"/>
      <c r="BU6" s="239" t="s">
        <v>406</v>
      </c>
      <c r="BV6" s="245"/>
      <c r="BW6" s="239" t="s">
        <v>407</v>
      </c>
      <c r="BX6" s="239" t="s">
        <v>308</v>
      </c>
      <c r="BY6" s="239" t="s">
        <v>408</v>
      </c>
      <c r="BZ6" s="239" t="s">
        <v>409</v>
      </c>
      <c r="CA6" s="239" t="s">
        <v>404</v>
      </c>
      <c r="CB6" s="239" t="s">
        <v>410</v>
      </c>
      <c r="CC6" s="239" t="s">
        <v>358</v>
      </c>
      <c r="CD6" s="245"/>
      <c r="CE6" s="239" t="s">
        <v>411</v>
      </c>
      <c r="CF6" s="245"/>
      <c r="CG6" s="239" t="s">
        <v>363</v>
      </c>
      <c r="CH6" s="239" t="s">
        <v>412</v>
      </c>
      <c r="CI6" s="239" t="s">
        <v>307</v>
      </c>
      <c r="CJ6" s="245"/>
      <c r="CK6" s="239" t="s">
        <v>307</v>
      </c>
      <c r="CL6" s="239" t="s">
        <v>413</v>
      </c>
      <c r="CM6" s="242" t="s">
        <v>414</v>
      </c>
      <c r="CN6" s="228">
        <v>3.0</v>
      </c>
      <c r="CO6" s="242" t="s">
        <v>40</v>
      </c>
      <c r="CP6" s="242" t="s">
        <v>89</v>
      </c>
      <c r="CQ6" s="242" t="s">
        <v>415</v>
      </c>
      <c r="CR6" s="242" t="s">
        <v>40</v>
      </c>
      <c r="CS6" s="242" t="s">
        <v>416</v>
      </c>
      <c r="CT6" s="228"/>
      <c r="CU6" s="228"/>
      <c r="CV6" s="228"/>
      <c r="CW6" s="228"/>
      <c r="CX6" s="228" t="s">
        <v>417</v>
      </c>
      <c r="CY6" s="243" t="s">
        <v>418</v>
      </c>
      <c r="CZ6" s="244" t="s">
        <v>419</v>
      </c>
      <c r="DA6" s="244"/>
      <c r="DB6" s="244"/>
    </row>
    <row r="7" ht="13.5" customHeight="1">
      <c r="A7" s="228"/>
      <c r="B7" s="238" t="s">
        <v>222</v>
      </c>
      <c r="C7" s="238" t="s">
        <v>420</v>
      </c>
      <c r="D7" s="238" t="s">
        <v>238</v>
      </c>
      <c r="E7" s="239" t="s">
        <v>282</v>
      </c>
      <c r="F7" s="240" t="s">
        <v>421</v>
      </c>
      <c r="G7" s="240" t="s">
        <v>387</v>
      </c>
      <c r="H7" s="240" t="s">
        <v>388</v>
      </c>
      <c r="I7" s="240" t="s">
        <v>422</v>
      </c>
      <c r="J7" s="240" t="s">
        <v>423</v>
      </c>
      <c r="K7" s="240" t="s">
        <v>282</v>
      </c>
      <c r="L7" s="240" t="s">
        <v>424</v>
      </c>
      <c r="M7" s="240" t="s">
        <v>425</v>
      </c>
      <c r="N7" s="240" t="s">
        <v>426</v>
      </c>
      <c r="O7" s="240" t="s">
        <v>425</v>
      </c>
      <c r="P7" s="240" t="s">
        <v>426</v>
      </c>
      <c r="Q7" s="240" t="s">
        <v>425</v>
      </c>
      <c r="R7" s="240" t="s">
        <v>426</v>
      </c>
      <c r="S7" s="240" t="s">
        <v>286</v>
      </c>
      <c r="T7" s="240" t="s">
        <v>287</v>
      </c>
      <c r="U7" s="240" t="s">
        <v>422</v>
      </c>
      <c r="V7" s="240" t="s">
        <v>427</v>
      </c>
      <c r="W7" s="240" t="s">
        <v>387</v>
      </c>
      <c r="X7" s="240" t="s">
        <v>388</v>
      </c>
      <c r="Y7" s="240" t="s">
        <v>340</v>
      </c>
      <c r="Z7" s="240" t="s">
        <v>341</v>
      </c>
      <c r="AA7" s="240" t="s">
        <v>282</v>
      </c>
      <c r="AB7" s="240" t="s">
        <v>283</v>
      </c>
      <c r="AG7" s="240" t="s">
        <v>387</v>
      </c>
      <c r="AH7" s="240" t="s">
        <v>388</v>
      </c>
      <c r="AI7" s="240"/>
      <c r="AJ7" s="247"/>
      <c r="AK7" s="240" t="s">
        <v>387</v>
      </c>
      <c r="AL7" s="240" t="s">
        <v>388</v>
      </c>
      <c r="AM7" s="228" t="s">
        <v>290</v>
      </c>
      <c r="AN7" s="228"/>
      <c r="AO7" s="228"/>
      <c r="AP7" s="228" t="s">
        <v>428</v>
      </c>
      <c r="AQ7" s="228" t="s">
        <v>429</v>
      </c>
      <c r="AR7" s="228" t="s">
        <v>430</v>
      </c>
      <c r="AS7" s="228" t="s">
        <v>431</v>
      </c>
      <c r="AT7" s="228"/>
      <c r="AU7" s="228" t="s">
        <v>432</v>
      </c>
      <c r="AV7" s="228"/>
      <c r="AW7" s="228"/>
      <c r="AX7" s="228"/>
      <c r="AY7" s="228"/>
      <c r="AZ7" s="228"/>
      <c r="BA7" s="228"/>
      <c r="BB7" s="228"/>
      <c r="BC7" s="228"/>
      <c r="BD7" s="228"/>
      <c r="BE7" s="239" t="s">
        <v>307</v>
      </c>
      <c r="BF7" s="239" t="s">
        <v>314</v>
      </c>
      <c r="BG7" s="241" t="s">
        <v>433</v>
      </c>
      <c r="BH7" s="245"/>
      <c r="BI7" s="240" t="s">
        <v>307</v>
      </c>
      <c r="BJ7" s="245"/>
      <c r="BK7" s="241" t="s">
        <v>434</v>
      </c>
      <c r="BL7" s="241" t="s">
        <v>311</v>
      </c>
      <c r="BM7" s="239" t="s">
        <v>307</v>
      </c>
      <c r="BN7" s="245"/>
      <c r="BO7" s="241" t="s">
        <v>435</v>
      </c>
      <c r="BP7" s="239" t="s">
        <v>436</v>
      </c>
      <c r="BQ7" s="239" t="s">
        <v>437</v>
      </c>
      <c r="BR7" s="239" t="s">
        <v>311</v>
      </c>
      <c r="BS7" s="239" t="s">
        <v>404</v>
      </c>
      <c r="BT7" s="245"/>
      <c r="BU7" s="239" t="s">
        <v>438</v>
      </c>
      <c r="BV7" s="245"/>
      <c r="BW7" s="245"/>
      <c r="BX7" s="245"/>
      <c r="BY7" s="239" t="s">
        <v>439</v>
      </c>
      <c r="BZ7" s="245"/>
      <c r="CA7" s="239" t="s">
        <v>440</v>
      </c>
      <c r="CB7" s="245"/>
      <c r="CC7" s="239" t="s">
        <v>404</v>
      </c>
      <c r="CD7" s="245"/>
      <c r="CE7" s="239" t="s">
        <v>307</v>
      </c>
      <c r="CF7" s="245"/>
      <c r="CG7" s="239" t="s">
        <v>441</v>
      </c>
      <c r="CH7" s="239" t="s">
        <v>410</v>
      </c>
      <c r="CI7" s="239" t="s">
        <v>358</v>
      </c>
      <c r="CJ7" s="245"/>
      <c r="CK7" s="239" t="s">
        <v>358</v>
      </c>
      <c r="CL7" s="245"/>
      <c r="CM7" s="242" t="s">
        <v>442</v>
      </c>
      <c r="CN7" s="228">
        <v>4.0</v>
      </c>
      <c r="CO7" s="242" t="s">
        <v>42</v>
      </c>
      <c r="CP7" s="242" t="s">
        <v>91</v>
      </c>
      <c r="CQ7" s="242" t="s">
        <v>443</v>
      </c>
      <c r="CR7" s="242" t="s">
        <v>42</v>
      </c>
      <c r="CS7" s="228"/>
      <c r="CT7" s="228"/>
      <c r="CU7" s="228"/>
      <c r="CV7" s="228"/>
      <c r="CW7" s="228"/>
      <c r="CX7" s="228" t="s">
        <v>444</v>
      </c>
      <c r="CY7" s="243" t="s">
        <v>445</v>
      </c>
      <c r="CZ7" s="244" t="s">
        <v>446</v>
      </c>
      <c r="DA7" s="244"/>
      <c r="DB7" s="244"/>
    </row>
    <row r="8" ht="13.5" customHeight="1">
      <c r="A8" s="228"/>
      <c r="B8" s="238" t="s">
        <v>223</v>
      </c>
      <c r="C8" s="238" t="s">
        <v>447</v>
      </c>
      <c r="D8" s="238" t="s">
        <v>239</v>
      </c>
      <c r="E8" s="239" t="s">
        <v>422</v>
      </c>
      <c r="F8" s="240" t="s">
        <v>448</v>
      </c>
      <c r="G8" s="240"/>
      <c r="H8" s="240"/>
      <c r="I8" s="240" t="s">
        <v>337</v>
      </c>
      <c r="J8" s="240" t="s">
        <v>449</v>
      </c>
      <c r="K8" s="240" t="s">
        <v>425</v>
      </c>
      <c r="L8" s="240" t="s">
        <v>450</v>
      </c>
      <c r="M8" s="240" t="s">
        <v>337</v>
      </c>
      <c r="N8" s="240" t="s">
        <v>451</v>
      </c>
      <c r="O8" s="240" t="s">
        <v>337</v>
      </c>
      <c r="P8" s="240" t="s">
        <v>451</v>
      </c>
      <c r="Q8" s="240" t="s">
        <v>286</v>
      </c>
      <c r="R8" s="240" t="s">
        <v>287</v>
      </c>
      <c r="S8" s="240" t="s">
        <v>340</v>
      </c>
      <c r="T8" s="240" t="s">
        <v>452</v>
      </c>
      <c r="U8" s="240" t="s">
        <v>286</v>
      </c>
      <c r="V8" s="240" t="s">
        <v>287</v>
      </c>
      <c r="Y8" s="240" t="s">
        <v>387</v>
      </c>
      <c r="Z8" s="240" t="s">
        <v>453</v>
      </c>
      <c r="AA8" s="240" t="s">
        <v>422</v>
      </c>
      <c r="AB8" s="240" t="s">
        <v>454</v>
      </c>
      <c r="AG8" s="240"/>
      <c r="AH8" s="240"/>
      <c r="AI8" s="240"/>
      <c r="AJ8" s="240"/>
      <c r="AM8" s="228"/>
      <c r="AN8" s="228"/>
      <c r="AO8" s="228"/>
      <c r="AP8" s="228" t="s">
        <v>455</v>
      </c>
      <c r="AQ8" s="228" t="s">
        <v>456</v>
      </c>
      <c r="AR8" s="228" t="s">
        <v>457</v>
      </c>
      <c r="AS8" s="228" t="s">
        <v>458</v>
      </c>
      <c r="AT8" s="228"/>
      <c r="AU8" s="228"/>
      <c r="AV8" s="228"/>
      <c r="AW8" s="228"/>
      <c r="AX8" s="228"/>
      <c r="AY8" s="228"/>
      <c r="AZ8" s="228"/>
      <c r="BA8" s="228"/>
      <c r="BB8" s="228"/>
      <c r="BC8" s="228"/>
      <c r="BD8" s="228"/>
      <c r="BE8" s="239" t="s">
        <v>459</v>
      </c>
      <c r="BF8" s="241" t="s">
        <v>308</v>
      </c>
      <c r="BG8" s="241" t="s">
        <v>404</v>
      </c>
      <c r="BH8" s="245"/>
      <c r="BI8" s="240" t="s">
        <v>358</v>
      </c>
      <c r="BJ8" s="245"/>
      <c r="BK8" s="241" t="s">
        <v>408</v>
      </c>
      <c r="BL8" s="245"/>
      <c r="BM8" s="239" t="s">
        <v>406</v>
      </c>
      <c r="BN8" s="245"/>
      <c r="BO8" s="241" t="s">
        <v>460</v>
      </c>
      <c r="BP8" s="239" t="s">
        <v>461</v>
      </c>
      <c r="BQ8" s="239" t="s">
        <v>462</v>
      </c>
      <c r="BR8" s="239" t="s">
        <v>359</v>
      </c>
      <c r="BS8" s="241" t="s">
        <v>406</v>
      </c>
      <c r="BT8" s="245"/>
      <c r="BU8" s="239" t="s">
        <v>463</v>
      </c>
      <c r="BV8" s="245"/>
      <c r="BW8" s="245"/>
      <c r="BX8" s="245"/>
      <c r="BY8" s="239" t="s">
        <v>464</v>
      </c>
      <c r="BZ8" s="245"/>
      <c r="CA8" s="239" t="s">
        <v>465</v>
      </c>
      <c r="CB8" s="245"/>
      <c r="CC8" s="239" t="s">
        <v>466</v>
      </c>
      <c r="CD8" s="245"/>
      <c r="CE8" s="239" t="s">
        <v>467</v>
      </c>
      <c r="CF8" s="245"/>
      <c r="CG8" s="239" t="s">
        <v>465</v>
      </c>
      <c r="CH8" s="245"/>
      <c r="CI8" s="239" t="s">
        <v>363</v>
      </c>
      <c r="CJ8" s="245"/>
      <c r="CK8" s="239" t="s">
        <v>363</v>
      </c>
      <c r="CL8" s="245"/>
      <c r="CM8" s="242" t="s">
        <v>468</v>
      </c>
      <c r="CN8" s="228">
        <v>5.0</v>
      </c>
      <c r="CO8" s="242" t="s">
        <v>44</v>
      </c>
      <c r="CP8" s="242" t="s">
        <v>93</v>
      </c>
      <c r="CQ8" s="242" t="s">
        <v>469</v>
      </c>
      <c r="CR8" s="242" t="s">
        <v>97</v>
      </c>
      <c r="CS8" s="228"/>
      <c r="CT8" s="228"/>
      <c r="CU8" s="228"/>
      <c r="CV8" s="228"/>
      <c r="CW8" s="228"/>
      <c r="CX8" s="228"/>
      <c r="CY8" s="243" t="s">
        <v>470</v>
      </c>
      <c r="CZ8" s="243"/>
      <c r="DA8" s="243"/>
      <c r="DB8" s="243"/>
    </row>
    <row r="9" ht="13.5" customHeight="1">
      <c r="A9" s="228"/>
      <c r="B9" s="238" t="s">
        <v>224</v>
      </c>
      <c r="C9" s="238" t="s">
        <v>471</v>
      </c>
      <c r="D9" s="238" t="s">
        <v>240</v>
      </c>
      <c r="E9" s="239" t="s">
        <v>337</v>
      </c>
      <c r="F9" s="248" t="s">
        <v>472</v>
      </c>
      <c r="G9" s="240"/>
      <c r="H9" s="240"/>
      <c r="I9" s="240" t="s">
        <v>286</v>
      </c>
      <c r="J9" s="240" t="s">
        <v>473</v>
      </c>
      <c r="K9" s="240" t="s">
        <v>337</v>
      </c>
      <c r="L9" s="240" t="s">
        <v>474</v>
      </c>
      <c r="M9" s="240" t="s">
        <v>286</v>
      </c>
      <c r="N9" s="240" t="s">
        <v>475</v>
      </c>
      <c r="O9" s="240" t="s">
        <v>286</v>
      </c>
      <c r="P9" s="240" t="s">
        <v>476</v>
      </c>
      <c r="Q9" s="240" t="s">
        <v>340</v>
      </c>
      <c r="R9" s="240" t="s">
        <v>477</v>
      </c>
      <c r="S9" s="240" t="s">
        <v>387</v>
      </c>
      <c r="T9" s="240" t="s">
        <v>388</v>
      </c>
      <c r="U9" s="240" t="s">
        <v>478</v>
      </c>
      <c r="V9" s="240" t="s">
        <v>479</v>
      </c>
      <c r="AA9" s="240" t="s">
        <v>286</v>
      </c>
      <c r="AB9" s="240" t="s">
        <v>287</v>
      </c>
      <c r="AC9" s="240"/>
      <c r="AD9" s="240"/>
      <c r="AE9" s="240"/>
      <c r="AF9" s="240"/>
      <c r="AH9" s="240"/>
      <c r="AI9" s="240"/>
      <c r="AJ9" s="240"/>
      <c r="AK9" s="240"/>
      <c r="AL9" s="240"/>
      <c r="AM9" s="228"/>
      <c r="AN9" s="228"/>
      <c r="AO9" s="228"/>
      <c r="AP9" s="228" t="s">
        <v>480</v>
      </c>
      <c r="AQ9" s="228" t="s">
        <v>481</v>
      </c>
      <c r="AR9" s="228" t="s">
        <v>482</v>
      </c>
      <c r="AS9" s="228" t="s">
        <v>483</v>
      </c>
      <c r="AT9" s="228"/>
      <c r="AU9" s="228"/>
      <c r="AV9" s="228"/>
      <c r="AW9" s="228"/>
      <c r="AX9" s="228"/>
      <c r="AY9" s="228"/>
      <c r="AZ9" s="228"/>
      <c r="BA9" s="228"/>
      <c r="BB9" s="228"/>
      <c r="BC9" s="228"/>
      <c r="BD9" s="228"/>
      <c r="BE9" s="239" t="s">
        <v>363</v>
      </c>
      <c r="BF9" s="241" t="s">
        <v>484</v>
      </c>
      <c r="BG9" s="241" t="s">
        <v>403</v>
      </c>
      <c r="BH9" s="245"/>
      <c r="BI9" s="240" t="s">
        <v>363</v>
      </c>
      <c r="BJ9" s="245"/>
      <c r="BK9" s="241" t="s">
        <v>467</v>
      </c>
      <c r="BL9" s="245"/>
      <c r="BM9" s="239" t="s">
        <v>408</v>
      </c>
      <c r="BN9" s="245"/>
      <c r="BO9" s="241" t="s">
        <v>485</v>
      </c>
      <c r="BP9" s="239" t="s">
        <v>486</v>
      </c>
      <c r="BQ9" s="239" t="s">
        <v>463</v>
      </c>
      <c r="BR9" s="239" t="s">
        <v>366</v>
      </c>
      <c r="BS9" s="239" t="s">
        <v>405</v>
      </c>
      <c r="BT9" s="245"/>
      <c r="BU9" s="239" t="s">
        <v>487</v>
      </c>
      <c r="BV9" s="245"/>
      <c r="BW9" s="245"/>
      <c r="BX9" s="245"/>
      <c r="BY9" s="239" t="s">
        <v>485</v>
      </c>
      <c r="BZ9" s="245"/>
      <c r="CA9" s="239" t="s">
        <v>488</v>
      </c>
      <c r="CB9" s="245"/>
      <c r="CC9" s="239" t="s">
        <v>403</v>
      </c>
      <c r="CD9" s="245"/>
      <c r="CE9" s="245"/>
      <c r="CF9" s="245"/>
      <c r="CG9" s="239" t="s">
        <v>488</v>
      </c>
      <c r="CH9" s="245"/>
      <c r="CI9" s="239" t="s">
        <v>405</v>
      </c>
      <c r="CJ9" s="245"/>
      <c r="CK9" s="239" t="s">
        <v>404</v>
      </c>
      <c r="CL9" s="245"/>
      <c r="CM9" s="242" t="s">
        <v>489</v>
      </c>
      <c r="CN9" s="228"/>
      <c r="CO9" s="228"/>
      <c r="CP9" s="228"/>
      <c r="CQ9" s="242" t="s">
        <v>490</v>
      </c>
      <c r="CR9" s="242" t="s">
        <v>38</v>
      </c>
      <c r="CS9" s="228"/>
      <c r="CT9" s="228"/>
      <c r="CU9" s="228"/>
      <c r="CV9" s="228"/>
      <c r="CW9" s="228"/>
      <c r="CX9" s="228"/>
      <c r="CY9" s="243" t="s">
        <v>491</v>
      </c>
      <c r="CZ9" s="243"/>
      <c r="DA9" s="243"/>
      <c r="DB9" s="243"/>
    </row>
    <row r="10" ht="13.5" customHeight="1">
      <c r="A10" s="228"/>
      <c r="B10" s="238" t="s">
        <v>225</v>
      </c>
      <c r="C10" s="238" t="s">
        <v>492</v>
      </c>
      <c r="D10" s="238" t="s">
        <v>241</v>
      </c>
      <c r="E10" s="239" t="s">
        <v>286</v>
      </c>
      <c r="F10" s="248" t="s">
        <v>493</v>
      </c>
      <c r="G10" s="240"/>
      <c r="H10" s="240"/>
      <c r="I10" s="240" t="s">
        <v>478</v>
      </c>
      <c r="J10" s="240" t="s">
        <v>494</v>
      </c>
      <c r="K10" s="240" t="s">
        <v>286</v>
      </c>
      <c r="L10" s="240" t="s">
        <v>495</v>
      </c>
      <c r="M10" s="240" t="s">
        <v>340</v>
      </c>
      <c r="N10" s="240" t="s">
        <v>496</v>
      </c>
      <c r="O10" s="240" t="s">
        <v>340</v>
      </c>
      <c r="P10" s="240" t="s">
        <v>476</v>
      </c>
      <c r="Q10" s="240" t="s">
        <v>387</v>
      </c>
      <c r="R10" s="240" t="s">
        <v>388</v>
      </c>
      <c r="U10" s="240" t="s">
        <v>340</v>
      </c>
      <c r="V10" s="240" t="s">
        <v>452</v>
      </c>
      <c r="AA10" s="240" t="s">
        <v>340</v>
      </c>
      <c r="AB10" s="240" t="s">
        <v>341</v>
      </c>
      <c r="AC10" s="240"/>
      <c r="AD10" s="240"/>
      <c r="AE10" s="240"/>
      <c r="AF10" s="240"/>
      <c r="AG10" s="240"/>
      <c r="AH10" s="240"/>
      <c r="AI10" s="240"/>
      <c r="AJ10" s="240"/>
      <c r="AK10" s="240"/>
      <c r="AL10" s="240"/>
      <c r="AM10" s="228"/>
      <c r="AN10" s="228"/>
      <c r="AO10" s="228"/>
      <c r="AP10" s="228" t="s">
        <v>497</v>
      </c>
      <c r="AQ10" s="228"/>
      <c r="AR10" s="228"/>
      <c r="AS10" s="228"/>
      <c r="AT10" s="228"/>
      <c r="AU10" s="228"/>
      <c r="AV10" s="228"/>
      <c r="AW10" s="228"/>
      <c r="AX10" s="228"/>
      <c r="AY10" s="228"/>
      <c r="AZ10" s="228"/>
      <c r="BA10" s="228"/>
      <c r="BB10" s="228"/>
      <c r="BC10" s="228"/>
      <c r="BD10" s="228"/>
      <c r="BE10" s="239" t="s">
        <v>406</v>
      </c>
      <c r="BF10" s="241" t="s">
        <v>311</v>
      </c>
      <c r="BG10" s="241" t="s">
        <v>405</v>
      </c>
      <c r="BH10" s="245"/>
      <c r="BI10" s="240" t="s">
        <v>404</v>
      </c>
      <c r="BJ10" s="245"/>
      <c r="BK10" s="241" t="s">
        <v>498</v>
      </c>
      <c r="BL10" s="245"/>
      <c r="BM10" s="239" t="s">
        <v>467</v>
      </c>
      <c r="BN10" s="245"/>
      <c r="BO10" s="241" t="s">
        <v>499</v>
      </c>
      <c r="BP10" s="245"/>
      <c r="BQ10" s="245"/>
      <c r="BR10" s="239" t="s">
        <v>409</v>
      </c>
      <c r="BS10" s="239" t="s">
        <v>438</v>
      </c>
      <c r="BT10" s="245"/>
      <c r="BU10" s="239" t="s">
        <v>500</v>
      </c>
      <c r="BV10" s="245"/>
      <c r="BW10" s="245"/>
      <c r="BX10" s="245"/>
      <c r="BY10" s="239" t="s">
        <v>501</v>
      </c>
      <c r="BZ10" s="245"/>
      <c r="CA10" s="239" t="s">
        <v>502</v>
      </c>
      <c r="CB10" s="245"/>
      <c r="CC10" s="245"/>
      <c r="CD10" s="245"/>
      <c r="CE10" s="245"/>
      <c r="CF10" s="245"/>
      <c r="CG10" s="239" t="s">
        <v>503</v>
      </c>
      <c r="CH10" s="245"/>
      <c r="CI10" s="239" t="s">
        <v>411</v>
      </c>
      <c r="CJ10" s="245"/>
      <c r="CK10" s="239" t="s">
        <v>406</v>
      </c>
      <c r="CL10" s="245"/>
      <c r="CM10" s="242" t="s">
        <v>504</v>
      </c>
      <c r="CN10" s="228"/>
      <c r="CO10" s="228"/>
      <c r="CP10" s="228"/>
      <c r="CQ10" s="242" t="s">
        <v>505</v>
      </c>
      <c r="CR10" s="242" t="s">
        <v>38</v>
      </c>
      <c r="CS10" s="228"/>
      <c r="CT10" s="228"/>
      <c r="CU10" s="228"/>
      <c r="CV10" s="228"/>
      <c r="CW10" s="228"/>
      <c r="CX10" s="228"/>
      <c r="CY10" s="228"/>
      <c r="CZ10" s="228"/>
      <c r="DA10" s="228"/>
      <c r="DB10" s="228"/>
    </row>
    <row r="11" ht="13.5" customHeight="1">
      <c r="A11" s="228"/>
      <c r="B11" s="238" t="s">
        <v>231</v>
      </c>
      <c r="C11" s="238" t="s">
        <v>506</v>
      </c>
      <c r="D11" s="238" t="s">
        <v>242</v>
      </c>
      <c r="E11" s="239" t="s">
        <v>340</v>
      </c>
      <c r="F11" s="240" t="s">
        <v>507</v>
      </c>
      <c r="G11" s="240"/>
      <c r="H11" s="240"/>
      <c r="I11" s="240" t="s">
        <v>340</v>
      </c>
      <c r="J11" s="240" t="s">
        <v>381</v>
      </c>
      <c r="K11" s="240" t="s">
        <v>478</v>
      </c>
      <c r="L11" s="240" t="s">
        <v>508</v>
      </c>
      <c r="M11" s="240" t="s">
        <v>387</v>
      </c>
      <c r="N11" s="240" t="s">
        <v>453</v>
      </c>
      <c r="O11" s="240" t="s">
        <v>387</v>
      </c>
      <c r="P11" s="240" t="s">
        <v>453</v>
      </c>
      <c r="S11" s="240"/>
      <c r="T11" s="240"/>
      <c r="U11" s="240" t="s">
        <v>387</v>
      </c>
      <c r="V11" s="240" t="s">
        <v>388</v>
      </c>
      <c r="AA11" s="240" t="s">
        <v>509</v>
      </c>
      <c r="AB11" s="240" t="s">
        <v>510</v>
      </c>
      <c r="AC11" s="240"/>
      <c r="AD11" s="240"/>
      <c r="AE11" s="240"/>
      <c r="AF11" s="240"/>
      <c r="AG11" s="240"/>
      <c r="AH11" s="240"/>
      <c r="AI11" s="240"/>
      <c r="AJ11" s="240"/>
      <c r="AK11" s="240"/>
      <c r="AL11" s="240"/>
      <c r="AM11" s="228"/>
      <c r="AN11" s="228"/>
      <c r="AO11" s="228"/>
      <c r="AP11" s="228" t="s">
        <v>511</v>
      </c>
      <c r="AQ11" s="228"/>
      <c r="AR11" s="228"/>
      <c r="AS11" s="228"/>
      <c r="AT11" s="228"/>
      <c r="AU11" s="228"/>
      <c r="AV11" s="228"/>
      <c r="AW11" s="228"/>
      <c r="AX11" s="228"/>
      <c r="AY11" s="228"/>
      <c r="AZ11" s="228"/>
      <c r="BA11" s="228"/>
      <c r="BB11" s="228"/>
      <c r="BC11" s="228"/>
      <c r="BD11" s="228"/>
      <c r="BE11" s="239" t="s">
        <v>498</v>
      </c>
      <c r="BF11" s="241" t="s">
        <v>359</v>
      </c>
      <c r="BG11" s="241" t="s">
        <v>467</v>
      </c>
      <c r="BH11" s="245"/>
      <c r="BI11" s="241" t="s">
        <v>405</v>
      </c>
      <c r="BJ11" s="245"/>
      <c r="BK11" s="241" t="s">
        <v>512</v>
      </c>
      <c r="BL11" s="245"/>
      <c r="BM11" s="239" t="s">
        <v>435</v>
      </c>
      <c r="BN11" s="245"/>
      <c r="BO11" s="241" t="s">
        <v>513</v>
      </c>
      <c r="BP11" s="245"/>
      <c r="BQ11" s="245"/>
      <c r="BR11" s="245"/>
      <c r="BS11" s="239" t="s">
        <v>487</v>
      </c>
      <c r="BT11" s="245"/>
      <c r="BU11" s="239" t="s">
        <v>514</v>
      </c>
      <c r="BV11" s="245"/>
      <c r="BW11" s="245"/>
      <c r="BX11" s="245"/>
      <c r="BY11" s="239" t="s">
        <v>499</v>
      </c>
      <c r="BZ11" s="245"/>
      <c r="CA11" s="245"/>
      <c r="CB11" s="245"/>
      <c r="CC11" s="245"/>
      <c r="CD11" s="245"/>
      <c r="CE11" s="245"/>
      <c r="CF11" s="245"/>
      <c r="CG11" s="245"/>
      <c r="CH11" s="245"/>
      <c r="CI11" s="245"/>
      <c r="CJ11" s="245"/>
      <c r="CK11" s="239" t="s">
        <v>434</v>
      </c>
      <c r="CL11" s="245"/>
      <c r="CM11" s="228"/>
      <c r="CN11" s="228"/>
      <c r="CO11" s="228"/>
      <c r="CP11" s="228"/>
      <c r="CQ11" s="242" t="s">
        <v>515</v>
      </c>
      <c r="CR11" s="242" t="s">
        <v>40</v>
      </c>
      <c r="CS11" s="228"/>
      <c r="CT11" s="228"/>
      <c r="CU11" s="228"/>
      <c r="CV11" s="228"/>
      <c r="CW11" s="228"/>
      <c r="CX11" s="228"/>
      <c r="CY11" s="228"/>
      <c r="CZ11" s="228"/>
      <c r="DA11" s="228"/>
      <c r="DB11" s="228"/>
    </row>
    <row r="12" ht="13.5" customHeight="1">
      <c r="A12" s="228"/>
      <c r="B12" s="238" t="s">
        <v>232</v>
      </c>
      <c r="C12" s="238" t="s">
        <v>516</v>
      </c>
      <c r="D12" s="238" t="s">
        <v>243</v>
      </c>
      <c r="E12" s="239" t="s">
        <v>509</v>
      </c>
      <c r="F12" s="240" t="s">
        <v>517</v>
      </c>
      <c r="I12" s="240" t="s">
        <v>509</v>
      </c>
      <c r="J12" s="240" t="s">
        <v>518</v>
      </c>
      <c r="K12" s="240" t="s">
        <v>340</v>
      </c>
      <c r="L12" s="240" t="s">
        <v>496</v>
      </c>
      <c r="U12" s="240" t="s">
        <v>519</v>
      </c>
      <c r="V12" s="240" t="s">
        <v>520</v>
      </c>
      <c r="AA12" s="240" t="s">
        <v>387</v>
      </c>
      <c r="AB12" s="240" t="s">
        <v>388</v>
      </c>
      <c r="AH12" s="240"/>
      <c r="AM12" s="228"/>
      <c r="AN12" s="228"/>
      <c r="AO12" s="228"/>
      <c r="AP12" s="228" t="s">
        <v>521</v>
      </c>
      <c r="AQ12" s="228"/>
      <c r="AR12" s="228"/>
      <c r="AS12" s="228"/>
      <c r="AT12" s="228"/>
      <c r="AU12" s="228"/>
      <c r="AV12" s="228"/>
      <c r="AW12" s="228"/>
      <c r="AX12" s="228"/>
      <c r="AY12" s="228"/>
      <c r="AZ12" s="228"/>
      <c r="BA12" s="228"/>
      <c r="BB12" s="228"/>
      <c r="BC12" s="228"/>
      <c r="BD12" s="228"/>
      <c r="BE12" s="239" t="s">
        <v>512</v>
      </c>
      <c r="BF12" s="241" t="s">
        <v>522</v>
      </c>
      <c r="BG12" s="245"/>
      <c r="BH12" s="245"/>
      <c r="BI12" s="245"/>
      <c r="BJ12" s="245"/>
      <c r="BK12" s="241" t="s">
        <v>523</v>
      </c>
      <c r="BL12" s="245"/>
      <c r="BM12" s="239" t="s">
        <v>460</v>
      </c>
      <c r="BN12" s="245"/>
      <c r="BO12" s="241" t="s">
        <v>524</v>
      </c>
      <c r="BP12" s="245"/>
      <c r="BQ12" s="245"/>
      <c r="BR12" s="245"/>
      <c r="BS12" s="249" t="s">
        <v>411</v>
      </c>
      <c r="BT12" s="245"/>
      <c r="BU12" s="239" t="s">
        <v>411</v>
      </c>
      <c r="BV12" s="245"/>
      <c r="BW12" s="245"/>
      <c r="BX12" s="245"/>
      <c r="BY12" s="239" t="s">
        <v>525</v>
      </c>
      <c r="BZ12" s="245"/>
      <c r="CA12" s="245"/>
      <c r="CB12" s="245"/>
      <c r="CC12" s="245"/>
      <c r="CD12" s="245"/>
      <c r="CE12" s="245"/>
      <c r="CF12" s="245"/>
      <c r="CG12" s="245"/>
      <c r="CH12" s="245"/>
      <c r="CI12" s="245"/>
      <c r="CJ12" s="245"/>
      <c r="CK12" s="239" t="s">
        <v>467</v>
      </c>
      <c r="CL12" s="245"/>
      <c r="CM12" s="228"/>
      <c r="CN12" s="228"/>
      <c r="CO12" s="228"/>
      <c r="CP12" s="228"/>
      <c r="CQ12" s="242" t="s">
        <v>526</v>
      </c>
      <c r="CR12" s="242" t="s">
        <v>42</v>
      </c>
      <c r="CS12" s="228"/>
      <c r="CT12" s="228"/>
      <c r="CU12" s="228"/>
      <c r="CV12" s="228"/>
      <c r="CW12" s="228"/>
      <c r="CX12" s="228"/>
      <c r="CY12" s="228"/>
      <c r="CZ12" s="228"/>
      <c r="DA12" s="228"/>
      <c r="DB12" s="228"/>
    </row>
    <row r="13" ht="13.5" customHeight="1">
      <c r="A13" s="228"/>
      <c r="B13" s="238" t="s">
        <v>226</v>
      </c>
      <c r="C13" s="238" t="s">
        <v>527</v>
      </c>
      <c r="D13" s="238" t="s">
        <v>244</v>
      </c>
      <c r="E13" s="239" t="s">
        <v>387</v>
      </c>
      <c r="F13" s="240" t="s">
        <v>528</v>
      </c>
      <c r="G13" s="240"/>
      <c r="H13" s="240"/>
      <c r="I13" s="240" t="s">
        <v>387</v>
      </c>
      <c r="J13" s="240" t="s">
        <v>388</v>
      </c>
      <c r="K13" s="240" t="s">
        <v>387</v>
      </c>
      <c r="L13" s="240" t="s">
        <v>453</v>
      </c>
      <c r="M13" s="240"/>
      <c r="N13" s="240"/>
      <c r="O13" s="240"/>
      <c r="P13" s="240"/>
      <c r="Q13" s="240"/>
      <c r="R13" s="240"/>
      <c r="W13" s="240"/>
      <c r="X13" s="240"/>
      <c r="AH13" s="240"/>
      <c r="AI13" s="240"/>
      <c r="AJ13" s="240"/>
      <c r="AK13" s="240"/>
      <c r="AL13" s="240"/>
      <c r="AM13" s="228"/>
      <c r="AN13" s="228"/>
      <c r="AO13" s="228"/>
      <c r="AP13" s="242" t="s">
        <v>529</v>
      </c>
      <c r="AQ13" s="228"/>
      <c r="AR13" s="228"/>
      <c r="AS13" s="228"/>
      <c r="AT13" s="228"/>
      <c r="AU13" s="228"/>
      <c r="AV13" s="228"/>
      <c r="AW13" s="228"/>
      <c r="AX13" s="228"/>
      <c r="AY13" s="228"/>
      <c r="AZ13" s="228"/>
      <c r="BA13" s="228"/>
      <c r="BB13" s="228"/>
      <c r="BC13" s="228"/>
      <c r="BD13" s="228"/>
      <c r="BE13" s="240" t="s">
        <v>513</v>
      </c>
      <c r="BF13" s="241" t="s">
        <v>486</v>
      </c>
      <c r="BG13" s="245"/>
      <c r="BH13" s="245"/>
      <c r="BI13" s="245"/>
      <c r="BJ13" s="245"/>
      <c r="BK13" s="241" t="s">
        <v>435</v>
      </c>
      <c r="BL13" s="245"/>
      <c r="BM13" s="239" t="s">
        <v>530</v>
      </c>
      <c r="BN13" s="245"/>
      <c r="BO13" s="241" t="s">
        <v>531</v>
      </c>
      <c r="BP13" s="245"/>
      <c r="BQ13" s="245"/>
      <c r="BR13" s="245"/>
      <c r="BS13" s="245"/>
      <c r="BT13" s="245"/>
      <c r="BU13" s="245"/>
      <c r="BV13" s="245"/>
      <c r="BW13" s="245"/>
      <c r="BX13" s="245"/>
      <c r="BY13" s="245"/>
      <c r="BZ13" s="245"/>
      <c r="CA13" s="245"/>
      <c r="CB13" s="245"/>
      <c r="CC13" s="245"/>
      <c r="CD13" s="245"/>
      <c r="CE13" s="245"/>
      <c r="CF13" s="245"/>
      <c r="CG13" s="245"/>
      <c r="CH13" s="245"/>
      <c r="CI13" s="245"/>
      <c r="CJ13" s="245"/>
      <c r="CK13" s="239" t="s">
        <v>498</v>
      </c>
      <c r="CL13" s="245"/>
      <c r="CM13" s="228"/>
      <c r="CN13" s="228"/>
      <c r="CO13" s="228"/>
      <c r="CP13" s="228"/>
      <c r="CQ13" s="242" t="s">
        <v>532</v>
      </c>
      <c r="CR13" s="242" t="s">
        <v>97</v>
      </c>
      <c r="CS13" s="228"/>
      <c r="CT13" s="228"/>
      <c r="CU13" s="228"/>
      <c r="CV13" s="228"/>
      <c r="CW13" s="228"/>
      <c r="CX13" s="228"/>
      <c r="CY13" s="228"/>
      <c r="CZ13" s="228"/>
      <c r="DA13" s="228"/>
      <c r="DB13" s="228"/>
    </row>
    <row r="14" ht="13.5" customHeight="1">
      <c r="A14" s="228"/>
      <c r="B14" s="238" t="s">
        <v>221</v>
      </c>
      <c r="C14" s="238" t="s">
        <v>533</v>
      </c>
      <c r="D14" s="238" t="s">
        <v>245</v>
      </c>
      <c r="E14" s="247"/>
      <c r="F14" s="247"/>
      <c r="I14" s="240"/>
      <c r="J14" s="240"/>
      <c r="N14" s="240"/>
      <c r="AA14" s="240"/>
      <c r="AB14" s="240"/>
      <c r="AH14" s="240"/>
      <c r="AI14" s="240"/>
      <c r="AJ14" s="240"/>
      <c r="AM14" s="228"/>
      <c r="AN14" s="228"/>
      <c r="AO14" s="228"/>
      <c r="AP14" s="228"/>
      <c r="AQ14" s="228"/>
      <c r="AR14" s="228"/>
      <c r="AS14" s="228"/>
      <c r="AT14" s="228"/>
      <c r="AU14" s="228"/>
      <c r="AV14" s="228"/>
      <c r="AW14" s="228"/>
      <c r="AX14" s="228"/>
      <c r="AY14" s="228"/>
      <c r="AZ14" s="228"/>
      <c r="BA14" s="228"/>
      <c r="BB14" s="228"/>
      <c r="BC14" s="228"/>
      <c r="BD14" s="228"/>
      <c r="BE14" s="250" t="s">
        <v>534</v>
      </c>
      <c r="BF14" s="251" t="s">
        <v>316</v>
      </c>
      <c r="BG14" s="245"/>
      <c r="BH14" s="245"/>
      <c r="BI14" s="245"/>
      <c r="BJ14" s="245"/>
      <c r="BK14" s="241" t="s">
        <v>460</v>
      </c>
      <c r="BL14" s="245"/>
      <c r="BM14" s="239" t="s">
        <v>535</v>
      </c>
      <c r="BN14" s="245"/>
      <c r="BO14" s="241" t="s">
        <v>536</v>
      </c>
      <c r="BP14" s="245"/>
      <c r="BQ14" s="245"/>
      <c r="BR14" s="245"/>
      <c r="BS14" s="245"/>
      <c r="BT14" s="245"/>
      <c r="BU14" s="245"/>
      <c r="BV14" s="245"/>
      <c r="BW14" s="245"/>
      <c r="BX14" s="245"/>
      <c r="BY14" s="245"/>
      <c r="BZ14" s="245"/>
      <c r="CA14" s="245"/>
      <c r="CB14" s="245"/>
      <c r="CC14" s="245"/>
      <c r="CD14" s="245"/>
      <c r="CE14" s="245"/>
      <c r="CF14" s="245"/>
      <c r="CG14" s="245"/>
      <c r="CH14" s="245"/>
      <c r="CI14" s="245"/>
      <c r="CJ14" s="245"/>
      <c r="CK14" s="239" t="s">
        <v>512</v>
      </c>
      <c r="CL14" s="245"/>
      <c r="CM14" s="228"/>
      <c r="CN14" s="228"/>
      <c r="CO14" s="228"/>
      <c r="CP14" s="228"/>
      <c r="CQ14" s="242" t="s">
        <v>537</v>
      </c>
      <c r="CR14" s="242" t="s">
        <v>38</v>
      </c>
      <c r="CS14" s="228"/>
      <c r="CT14" s="228"/>
      <c r="CU14" s="228"/>
      <c r="CV14" s="228"/>
      <c r="CW14" s="228"/>
      <c r="CX14" s="228"/>
      <c r="CY14" s="228"/>
      <c r="CZ14" s="228"/>
      <c r="DA14" s="228"/>
      <c r="DB14" s="228"/>
    </row>
    <row r="15" ht="13.5" customHeight="1">
      <c r="A15" s="228"/>
      <c r="B15" s="238" t="s">
        <v>227</v>
      </c>
      <c r="C15" s="238" t="s">
        <v>538</v>
      </c>
      <c r="D15" s="238" t="s">
        <v>246</v>
      </c>
      <c r="E15" s="247"/>
      <c r="F15" s="247"/>
      <c r="G15" s="240"/>
      <c r="H15" s="240"/>
      <c r="K15" s="240"/>
      <c r="L15" s="240"/>
      <c r="AH15" s="240"/>
      <c r="AI15" s="240"/>
      <c r="AJ15" s="240"/>
      <c r="AM15" s="228"/>
      <c r="AN15" s="228"/>
      <c r="AO15" s="228"/>
      <c r="AP15" s="228"/>
      <c r="AQ15" s="228"/>
      <c r="AR15" s="228"/>
      <c r="AS15" s="228"/>
      <c r="AT15" s="228"/>
      <c r="AU15" s="228"/>
      <c r="AV15" s="228"/>
      <c r="AW15" s="228"/>
      <c r="AX15" s="228"/>
      <c r="AY15" s="228"/>
      <c r="AZ15" s="228"/>
      <c r="BA15" s="228"/>
      <c r="BB15" s="228"/>
      <c r="BC15" s="228"/>
      <c r="BD15" s="228"/>
      <c r="BE15" s="239" t="s">
        <v>487</v>
      </c>
      <c r="BF15" s="251" t="s">
        <v>412</v>
      </c>
      <c r="BG15" s="245"/>
      <c r="BH15" s="245"/>
      <c r="BI15" s="245"/>
      <c r="BJ15" s="245"/>
      <c r="BK15" s="241" t="s">
        <v>539</v>
      </c>
      <c r="BL15" s="245"/>
      <c r="BM15" s="239" t="s">
        <v>540</v>
      </c>
      <c r="BN15" s="245"/>
      <c r="BO15" s="241" t="s">
        <v>541</v>
      </c>
      <c r="BP15" s="245"/>
      <c r="BQ15" s="245"/>
      <c r="BR15" s="245"/>
      <c r="BS15" s="245"/>
      <c r="BT15" s="245"/>
      <c r="BU15" s="245"/>
      <c r="BV15" s="245"/>
      <c r="BW15" s="245"/>
      <c r="BX15" s="245"/>
      <c r="BY15" s="245"/>
      <c r="BZ15" s="245"/>
      <c r="CA15" s="245"/>
      <c r="CB15" s="245"/>
      <c r="CC15" s="245"/>
      <c r="CD15" s="245"/>
      <c r="CE15" s="245"/>
      <c r="CF15" s="245"/>
      <c r="CG15" s="245"/>
      <c r="CH15" s="245"/>
      <c r="CI15" s="245"/>
      <c r="CJ15" s="245"/>
      <c r="CK15" s="239" t="s">
        <v>523</v>
      </c>
      <c r="CL15" s="245"/>
      <c r="CM15" s="228"/>
      <c r="CN15" s="228"/>
      <c r="CO15" s="228"/>
      <c r="CP15" s="228"/>
      <c r="CQ15" s="242" t="s">
        <v>542</v>
      </c>
      <c r="CR15" s="242" t="s">
        <v>40</v>
      </c>
      <c r="CS15" s="228"/>
      <c r="CT15" s="228"/>
      <c r="CU15" s="228"/>
      <c r="CV15" s="228"/>
      <c r="CW15" s="228"/>
      <c r="CX15" s="228"/>
      <c r="CY15" s="228"/>
      <c r="CZ15" s="228"/>
      <c r="DA15" s="228"/>
      <c r="DB15" s="228"/>
    </row>
    <row r="16" ht="13.5" customHeight="1">
      <c r="A16" s="228"/>
      <c r="B16" s="238" t="s">
        <v>543</v>
      </c>
      <c r="C16" s="238" t="s">
        <v>544</v>
      </c>
      <c r="D16" s="238" t="s">
        <v>247</v>
      </c>
      <c r="E16" s="247"/>
      <c r="F16" s="247"/>
      <c r="AH16" s="240"/>
      <c r="AI16" s="240"/>
      <c r="AJ16" s="240"/>
      <c r="AM16" s="228"/>
      <c r="AN16" s="228"/>
      <c r="AO16" s="228"/>
      <c r="AP16" s="228"/>
      <c r="AQ16" s="228"/>
      <c r="AR16" s="228"/>
      <c r="AS16" s="228"/>
      <c r="AT16" s="228"/>
      <c r="AU16" s="228"/>
      <c r="AV16" s="228"/>
      <c r="AW16" s="228"/>
      <c r="AX16" s="228"/>
      <c r="AY16" s="228"/>
      <c r="AZ16" s="228"/>
      <c r="BA16" s="228"/>
      <c r="BB16" s="228"/>
      <c r="BC16" s="228"/>
      <c r="BD16" s="228"/>
      <c r="BE16" s="247"/>
      <c r="BF16" s="247"/>
      <c r="BG16" s="247"/>
      <c r="BH16" s="247"/>
      <c r="BI16" s="247"/>
      <c r="BJ16" s="247"/>
      <c r="BK16" s="241" t="s">
        <v>530</v>
      </c>
      <c r="BL16" s="247"/>
      <c r="BM16" s="239" t="s">
        <v>545</v>
      </c>
      <c r="BN16" s="247"/>
      <c r="BO16" s="241" t="s">
        <v>546</v>
      </c>
      <c r="BP16" s="247"/>
      <c r="BQ16" s="245"/>
      <c r="BR16" s="247"/>
      <c r="BS16" s="247"/>
      <c r="BT16" s="247"/>
      <c r="BU16" s="247"/>
      <c r="BV16" s="247"/>
      <c r="BW16" s="247"/>
      <c r="BX16" s="247"/>
      <c r="BY16" s="247"/>
      <c r="BZ16" s="247"/>
      <c r="CA16" s="247"/>
      <c r="CB16" s="247"/>
      <c r="CC16" s="247"/>
      <c r="CD16" s="247"/>
      <c r="CE16" s="247"/>
      <c r="CF16" s="247"/>
      <c r="CG16" s="247"/>
      <c r="CH16" s="247"/>
      <c r="CI16" s="247"/>
      <c r="CJ16" s="247"/>
      <c r="CK16" s="240" t="s">
        <v>435</v>
      </c>
      <c r="CL16" s="247"/>
      <c r="CM16" s="228"/>
      <c r="CN16" s="228"/>
      <c r="CO16" s="228"/>
      <c r="CP16" s="228"/>
      <c r="CQ16" s="242" t="s">
        <v>547</v>
      </c>
      <c r="CR16" s="242" t="s">
        <v>42</v>
      </c>
      <c r="CS16" s="228"/>
      <c r="CT16" s="228"/>
      <c r="CU16" s="228"/>
      <c r="CV16" s="228"/>
      <c r="CW16" s="228"/>
      <c r="CX16" s="228"/>
      <c r="CY16" s="228"/>
      <c r="CZ16" s="228"/>
      <c r="DA16" s="228"/>
      <c r="DB16" s="228"/>
    </row>
    <row r="17" ht="13.5" customHeight="1">
      <c r="A17" s="228"/>
      <c r="B17" s="238" t="s">
        <v>229</v>
      </c>
      <c r="C17" s="238" t="s">
        <v>548</v>
      </c>
      <c r="D17" s="238" t="s">
        <v>248</v>
      </c>
      <c r="E17" s="247"/>
      <c r="F17" s="247"/>
      <c r="G17" s="240"/>
      <c r="H17" s="240"/>
      <c r="Y17" s="240"/>
      <c r="Z17" s="240"/>
      <c r="AC17" s="240"/>
      <c r="AD17" s="240"/>
      <c r="AE17" s="240"/>
      <c r="AF17" s="240"/>
      <c r="AG17" s="240"/>
      <c r="AH17" s="240"/>
      <c r="AI17" s="240"/>
      <c r="AJ17" s="240"/>
      <c r="AK17" s="240"/>
      <c r="AL17" s="240"/>
      <c r="AM17" s="228"/>
      <c r="AN17" s="228"/>
      <c r="AO17" s="228"/>
      <c r="AP17" s="228"/>
      <c r="AQ17" s="228"/>
      <c r="AR17" s="228"/>
      <c r="AS17" s="228"/>
      <c r="AT17" s="228"/>
      <c r="AU17" s="228"/>
      <c r="AV17" s="228"/>
      <c r="AW17" s="228"/>
      <c r="AX17" s="228"/>
      <c r="AY17" s="228"/>
      <c r="AZ17" s="228"/>
      <c r="BA17" s="228"/>
      <c r="BB17" s="228"/>
      <c r="BC17" s="228"/>
      <c r="BD17" s="228"/>
      <c r="BE17" s="247"/>
      <c r="BF17" s="247"/>
      <c r="BG17" s="247"/>
      <c r="BH17" s="247"/>
      <c r="BI17" s="247"/>
      <c r="BJ17" s="247"/>
      <c r="BK17" s="241" t="s">
        <v>535</v>
      </c>
      <c r="BL17" s="247"/>
      <c r="BM17" s="239" t="s">
        <v>485</v>
      </c>
      <c r="BN17" s="247"/>
      <c r="BO17" s="241" t="s">
        <v>549</v>
      </c>
      <c r="BP17" s="247"/>
      <c r="BQ17" s="245"/>
      <c r="BR17" s="247"/>
      <c r="BS17" s="247"/>
      <c r="BT17" s="247"/>
      <c r="BU17" s="247"/>
      <c r="BV17" s="247"/>
      <c r="BW17" s="247"/>
      <c r="BX17" s="247"/>
      <c r="BY17" s="247"/>
      <c r="BZ17" s="247"/>
      <c r="CA17" s="247"/>
      <c r="CB17" s="247"/>
      <c r="CC17" s="247"/>
      <c r="CD17" s="247"/>
      <c r="CE17" s="247"/>
      <c r="CF17" s="247"/>
      <c r="CG17" s="247"/>
      <c r="CH17" s="247"/>
      <c r="CI17" s="247"/>
      <c r="CJ17" s="247"/>
      <c r="CK17" s="241" t="s">
        <v>550</v>
      </c>
      <c r="CL17" s="247"/>
      <c r="CM17" s="228"/>
      <c r="CN17" s="228"/>
      <c r="CO17" s="228"/>
      <c r="CP17" s="228"/>
      <c r="CQ17" s="242" t="s">
        <v>551</v>
      </c>
      <c r="CR17" s="242" t="s">
        <v>97</v>
      </c>
      <c r="CS17" s="228"/>
      <c r="CT17" s="228"/>
      <c r="CU17" s="228"/>
      <c r="CV17" s="228"/>
      <c r="CW17" s="228"/>
      <c r="CX17" s="228"/>
      <c r="CY17" s="228"/>
      <c r="CZ17" s="228"/>
      <c r="DA17" s="228"/>
      <c r="DB17" s="228"/>
    </row>
    <row r="18" ht="13.5" customHeight="1">
      <c r="A18" s="228"/>
      <c r="B18" s="238" t="s">
        <v>228</v>
      </c>
      <c r="C18" s="238" t="s">
        <v>552</v>
      </c>
      <c r="D18" s="238" t="s">
        <v>249</v>
      </c>
      <c r="E18" s="228"/>
      <c r="F18" s="228"/>
      <c r="G18" s="228"/>
      <c r="H18" s="228"/>
      <c r="I18" s="228"/>
      <c r="J18" s="228"/>
      <c r="K18" s="228"/>
      <c r="L18" s="228"/>
      <c r="M18" s="228"/>
      <c r="N18" s="228"/>
      <c r="O18" s="228"/>
      <c r="P18" s="228"/>
      <c r="Q18" s="228"/>
      <c r="R18" s="228"/>
      <c r="S18" s="228"/>
      <c r="T18" s="228"/>
      <c r="U18" s="228"/>
      <c r="V18" s="228"/>
      <c r="W18" s="228"/>
      <c r="X18" s="228"/>
      <c r="Y18" s="228"/>
      <c r="Z18" s="228"/>
      <c r="AA18" s="228"/>
      <c r="AB18" s="228"/>
      <c r="AC18" s="228"/>
      <c r="AD18" s="228"/>
      <c r="AE18" s="228"/>
      <c r="AF18" s="228"/>
      <c r="AG18" s="228"/>
      <c r="AH18" s="228"/>
      <c r="AI18" s="228"/>
      <c r="AJ18" s="228"/>
      <c r="AK18" s="228"/>
      <c r="AL18" s="228"/>
      <c r="AM18" s="228"/>
      <c r="AN18" s="228"/>
      <c r="AO18" s="228"/>
      <c r="AP18" s="228"/>
      <c r="AQ18" s="228"/>
      <c r="AR18" s="228"/>
      <c r="AS18" s="228"/>
      <c r="AT18" s="228"/>
      <c r="AU18" s="228"/>
      <c r="AV18" s="228"/>
      <c r="AW18" s="228"/>
      <c r="AX18" s="228"/>
      <c r="AY18" s="228"/>
      <c r="AZ18" s="228"/>
      <c r="BA18" s="228"/>
      <c r="BB18" s="228"/>
      <c r="BC18" s="228"/>
      <c r="BD18" s="228"/>
      <c r="BE18" s="247"/>
      <c r="BF18" s="247"/>
      <c r="BG18" s="247"/>
      <c r="BH18" s="247"/>
      <c r="BI18" s="247"/>
      <c r="BJ18" s="247"/>
      <c r="BK18" s="241" t="s">
        <v>540</v>
      </c>
      <c r="BL18" s="247"/>
      <c r="BM18" s="239" t="s">
        <v>499</v>
      </c>
      <c r="BN18" s="247"/>
      <c r="BO18" s="241" t="s">
        <v>553</v>
      </c>
      <c r="BP18" s="247"/>
      <c r="BQ18" s="245"/>
      <c r="BR18" s="247"/>
      <c r="BS18" s="247"/>
      <c r="BT18" s="247"/>
      <c r="BU18" s="247"/>
      <c r="BV18" s="247"/>
      <c r="BW18" s="247"/>
      <c r="BX18" s="247"/>
      <c r="BY18" s="247"/>
      <c r="BZ18" s="247"/>
      <c r="CA18" s="247"/>
      <c r="CB18" s="247"/>
      <c r="CC18" s="247"/>
      <c r="CD18" s="247"/>
      <c r="CE18" s="247"/>
      <c r="CF18" s="247"/>
      <c r="CG18" s="247"/>
      <c r="CH18" s="247"/>
      <c r="CI18" s="247"/>
      <c r="CJ18" s="247"/>
      <c r="CK18" s="247"/>
      <c r="CL18" s="247"/>
      <c r="CM18" s="228"/>
      <c r="CN18" s="228"/>
      <c r="CO18" s="228"/>
      <c r="CP18" s="228"/>
      <c r="CQ18" s="242" t="s">
        <v>554</v>
      </c>
      <c r="CR18" s="242" t="s">
        <v>97</v>
      </c>
      <c r="CT18" s="228"/>
      <c r="CU18" s="228"/>
      <c r="CV18" s="228"/>
      <c r="CW18" s="228"/>
      <c r="CX18" s="228"/>
      <c r="CY18" s="228"/>
      <c r="CZ18" s="228"/>
      <c r="DA18" s="228"/>
      <c r="DB18" s="228"/>
    </row>
    <row r="19" ht="13.5" customHeight="1">
      <c r="A19" s="228"/>
      <c r="B19" s="238" t="s">
        <v>555</v>
      </c>
      <c r="C19" s="238" t="s">
        <v>556</v>
      </c>
      <c r="D19" s="238" t="s">
        <v>250</v>
      </c>
      <c r="E19" s="228"/>
      <c r="F19" s="228"/>
      <c r="G19" s="228"/>
      <c r="H19" s="228"/>
      <c r="I19" s="228"/>
      <c r="J19" s="228"/>
      <c r="K19" s="228"/>
      <c r="L19" s="228"/>
      <c r="M19" s="228"/>
      <c r="N19" s="228"/>
      <c r="O19" s="228"/>
      <c r="P19" s="228"/>
      <c r="Q19" s="228"/>
      <c r="R19" s="228"/>
      <c r="S19" s="228"/>
      <c r="T19" s="228"/>
      <c r="U19" s="228"/>
      <c r="V19" s="228"/>
      <c r="W19" s="228"/>
      <c r="X19" s="228"/>
      <c r="Y19" s="228"/>
      <c r="Z19" s="228"/>
      <c r="AA19" s="228"/>
      <c r="AB19" s="228"/>
      <c r="AC19" s="228"/>
      <c r="AD19" s="228"/>
      <c r="AE19" s="228"/>
      <c r="AF19" s="228"/>
      <c r="AG19" s="228"/>
      <c r="AH19" s="228"/>
      <c r="AI19" s="228"/>
      <c r="AJ19" s="228"/>
      <c r="AK19" s="228"/>
      <c r="AL19" s="228"/>
      <c r="AM19" s="228"/>
      <c r="AN19" s="228"/>
      <c r="AO19" s="228"/>
      <c r="AP19" s="228"/>
      <c r="AQ19" s="228"/>
      <c r="AR19" s="228"/>
      <c r="AS19" s="228"/>
      <c r="AT19" s="228"/>
      <c r="AU19" s="228"/>
      <c r="AV19" s="228"/>
      <c r="AW19" s="228"/>
      <c r="AX19" s="228"/>
      <c r="AY19" s="228"/>
      <c r="AZ19" s="228"/>
      <c r="BA19" s="228"/>
      <c r="BB19" s="228"/>
      <c r="BC19" s="228"/>
      <c r="BD19" s="228"/>
      <c r="BE19" s="247"/>
      <c r="BF19" s="247"/>
      <c r="BG19" s="247"/>
      <c r="BH19" s="247"/>
      <c r="BI19" s="247"/>
      <c r="BJ19" s="247"/>
      <c r="BK19" s="241" t="s">
        <v>557</v>
      </c>
      <c r="BL19" s="247"/>
      <c r="BM19" s="239" t="s">
        <v>557</v>
      </c>
      <c r="BN19" s="247"/>
      <c r="BO19" s="239" t="s">
        <v>558</v>
      </c>
      <c r="BP19" s="247"/>
      <c r="BQ19" s="245"/>
      <c r="BR19" s="247"/>
      <c r="BS19" s="247"/>
      <c r="BT19" s="247"/>
      <c r="BU19" s="247"/>
      <c r="BV19" s="247"/>
      <c r="BW19" s="247"/>
      <c r="BX19" s="247"/>
      <c r="BY19" s="247"/>
      <c r="BZ19" s="247"/>
      <c r="CA19" s="247"/>
      <c r="CB19" s="247"/>
      <c r="CC19" s="247"/>
      <c r="CD19" s="247"/>
      <c r="CE19" s="247"/>
      <c r="CF19" s="247"/>
      <c r="CG19" s="247"/>
      <c r="CH19" s="247"/>
      <c r="CI19" s="247"/>
      <c r="CJ19" s="247"/>
      <c r="CK19" s="247"/>
      <c r="CL19" s="247"/>
      <c r="CM19" s="228"/>
      <c r="CN19" s="228"/>
      <c r="CO19" s="228"/>
      <c r="CP19" s="228"/>
      <c r="CQ19" s="242" t="s">
        <v>559</v>
      </c>
      <c r="CR19" s="242" t="s">
        <v>40</v>
      </c>
      <c r="CT19" s="228"/>
      <c r="CU19" s="228"/>
      <c r="CV19" s="228"/>
      <c r="CW19" s="228"/>
      <c r="CX19" s="228"/>
      <c r="CY19" s="228"/>
      <c r="CZ19" s="228"/>
      <c r="DA19" s="228"/>
      <c r="DB19" s="228"/>
    </row>
    <row r="20" ht="13.5" customHeight="1">
      <c r="A20" s="228"/>
      <c r="B20" s="238" t="s">
        <v>234</v>
      </c>
      <c r="C20" s="238" t="s">
        <v>560</v>
      </c>
      <c r="D20" s="238" t="s">
        <v>251</v>
      </c>
      <c r="E20" s="228"/>
      <c r="F20" s="228"/>
      <c r="G20" s="228"/>
      <c r="H20" s="228"/>
      <c r="I20" s="228"/>
      <c r="J20" s="228"/>
      <c r="K20" s="228"/>
      <c r="L20" s="228"/>
      <c r="M20" s="228"/>
      <c r="N20" s="228"/>
      <c r="O20" s="228"/>
      <c r="P20" s="228"/>
      <c r="Q20" s="228"/>
      <c r="R20" s="228"/>
      <c r="S20" s="228"/>
      <c r="T20" s="228"/>
      <c r="U20" s="228"/>
      <c r="V20" s="228"/>
      <c r="W20" s="228"/>
      <c r="X20" s="228"/>
      <c r="Y20" s="228"/>
      <c r="Z20" s="228"/>
      <c r="AA20" s="228"/>
      <c r="AB20" s="228"/>
      <c r="AC20" s="228"/>
      <c r="AD20" s="228"/>
      <c r="AE20" s="228"/>
      <c r="AF20" s="228"/>
      <c r="AG20" s="228"/>
      <c r="AH20" s="228"/>
      <c r="AI20" s="228"/>
      <c r="AJ20" s="228"/>
      <c r="AK20" s="228"/>
      <c r="AL20" s="228"/>
      <c r="AM20" s="228"/>
      <c r="AN20" s="228"/>
      <c r="AO20" s="228"/>
      <c r="AP20" s="228"/>
      <c r="AQ20" s="228"/>
      <c r="AR20" s="228"/>
      <c r="AS20" s="228"/>
      <c r="AT20" s="228"/>
      <c r="AU20" s="228"/>
      <c r="AV20" s="228"/>
      <c r="AW20" s="228"/>
      <c r="AX20" s="228"/>
      <c r="AY20" s="228"/>
      <c r="AZ20" s="228"/>
      <c r="BA20" s="228"/>
      <c r="BB20" s="228"/>
      <c r="BC20" s="228"/>
      <c r="BD20" s="228"/>
      <c r="BE20" s="247"/>
      <c r="BF20" s="247"/>
      <c r="BG20" s="247"/>
      <c r="BH20" s="247"/>
      <c r="BI20" s="247"/>
      <c r="BJ20" s="247"/>
      <c r="BK20" s="251" t="s">
        <v>534</v>
      </c>
      <c r="BL20" s="247"/>
      <c r="BM20" s="239" t="s">
        <v>561</v>
      </c>
      <c r="BN20" s="247"/>
      <c r="BO20" s="252"/>
      <c r="BP20" s="247"/>
      <c r="BQ20" s="245"/>
      <c r="BR20" s="247"/>
      <c r="BS20" s="247"/>
      <c r="BT20" s="247"/>
      <c r="BU20" s="247"/>
      <c r="BV20" s="247"/>
      <c r="BW20" s="247"/>
      <c r="BX20" s="247"/>
      <c r="BY20" s="247"/>
      <c r="BZ20" s="247"/>
      <c r="CA20" s="247"/>
      <c r="CB20" s="247"/>
      <c r="CC20" s="247"/>
      <c r="CD20" s="247"/>
      <c r="CE20" s="247"/>
      <c r="CF20" s="247"/>
      <c r="CG20" s="247"/>
      <c r="CH20" s="247"/>
      <c r="CI20" s="247"/>
      <c r="CJ20" s="247"/>
      <c r="CK20" s="247"/>
      <c r="CL20" s="247"/>
      <c r="CM20" s="228"/>
      <c r="CN20" s="228"/>
      <c r="CO20" s="228"/>
      <c r="CP20" s="228"/>
      <c r="CQ20" s="242" t="s">
        <v>562</v>
      </c>
      <c r="CR20" s="242" t="s">
        <v>42</v>
      </c>
      <c r="CT20" s="228"/>
      <c r="CU20" s="228"/>
      <c r="CV20" s="228"/>
      <c r="CW20" s="228"/>
      <c r="CX20" s="228"/>
      <c r="CY20" s="228"/>
      <c r="CZ20" s="228"/>
      <c r="DA20" s="228"/>
      <c r="DB20" s="228"/>
    </row>
    <row r="21" ht="12.0" customHeight="1">
      <c r="A21" s="228"/>
      <c r="B21" s="228"/>
      <c r="C21" s="228"/>
      <c r="D21" s="228"/>
      <c r="E21" s="228"/>
      <c r="F21" s="228"/>
      <c r="G21" s="228"/>
      <c r="H21" s="228"/>
      <c r="I21" s="228"/>
      <c r="J21" s="228"/>
      <c r="K21" s="228"/>
      <c r="L21" s="228"/>
      <c r="M21" s="228"/>
      <c r="N21" s="228"/>
      <c r="O21" s="228"/>
      <c r="P21" s="228"/>
      <c r="Q21" s="228"/>
      <c r="R21" s="228"/>
      <c r="S21" s="228"/>
      <c r="T21" s="228"/>
      <c r="U21" s="228"/>
      <c r="V21" s="228"/>
      <c r="W21" s="228"/>
      <c r="X21" s="228"/>
      <c r="Y21" s="228"/>
      <c r="Z21" s="228"/>
      <c r="AA21" s="228"/>
      <c r="AB21" s="228"/>
      <c r="AC21" s="228"/>
      <c r="AD21" s="228"/>
      <c r="AE21" s="228"/>
      <c r="AF21" s="228"/>
      <c r="AG21" s="228"/>
      <c r="AH21" s="228"/>
      <c r="AI21" s="228"/>
      <c r="AJ21" s="228"/>
      <c r="AK21" s="228"/>
      <c r="AL21" s="228"/>
      <c r="AM21" s="228"/>
      <c r="AN21" s="228"/>
      <c r="AO21" s="228"/>
      <c r="AP21" s="228"/>
      <c r="AQ21" s="228"/>
      <c r="AR21" s="228"/>
      <c r="AS21" s="228"/>
      <c r="AT21" s="228"/>
      <c r="AU21" s="228"/>
      <c r="AV21" s="228"/>
      <c r="AW21" s="228"/>
      <c r="AX21" s="228"/>
      <c r="AY21" s="228"/>
      <c r="AZ21" s="228"/>
      <c r="BA21" s="228"/>
      <c r="BB21" s="228"/>
      <c r="BC21" s="228"/>
      <c r="BD21" s="228"/>
      <c r="BE21" s="247"/>
      <c r="BF21" s="247"/>
      <c r="BG21" s="247"/>
      <c r="BH21" s="247"/>
      <c r="BI21" s="247"/>
      <c r="BJ21" s="247"/>
      <c r="BK21" s="241" t="s">
        <v>440</v>
      </c>
      <c r="BL21" s="247"/>
      <c r="BM21" s="239" t="s">
        <v>563</v>
      </c>
      <c r="BN21" s="247"/>
      <c r="BO21" s="252"/>
      <c r="BP21" s="247"/>
      <c r="BQ21" s="245"/>
      <c r="BR21" s="247"/>
      <c r="BS21" s="247"/>
      <c r="BT21" s="247"/>
      <c r="BU21" s="247"/>
      <c r="BV21" s="247"/>
      <c r="BW21" s="247"/>
      <c r="BX21" s="247"/>
      <c r="BY21" s="247"/>
      <c r="BZ21" s="247"/>
      <c r="CA21" s="247"/>
      <c r="CB21" s="247"/>
      <c r="CC21" s="247"/>
      <c r="CD21" s="247"/>
      <c r="CE21" s="247"/>
      <c r="CF21" s="247"/>
      <c r="CG21" s="247"/>
      <c r="CH21" s="247"/>
      <c r="CI21" s="247"/>
      <c r="CJ21" s="247"/>
      <c r="CK21" s="247"/>
      <c r="CL21" s="247"/>
      <c r="CM21" s="228"/>
      <c r="CN21" s="228"/>
      <c r="CO21" s="228"/>
      <c r="CP21" s="228"/>
      <c r="CQ21" s="242" t="s">
        <v>564</v>
      </c>
      <c r="CR21" s="242" t="s">
        <v>42</v>
      </c>
      <c r="CT21" s="228"/>
      <c r="CU21" s="228"/>
      <c r="CV21" s="228"/>
      <c r="CW21" s="228"/>
      <c r="CX21" s="228"/>
      <c r="CY21" s="228"/>
      <c r="CZ21" s="228"/>
      <c r="DA21" s="228"/>
      <c r="DB21" s="228"/>
    </row>
    <row r="22" ht="12.0" customHeight="1">
      <c r="A22" s="228"/>
      <c r="B22" s="228"/>
      <c r="C22" s="228"/>
      <c r="D22" s="228"/>
      <c r="E22" s="228"/>
      <c r="F22" s="228"/>
      <c r="G22" s="228"/>
      <c r="H22" s="228"/>
      <c r="I22" s="228"/>
      <c r="J22" s="228"/>
      <c r="K22" s="228"/>
      <c r="L22" s="228"/>
      <c r="M22" s="228"/>
      <c r="N22" s="228"/>
      <c r="O22" s="228"/>
      <c r="P22" s="228"/>
      <c r="Q22" s="228"/>
      <c r="R22" s="228"/>
      <c r="S22" s="228"/>
      <c r="T22" s="228"/>
      <c r="U22" s="228"/>
      <c r="V22" s="228"/>
      <c r="W22" s="228"/>
      <c r="X22" s="228"/>
      <c r="Y22" s="228"/>
      <c r="Z22" s="228"/>
      <c r="AA22" s="228"/>
      <c r="AB22" s="228"/>
      <c r="AC22" s="228"/>
      <c r="AD22" s="228"/>
      <c r="AE22" s="228"/>
      <c r="AF22" s="228"/>
      <c r="AG22" s="228"/>
      <c r="AH22" s="228"/>
      <c r="AI22" s="228"/>
      <c r="AJ22" s="228"/>
      <c r="AK22" s="228"/>
      <c r="AL22" s="228"/>
      <c r="AM22" s="228"/>
      <c r="AN22" s="228"/>
      <c r="AO22" s="228"/>
      <c r="AP22" s="228"/>
      <c r="AQ22" s="228"/>
      <c r="AR22" s="228"/>
      <c r="AS22" s="228"/>
      <c r="AT22" s="228"/>
      <c r="AU22" s="228"/>
      <c r="AV22" s="228"/>
      <c r="AW22" s="228"/>
      <c r="AX22" s="228"/>
      <c r="AY22" s="228"/>
      <c r="AZ22" s="228"/>
      <c r="BA22" s="228"/>
      <c r="BB22" s="228"/>
      <c r="BC22" s="228"/>
      <c r="BD22" s="228"/>
      <c r="BE22" s="247"/>
      <c r="BF22" s="247"/>
      <c r="BG22" s="247"/>
      <c r="BH22" s="247"/>
      <c r="BI22" s="247"/>
      <c r="BJ22" s="247"/>
      <c r="BK22" s="241" t="s">
        <v>465</v>
      </c>
      <c r="BL22" s="247"/>
      <c r="BM22" s="239" t="s">
        <v>565</v>
      </c>
      <c r="BN22" s="247"/>
      <c r="BO22" s="252"/>
      <c r="BP22" s="247"/>
      <c r="BQ22" s="245"/>
      <c r="BR22" s="247"/>
      <c r="BS22" s="247"/>
      <c r="BT22" s="247"/>
      <c r="BU22" s="247"/>
      <c r="BV22" s="247"/>
      <c r="BW22" s="247"/>
      <c r="BX22" s="247"/>
      <c r="BY22" s="247"/>
      <c r="BZ22" s="247"/>
      <c r="CA22" s="247"/>
      <c r="CB22" s="247"/>
      <c r="CC22" s="247"/>
      <c r="CD22" s="247"/>
      <c r="CE22" s="247"/>
      <c r="CF22" s="247"/>
      <c r="CG22" s="247"/>
      <c r="CH22" s="247"/>
      <c r="CI22" s="247"/>
      <c r="CJ22" s="247"/>
      <c r="CK22" s="247"/>
      <c r="CL22" s="247"/>
      <c r="CM22" s="228"/>
      <c r="CN22" s="228"/>
      <c r="CO22" s="228"/>
      <c r="CP22" s="228"/>
      <c r="CQ22" s="242" t="s">
        <v>566</v>
      </c>
      <c r="CR22" s="242" t="s">
        <v>97</v>
      </c>
      <c r="CT22" s="228"/>
      <c r="CU22" s="228"/>
      <c r="CV22" s="228"/>
      <c r="CW22" s="228"/>
      <c r="CX22" s="228"/>
      <c r="CY22" s="228"/>
      <c r="CZ22" s="228"/>
      <c r="DA22" s="228"/>
      <c r="DB22" s="228"/>
    </row>
    <row r="23" ht="12.0" customHeight="1">
      <c r="A23" s="228"/>
      <c r="B23" s="228"/>
      <c r="C23" s="228"/>
      <c r="D23" s="228"/>
      <c r="E23" s="228"/>
      <c r="F23" s="228"/>
      <c r="G23" s="228"/>
      <c r="H23" s="228"/>
      <c r="I23" s="228"/>
      <c r="J23" s="228"/>
      <c r="K23" s="228"/>
      <c r="L23" s="228"/>
      <c r="M23" s="228"/>
      <c r="N23" s="228"/>
      <c r="O23" s="228"/>
      <c r="P23" s="228"/>
      <c r="Q23" s="228"/>
      <c r="R23" s="228"/>
      <c r="S23" s="228"/>
      <c r="T23" s="228"/>
      <c r="U23" s="228"/>
      <c r="V23" s="228"/>
      <c r="W23" s="228"/>
      <c r="X23" s="228"/>
      <c r="Y23" s="228"/>
      <c r="Z23" s="228"/>
      <c r="AA23" s="228"/>
      <c r="AB23" s="228"/>
      <c r="AC23" s="228"/>
      <c r="AD23" s="228"/>
      <c r="AE23" s="228"/>
      <c r="AF23" s="228"/>
      <c r="AG23" s="228"/>
      <c r="AH23" s="228"/>
      <c r="AI23" s="228"/>
      <c r="AJ23" s="228"/>
      <c r="AK23" s="228"/>
      <c r="AL23" s="228"/>
      <c r="AM23" s="228"/>
      <c r="AN23" s="228"/>
      <c r="AO23" s="228"/>
      <c r="AP23" s="228"/>
      <c r="AQ23" s="228"/>
      <c r="AR23" s="228"/>
      <c r="AS23" s="228"/>
      <c r="AT23" s="228"/>
      <c r="AU23" s="228"/>
      <c r="AV23" s="228"/>
      <c r="AW23" s="228"/>
      <c r="AX23" s="228"/>
      <c r="AY23" s="228"/>
      <c r="AZ23" s="228"/>
      <c r="BA23" s="228"/>
      <c r="BB23" s="228"/>
      <c r="BC23" s="228"/>
      <c r="BD23" s="228"/>
      <c r="BE23" s="247"/>
      <c r="BF23" s="247"/>
      <c r="BG23" s="247"/>
      <c r="BH23" s="247"/>
      <c r="BI23" s="247"/>
      <c r="BJ23" s="247"/>
      <c r="BK23" s="241" t="s">
        <v>488</v>
      </c>
      <c r="BL23" s="247"/>
      <c r="BM23" s="239" t="s">
        <v>567</v>
      </c>
      <c r="BN23" s="247"/>
      <c r="BO23" s="252"/>
      <c r="BP23" s="247"/>
      <c r="BQ23" s="245"/>
      <c r="BR23" s="247"/>
      <c r="BS23" s="247"/>
      <c r="BT23" s="247"/>
      <c r="BU23" s="247"/>
      <c r="BV23" s="247"/>
      <c r="BW23" s="247"/>
      <c r="BX23" s="247"/>
      <c r="BY23" s="247"/>
      <c r="BZ23" s="247"/>
      <c r="CA23" s="247"/>
      <c r="CB23" s="247"/>
      <c r="CC23" s="247"/>
      <c r="CD23" s="247"/>
      <c r="CE23" s="247"/>
      <c r="CF23" s="247"/>
      <c r="CG23" s="247"/>
      <c r="CH23" s="247"/>
      <c r="CI23" s="247"/>
      <c r="CJ23" s="247"/>
      <c r="CK23" s="247"/>
      <c r="CL23" s="247"/>
      <c r="CM23" s="228"/>
      <c r="CN23" s="228"/>
      <c r="CO23" s="228"/>
      <c r="CP23" s="228"/>
      <c r="CQ23" s="242" t="s">
        <v>568</v>
      </c>
      <c r="CR23" s="242" t="s">
        <v>97</v>
      </c>
      <c r="CS23" s="228"/>
      <c r="CT23" s="228"/>
      <c r="CU23" s="228"/>
      <c r="CV23" s="228"/>
      <c r="CW23" s="228"/>
      <c r="CX23" s="228"/>
      <c r="CY23" s="228"/>
      <c r="CZ23" s="228"/>
      <c r="DA23" s="228"/>
      <c r="DB23" s="228"/>
    </row>
    <row r="24" ht="12.0" customHeight="1">
      <c r="A24" s="228"/>
      <c r="B24" s="228"/>
      <c r="C24" s="228"/>
      <c r="D24" s="228"/>
      <c r="E24" s="228"/>
      <c r="F24" s="228"/>
      <c r="G24" s="228"/>
      <c r="H24" s="228"/>
      <c r="I24" s="228"/>
      <c r="J24" s="228"/>
      <c r="K24" s="228"/>
      <c r="L24" s="228"/>
      <c r="M24" s="228"/>
      <c r="N24" s="228"/>
      <c r="O24" s="228"/>
      <c r="P24" s="228"/>
      <c r="Q24" s="228"/>
      <c r="R24" s="228"/>
      <c r="S24" s="228"/>
      <c r="T24" s="228"/>
      <c r="U24" s="228"/>
      <c r="V24" s="228"/>
      <c r="W24" s="228"/>
      <c r="X24" s="228"/>
      <c r="Y24" s="228"/>
      <c r="Z24" s="228"/>
      <c r="AA24" s="228"/>
      <c r="AB24" s="228"/>
      <c r="AC24" s="228"/>
      <c r="AD24" s="228"/>
      <c r="AE24" s="228"/>
      <c r="AF24" s="228"/>
      <c r="AG24" s="228"/>
      <c r="AH24" s="228"/>
      <c r="AI24" s="228"/>
      <c r="AJ24" s="228"/>
      <c r="AK24" s="228"/>
      <c r="AL24" s="228"/>
      <c r="AM24" s="228"/>
      <c r="AN24" s="228"/>
      <c r="AO24" s="228"/>
      <c r="AP24" s="228"/>
      <c r="AQ24" s="228"/>
      <c r="AR24" s="228"/>
      <c r="AS24" s="228"/>
      <c r="AT24" s="228"/>
      <c r="AU24" s="228"/>
      <c r="AV24" s="228"/>
      <c r="AW24" s="228"/>
      <c r="AX24" s="228"/>
      <c r="AY24" s="228"/>
      <c r="AZ24" s="228"/>
      <c r="BA24" s="228"/>
      <c r="BB24" s="228"/>
      <c r="BC24" s="228"/>
      <c r="BD24" s="228"/>
      <c r="BE24" s="247"/>
      <c r="BF24" s="247"/>
      <c r="BG24" s="247"/>
      <c r="BH24" s="247"/>
      <c r="BI24" s="247"/>
      <c r="BJ24" s="247"/>
      <c r="BK24" s="252"/>
      <c r="BL24" s="247"/>
      <c r="BM24" s="239" t="s">
        <v>503</v>
      </c>
      <c r="BN24" s="247"/>
      <c r="BO24" s="252"/>
      <c r="BP24" s="247"/>
      <c r="BQ24" s="245"/>
      <c r="BR24" s="247"/>
      <c r="BS24" s="247"/>
      <c r="BT24" s="247"/>
      <c r="BU24" s="247"/>
      <c r="BV24" s="247"/>
      <c r="BW24" s="247"/>
      <c r="BX24" s="247"/>
      <c r="BY24" s="247"/>
      <c r="BZ24" s="247"/>
      <c r="CA24" s="247"/>
      <c r="CB24" s="247"/>
      <c r="CC24" s="247"/>
      <c r="CD24" s="247"/>
      <c r="CE24" s="247"/>
      <c r="CF24" s="247"/>
      <c r="CG24" s="247"/>
      <c r="CH24" s="247"/>
      <c r="CI24" s="247"/>
      <c r="CJ24" s="247"/>
      <c r="CK24" s="247"/>
      <c r="CL24" s="247"/>
      <c r="CM24" s="228"/>
      <c r="CN24" s="228"/>
      <c r="CO24" s="228"/>
      <c r="CP24" s="228"/>
      <c r="CQ24" s="242" t="s">
        <v>569</v>
      </c>
      <c r="CR24" s="242" t="s">
        <v>42</v>
      </c>
      <c r="CS24" s="228"/>
      <c r="CT24" s="228"/>
      <c r="CU24" s="228"/>
      <c r="CV24" s="228"/>
      <c r="CW24" s="228"/>
      <c r="CX24" s="228"/>
      <c r="CY24" s="228"/>
      <c r="CZ24" s="228"/>
      <c r="DA24" s="228"/>
      <c r="DB24" s="228"/>
    </row>
    <row r="25" ht="12.0" customHeight="1">
      <c r="A25" s="228"/>
      <c r="B25" s="228"/>
      <c r="C25" s="228"/>
      <c r="D25" s="228"/>
      <c r="E25" s="228"/>
      <c r="F25" s="228"/>
      <c r="G25" s="228"/>
      <c r="H25" s="228"/>
      <c r="I25" s="228"/>
      <c r="J25" s="228"/>
      <c r="K25" s="228"/>
      <c r="L25" s="228"/>
      <c r="M25" s="228"/>
      <c r="N25" s="228"/>
      <c r="O25" s="228"/>
      <c r="P25" s="228"/>
      <c r="Q25" s="228"/>
      <c r="R25" s="228"/>
      <c r="S25" s="228"/>
      <c r="T25" s="228"/>
      <c r="U25" s="228"/>
      <c r="V25" s="228"/>
      <c r="W25" s="228"/>
      <c r="X25" s="228"/>
      <c r="Y25" s="228"/>
      <c r="Z25" s="228"/>
      <c r="AA25" s="228"/>
      <c r="AB25" s="228"/>
      <c r="AC25" s="228"/>
      <c r="AD25" s="228"/>
      <c r="AE25" s="228"/>
      <c r="AF25" s="228"/>
      <c r="AG25" s="228"/>
      <c r="AH25" s="228"/>
      <c r="AI25" s="228"/>
      <c r="AJ25" s="228"/>
      <c r="AK25" s="228"/>
      <c r="AL25" s="228"/>
      <c r="AM25" s="228"/>
      <c r="AN25" s="228"/>
      <c r="AO25" s="228"/>
      <c r="AP25" s="228"/>
      <c r="AQ25" s="228"/>
      <c r="AR25" s="228"/>
      <c r="AS25" s="228"/>
      <c r="AT25" s="228"/>
      <c r="AU25" s="228"/>
      <c r="AV25" s="228"/>
      <c r="AW25" s="228"/>
      <c r="AX25" s="228"/>
      <c r="AY25" s="228"/>
      <c r="AZ25" s="228"/>
      <c r="BA25" s="228"/>
      <c r="BB25" s="228"/>
      <c r="BC25" s="228"/>
      <c r="BD25" s="228"/>
      <c r="BE25" s="247"/>
      <c r="BF25" s="247"/>
      <c r="BG25" s="247"/>
      <c r="BH25" s="247"/>
      <c r="BI25" s="247"/>
      <c r="BJ25" s="247"/>
      <c r="BK25" s="252"/>
      <c r="BL25" s="247"/>
      <c r="BM25" s="239" t="s">
        <v>570</v>
      </c>
      <c r="BN25" s="247"/>
      <c r="BO25" s="252"/>
      <c r="BP25" s="247"/>
      <c r="BQ25" s="245"/>
      <c r="BR25" s="247"/>
      <c r="BS25" s="247"/>
      <c r="BT25" s="247"/>
      <c r="BU25" s="247"/>
      <c r="BV25" s="247"/>
      <c r="BW25" s="247"/>
      <c r="BX25" s="247"/>
      <c r="BY25" s="247"/>
      <c r="BZ25" s="247"/>
      <c r="CA25" s="247"/>
      <c r="CB25" s="247"/>
      <c r="CC25" s="247"/>
      <c r="CD25" s="247"/>
      <c r="CE25" s="247"/>
      <c r="CF25" s="247"/>
      <c r="CG25" s="247"/>
      <c r="CH25" s="247"/>
      <c r="CI25" s="247"/>
      <c r="CJ25" s="247"/>
      <c r="CK25" s="247"/>
      <c r="CL25" s="247"/>
      <c r="CM25" s="228"/>
      <c r="CN25" s="228"/>
      <c r="CO25" s="228"/>
      <c r="CP25" s="228"/>
      <c r="CQ25" s="242" t="s">
        <v>571</v>
      </c>
      <c r="CR25" s="242" t="s">
        <v>42</v>
      </c>
      <c r="CS25" s="228"/>
      <c r="CT25" s="228"/>
      <c r="CU25" s="228"/>
      <c r="CV25" s="228"/>
      <c r="CW25" s="228"/>
      <c r="CX25" s="228"/>
      <c r="CY25" s="228"/>
      <c r="CZ25" s="228"/>
      <c r="DA25" s="228"/>
      <c r="DB25" s="228"/>
    </row>
    <row r="26" ht="12.0" customHeight="1">
      <c r="A26" s="228"/>
      <c r="B26" s="228"/>
      <c r="C26" s="228"/>
      <c r="D26" s="228"/>
      <c r="E26" s="228"/>
      <c r="F26" s="228"/>
      <c r="G26" s="228"/>
      <c r="H26" s="228"/>
      <c r="I26" s="228"/>
      <c r="J26" s="228"/>
      <c r="K26" s="228"/>
      <c r="L26" s="228"/>
      <c r="M26" s="228"/>
      <c r="N26" s="228"/>
      <c r="O26" s="228"/>
      <c r="P26" s="228"/>
      <c r="Q26" s="228"/>
      <c r="R26" s="228"/>
      <c r="S26" s="228"/>
      <c r="T26" s="228"/>
      <c r="U26" s="228"/>
      <c r="V26" s="228"/>
      <c r="W26" s="228"/>
      <c r="X26" s="228"/>
      <c r="Y26" s="228"/>
      <c r="Z26" s="228"/>
      <c r="AA26" s="228"/>
      <c r="AB26" s="228"/>
      <c r="AC26" s="228"/>
      <c r="AD26" s="228"/>
      <c r="AE26" s="228"/>
      <c r="AF26" s="228"/>
      <c r="AG26" s="228"/>
      <c r="AH26" s="228"/>
      <c r="AI26" s="228"/>
      <c r="AJ26" s="228"/>
      <c r="AK26" s="228"/>
      <c r="AL26" s="228"/>
      <c r="AM26" s="228"/>
      <c r="AN26" s="228"/>
      <c r="AO26" s="228"/>
      <c r="AP26" s="228"/>
      <c r="AQ26" s="228"/>
      <c r="AR26" s="228"/>
      <c r="AS26" s="228"/>
      <c r="AT26" s="228"/>
      <c r="AU26" s="228"/>
      <c r="AV26" s="228"/>
      <c r="AW26" s="228"/>
      <c r="AX26" s="228"/>
      <c r="AY26" s="228"/>
      <c r="AZ26" s="228"/>
      <c r="BA26" s="228"/>
      <c r="BB26" s="228"/>
      <c r="BC26" s="228"/>
      <c r="BD26" s="228"/>
      <c r="BE26" s="247"/>
      <c r="BF26" s="247"/>
      <c r="BG26" s="247"/>
      <c r="BH26" s="247"/>
      <c r="BI26" s="247"/>
      <c r="BJ26" s="247"/>
      <c r="BK26" s="252"/>
      <c r="BL26" s="247"/>
      <c r="BM26" s="239" t="s">
        <v>572</v>
      </c>
      <c r="BN26" s="247"/>
      <c r="BO26" s="252"/>
      <c r="BP26" s="247"/>
      <c r="BQ26" s="245"/>
      <c r="BR26" s="247"/>
      <c r="BS26" s="247"/>
      <c r="BT26" s="247"/>
      <c r="BU26" s="247"/>
      <c r="BV26" s="247"/>
      <c r="BW26" s="247"/>
      <c r="BX26" s="247"/>
      <c r="BY26" s="247"/>
      <c r="BZ26" s="247"/>
      <c r="CA26" s="247"/>
      <c r="CB26" s="247"/>
      <c r="CC26" s="247"/>
      <c r="CD26" s="247"/>
      <c r="CE26" s="247"/>
      <c r="CF26" s="247"/>
      <c r="CG26" s="247"/>
      <c r="CH26" s="247"/>
      <c r="CI26" s="247"/>
      <c r="CJ26" s="247"/>
      <c r="CK26" s="247"/>
      <c r="CL26" s="247"/>
      <c r="CM26" s="228"/>
      <c r="CN26" s="228"/>
      <c r="CO26" s="228"/>
      <c r="CP26" s="228"/>
      <c r="CQ26" s="242" t="s">
        <v>573</v>
      </c>
      <c r="CR26" s="242" t="s">
        <v>97</v>
      </c>
      <c r="CS26" s="228"/>
      <c r="CT26" s="242"/>
      <c r="CU26" s="242"/>
      <c r="CV26" s="242"/>
      <c r="CW26" s="242"/>
      <c r="CX26" s="242"/>
      <c r="CY26" s="228"/>
      <c r="CZ26" s="228"/>
      <c r="DA26" s="228"/>
      <c r="DB26" s="228"/>
    </row>
    <row r="27" ht="12.0" customHeight="1">
      <c r="A27" s="228"/>
      <c r="B27" s="228"/>
      <c r="C27" s="228"/>
      <c r="D27" s="228"/>
      <c r="E27" s="228"/>
      <c r="F27" s="228"/>
      <c r="G27" s="228"/>
      <c r="H27" s="228"/>
      <c r="I27" s="228"/>
      <c r="J27" s="228"/>
      <c r="K27" s="228"/>
      <c r="L27" s="228"/>
      <c r="M27" s="228"/>
      <c r="N27" s="228"/>
      <c r="O27" s="228"/>
      <c r="P27" s="228"/>
      <c r="Q27" s="228"/>
      <c r="R27" s="228"/>
      <c r="S27" s="228"/>
      <c r="T27" s="228"/>
      <c r="U27" s="228"/>
      <c r="V27" s="228"/>
      <c r="W27" s="228"/>
      <c r="X27" s="228"/>
      <c r="Y27" s="228"/>
      <c r="Z27" s="228"/>
      <c r="AA27" s="228"/>
      <c r="AB27" s="228"/>
      <c r="AC27" s="228"/>
      <c r="AD27" s="228"/>
      <c r="AE27" s="228"/>
      <c r="AF27" s="228"/>
      <c r="AG27" s="228"/>
      <c r="AH27" s="228"/>
      <c r="AI27" s="228"/>
      <c r="AJ27" s="228"/>
      <c r="AK27" s="228"/>
      <c r="AL27" s="228"/>
      <c r="AM27" s="228"/>
      <c r="AN27" s="228"/>
      <c r="AO27" s="228"/>
      <c r="AP27" s="228"/>
      <c r="AQ27" s="228"/>
      <c r="AR27" s="228"/>
      <c r="AS27" s="228"/>
      <c r="AT27" s="228"/>
      <c r="AU27" s="228"/>
      <c r="AV27" s="228"/>
      <c r="AW27" s="228"/>
      <c r="AX27" s="228"/>
      <c r="AY27" s="228"/>
      <c r="AZ27" s="228"/>
      <c r="BA27" s="228"/>
      <c r="BB27" s="228"/>
      <c r="BC27" s="228"/>
      <c r="BD27" s="228"/>
      <c r="BE27" s="247"/>
      <c r="BF27" s="247"/>
      <c r="BG27" s="247"/>
      <c r="BH27" s="247"/>
      <c r="BI27" s="247"/>
      <c r="BJ27" s="247"/>
      <c r="BK27" s="252"/>
      <c r="BL27" s="247"/>
      <c r="BM27" s="239" t="s">
        <v>574</v>
      </c>
      <c r="BN27" s="247"/>
      <c r="BO27" s="252"/>
      <c r="BP27" s="247"/>
      <c r="BQ27" s="245"/>
      <c r="BR27" s="247"/>
      <c r="BS27" s="247"/>
      <c r="BT27" s="247"/>
      <c r="BU27" s="247"/>
      <c r="BV27" s="247"/>
      <c r="BW27" s="247"/>
      <c r="BX27" s="247"/>
      <c r="BY27" s="247"/>
      <c r="BZ27" s="247"/>
      <c r="CA27" s="247"/>
      <c r="CB27" s="247"/>
      <c r="CC27" s="247"/>
      <c r="CD27" s="247"/>
      <c r="CE27" s="247"/>
      <c r="CF27" s="247"/>
      <c r="CG27" s="247"/>
      <c r="CH27" s="247"/>
      <c r="CI27" s="247"/>
      <c r="CJ27" s="247"/>
      <c r="CK27" s="247"/>
      <c r="CL27" s="247"/>
      <c r="CM27" s="228"/>
      <c r="CN27" s="228"/>
      <c r="CO27" s="228"/>
      <c r="CP27" s="228"/>
      <c r="CQ27" s="242" t="s">
        <v>575</v>
      </c>
      <c r="CR27" s="242" t="s">
        <v>97</v>
      </c>
      <c r="CS27" s="228"/>
      <c r="CT27" s="228"/>
      <c r="CU27" s="228"/>
      <c r="CV27" s="228"/>
      <c r="CW27" s="228"/>
      <c r="CX27" s="228"/>
      <c r="CY27" s="228"/>
      <c r="CZ27" s="228"/>
      <c r="DA27" s="228"/>
      <c r="DB27" s="228"/>
    </row>
    <row r="28" ht="12.0" customHeight="1">
      <c r="A28" s="228"/>
      <c r="B28" s="228"/>
      <c r="C28" s="228"/>
      <c r="D28" s="228"/>
      <c r="E28" s="228"/>
      <c r="F28" s="228"/>
      <c r="G28" s="228"/>
      <c r="H28" s="228"/>
      <c r="I28" s="228"/>
      <c r="J28" s="228"/>
      <c r="K28" s="228"/>
      <c r="L28" s="228"/>
      <c r="M28" s="228"/>
      <c r="N28" s="228"/>
      <c r="O28" s="228"/>
      <c r="P28" s="228"/>
      <c r="Q28" s="228"/>
      <c r="R28" s="228"/>
      <c r="S28" s="228"/>
      <c r="T28" s="228"/>
      <c r="U28" s="228"/>
      <c r="V28" s="228"/>
      <c r="W28" s="228"/>
      <c r="X28" s="228"/>
      <c r="Y28" s="228"/>
      <c r="Z28" s="228"/>
      <c r="AA28" s="228"/>
      <c r="AB28" s="228"/>
      <c r="AC28" s="228"/>
      <c r="AD28" s="228"/>
      <c r="AE28" s="228"/>
      <c r="AF28" s="228"/>
      <c r="AG28" s="228"/>
      <c r="AH28" s="228"/>
      <c r="AI28" s="228"/>
      <c r="AJ28" s="228"/>
      <c r="AK28" s="228"/>
      <c r="AL28" s="228"/>
      <c r="AM28" s="228"/>
      <c r="AN28" s="228"/>
      <c r="AO28" s="228"/>
      <c r="AP28" s="228"/>
      <c r="AQ28" s="228"/>
      <c r="AR28" s="228"/>
      <c r="AS28" s="228"/>
      <c r="AT28" s="228"/>
      <c r="AU28" s="228"/>
      <c r="AV28" s="228"/>
      <c r="AW28" s="228"/>
      <c r="AX28" s="228"/>
      <c r="AY28" s="228"/>
      <c r="AZ28" s="228"/>
      <c r="BA28" s="228"/>
      <c r="BB28" s="228"/>
      <c r="BC28" s="228"/>
      <c r="BD28" s="228"/>
      <c r="BE28" s="247"/>
      <c r="BF28" s="247"/>
      <c r="BG28" s="247"/>
      <c r="BH28" s="247"/>
      <c r="BI28" s="247"/>
      <c r="BJ28" s="247"/>
      <c r="BK28" s="252"/>
      <c r="BL28" s="247"/>
      <c r="BM28" s="239" t="s">
        <v>576</v>
      </c>
      <c r="BN28" s="247"/>
      <c r="BO28" s="252"/>
      <c r="BP28" s="247"/>
      <c r="BQ28" s="245"/>
      <c r="BR28" s="247"/>
      <c r="BS28" s="247"/>
      <c r="BT28" s="247"/>
      <c r="BU28" s="247"/>
      <c r="BV28" s="247"/>
      <c r="BW28" s="247"/>
      <c r="BX28" s="247"/>
      <c r="BY28" s="247"/>
      <c r="BZ28" s="247"/>
      <c r="CA28" s="247"/>
      <c r="CB28" s="247"/>
      <c r="CC28" s="247"/>
      <c r="CD28" s="247"/>
      <c r="CE28" s="247"/>
      <c r="CF28" s="247"/>
      <c r="CG28" s="247"/>
      <c r="CH28" s="247"/>
      <c r="CI28" s="247"/>
      <c r="CJ28" s="247"/>
      <c r="CK28" s="247"/>
      <c r="CL28" s="247"/>
      <c r="CM28" s="228"/>
      <c r="CN28" s="228"/>
      <c r="CO28" s="228"/>
      <c r="CP28" s="228"/>
      <c r="CQ28" s="242" t="s">
        <v>577</v>
      </c>
      <c r="CR28" s="242" t="s">
        <v>97</v>
      </c>
      <c r="CS28" s="228"/>
      <c r="CT28" s="228"/>
      <c r="CU28" s="228"/>
      <c r="CV28" s="228"/>
      <c r="CW28" s="228"/>
      <c r="CX28" s="228"/>
      <c r="CY28" s="228"/>
      <c r="CZ28" s="228"/>
      <c r="DA28" s="228"/>
      <c r="DB28" s="228"/>
    </row>
    <row r="29" ht="12.0" customHeight="1">
      <c r="A29" s="228"/>
      <c r="B29" s="228"/>
      <c r="C29" s="228"/>
      <c r="D29" s="228"/>
      <c r="E29" s="228"/>
      <c r="F29" s="228"/>
      <c r="G29" s="228"/>
      <c r="H29" s="228"/>
      <c r="I29" s="228"/>
      <c r="J29" s="228"/>
      <c r="K29" s="228"/>
      <c r="L29" s="228"/>
      <c r="M29" s="228"/>
      <c r="N29" s="228"/>
      <c r="O29" s="228"/>
      <c r="P29" s="228"/>
      <c r="Q29" s="228"/>
      <c r="R29" s="228"/>
      <c r="S29" s="228"/>
      <c r="T29" s="228"/>
      <c r="U29" s="228"/>
      <c r="V29" s="228"/>
      <c r="W29" s="228"/>
      <c r="X29" s="228"/>
      <c r="Y29" s="228"/>
      <c r="Z29" s="228"/>
      <c r="AA29" s="228"/>
      <c r="AB29" s="228"/>
      <c r="AC29" s="228"/>
      <c r="AD29" s="228"/>
      <c r="AE29" s="228"/>
      <c r="AF29" s="228"/>
      <c r="AG29" s="228"/>
      <c r="AH29" s="228"/>
      <c r="AI29" s="228"/>
      <c r="AJ29" s="228"/>
      <c r="AK29" s="228"/>
      <c r="AL29" s="228"/>
      <c r="AM29" s="228"/>
      <c r="AN29" s="228"/>
      <c r="AO29" s="228"/>
      <c r="AP29" s="228"/>
      <c r="AQ29" s="228"/>
      <c r="AR29" s="228"/>
      <c r="AS29" s="228"/>
      <c r="AT29" s="228"/>
      <c r="AU29" s="228"/>
      <c r="AV29" s="228"/>
      <c r="AW29" s="228"/>
      <c r="AX29" s="228"/>
      <c r="AY29" s="228"/>
      <c r="AZ29" s="228"/>
      <c r="BA29" s="228"/>
      <c r="BB29" s="228"/>
      <c r="BC29" s="228"/>
      <c r="BD29" s="228"/>
      <c r="BE29" s="247"/>
      <c r="BF29" s="247"/>
      <c r="BG29" s="247"/>
      <c r="BH29" s="247"/>
      <c r="BI29" s="247"/>
      <c r="BJ29" s="247"/>
      <c r="BK29" s="252"/>
      <c r="BL29" s="247"/>
      <c r="BM29" s="239" t="s">
        <v>578</v>
      </c>
      <c r="BN29" s="247"/>
      <c r="BO29" s="252"/>
      <c r="BP29" s="247"/>
      <c r="BQ29" s="245"/>
      <c r="BR29" s="247"/>
      <c r="BS29" s="247"/>
      <c r="BT29" s="247"/>
      <c r="BU29" s="247"/>
      <c r="BV29" s="247"/>
      <c r="BW29" s="247"/>
      <c r="BX29" s="247"/>
      <c r="BY29" s="247"/>
      <c r="BZ29" s="247"/>
      <c r="CA29" s="247"/>
      <c r="CB29" s="247"/>
      <c r="CC29" s="247"/>
      <c r="CD29" s="247"/>
      <c r="CE29" s="247"/>
      <c r="CF29" s="247"/>
      <c r="CG29" s="247"/>
      <c r="CH29" s="247"/>
      <c r="CI29" s="247"/>
      <c r="CJ29" s="247"/>
      <c r="CK29" s="247"/>
      <c r="CL29" s="247"/>
      <c r="CM29" s="228"/>
      <c r="CN29" s="228"/>
      <c r="CO29" s="228"/>
      <c r="CP29" s="228"/>
      <c r="CQ29" s="228"/>
      <c r="CR29" s="228"/>
      <c r="CS29" s="228"/>
      <c r="CT29" s="228"/>
      <c r="CU29" s="228"/>
      <c r="CV29" s="228"/>
      <c r="CW29" s="228"/>
      <c r="CX29" s="228"/>
      <c r="CY29" s="228"/>
      <c r="CZ29" s="228"/>
      <c r="DA29" s="228"/>
      <c r="DB29" s="228"/>
    </row>
    <row r="30" ht="12.0" customHeight="1">
      <c r="A30" s="228"/>
      <c r="B30" s="228"/>
      <c r="C30" s="228"/>
      <c r="D30" s="228"/>
      <c r="E30" s="228"/>
      <c r="F30" s="228"/>
      <c r="G30" s="228"/>
      <c r="H30" s="228"/>
      <c r="I30" s="228"/>
      <c r="J30" s="228"/>
      <c r="K30" s="228"/>
      <c r="L30" s="228"/>
      <c r="M30" s="228"/>
      <c r="N30" s="228"/>
      <c r="O30" s="228"/>
      <c r="P30" s="228"/>
      <c r="Q30" s="228"/>
      <c r="R30" s="228"/>
      <c r="S30" s="228"/>
      <c r="T30" s="228"/>
      <c r="U30" s="228"/>
      <c r="V30" s="228"/>
      <c r="W30" s="228"/>
      <c r="X30" s="228"/>
      <c r="Y30" s="228"/>
      <c r="Z30" s="228"/>
      <c r="AA30" s="228"/>
      <c r="AB30" s="228"/>
      <c r="AC30" s="228"/>
      <c r="AD30" s="228"/>
      <c r="AE30" s="228"/>
      <c r="AF30" s="228"/>
      <c r="AG30" s="228"/>
      <c r="AH30" s="228"/>
      <c r="AI30" s="228"/>
      <c r="AJ30" s="228"/>
      <c r="AK30" s="228"/>
      <c r="AL30" s="228"/>
      <c r="AM30" s="228"/>
      <c r="AN30" s="228"/>
      <c r="AO30" s="228"/>
      <c r="AP30" s="228"/>
      <c r="AQ30" s="228"/>
      <c r="AR30" s="228"/>
      <c r="AS30" s="228"/>
      <c r="AT30" s="228"/>
      <c r="AU30" s="228"/>
      <c r="AV30" s="228"/>
      <c r="AW30" s="228"/>
      <c r="AX30" s="228"/>
      <c r="AY30" s="228"/>
      <c r="AZ30" s="228"/>
      <c r="BA30" s="228"/>
      <c r="BB30" s="228"/>
      <c r="BC30" s="228"/>
      <c r="BD30" s="228"/>
      <c r="BE30" s="247"/>
      <c r="BF30" s="247"/>
      <c r="BG30" s="247"/>
      <c r="BH30" s="247"/>
      <c r="BI30" s="247"/>
      <c r="BJ30" s="247"/>
      <c r="BK30" s="252"/>
      <c r="BL30" s="247"/>
      <c r="BM30" s="239" t="s">
        <v>579</v>
      </c>
      <c r="BN30" s="247"/>
      <c r="BO30" s="252"/>
      <c r="BP30" s="247"/>
      <c r="BQ30" s="245"/>
      <c r="BR30" s="247"/>
      <c r="BS30" s="247"/>
      <c r="BT30" s="247"/>
      <c r="BU30" s="247"/>
      <c r="BV30" s="247"/>
      <c r="BW30" s="247"/>
      <c r="BX30" s="247"/>
      <c r="BY30" s="247"/>
      <c r="BZ30" s="247"/>
      <c r="CA30" s="247"/>
      <c r="CB30" s="247"/>
      <c r="CC30" s="247"/>
      <c r="CD30" s="247"/>
      <c r="CE30" s="247"/>
      <c r="CF30" s="247"/>
      <c r="CG30" s="247"/>
      <c r="CH30" s="247"/>
      <c r="CI30" s="247"/>
      <c r="CJ30" s="247"/>
      <c r="CK30" s="247"/>
      <c r="CL30" s="247"/>
      <c r="CM30" s="228"/>
      <c r="CN30" s="228"/>
      <c r="CO30" s="228"/>
      <c r="CP30" s="228"/>
      <c r="CQ30" s="228"/>
      <c r="CR30" s="228"/>
      <c r="CS30" s="228"/>
      <c r="CT30" s="228"/>
      <c r="CU30" s="228"/>
      <c r="CV30" s="228"/>
      <c r="CW30" s="228"/>
      <c r="CX30" s="228"/>
      <c r="CY30" s="228"/>
      <c r="CZ30" s="228"/>
      <c r="DA30" s="228"/>
      <c r="DB30" s="228"/>
    </row>
    <row r="31" ht="12.0" customHeight="1">
      <c r="A31" s="228"/>
      <c r="B31" s="228"/>
      <c r="C31" s="228"/>
      <c r="D31" s="228"/>
      <c r="E31" s="228"/>
      <c r="F31" s="228"/>
      <c r="G31" s="228"/>
      <c r="H31" s="228"/>
      <c r="I31" s="228"/>
      <c r="J31" s="228"/>
      <c r="K31" s="228"/>
      <c r="L31" s="228"/>
      <c r="M31" s="228"/>
      <c r="N31" s="228"/>
      <c r="O31" s="228"/>
      <c r="P31" s="228"/>
      <c r="Q31" s="228"/>
      <c r="R31" s="228"/>
      <c r="S31" s="228"/>
      <c r="T31" s="228"/>
      <c r="U31" s="228"/>
      <c r="V31" s="228"/>
      <c r="W31" s="228"/>
      <c r="X31" s="228"/>
      <c r="Y31" s="228"/>
      <c r="Z31" s="228"/>
      <c r="AA31" s="228"/>
      <c r="AB31" s="228"/>
      <c r="AC31" s="228"/>
      <c r="AD31" s="228"/>
      <c r="AE31" s="228"/>
      <c r="AF31" s="228"/>
      <c r="AG31" s="228"/>
      <c r="AH31" s="228"/>
      <c r="AI31" s="228"/>
      <c r="AJ31" s="228"/>
      <c r="AK31" s="228"/>
      <c r="AL31" s="228"/>
      <c r="AM31" s="228"/>
      <c r="AN31" s="228"/>
      <c r="AO31" s="228"/>
      <c r="AP31" s="228"/>
      <c r="AQ31" s="228"/>
      <c r="AR31" s="228"/>
      <c r="AS31" s="228"/>
      <c r="AT31" s="228"/>
      <c r="AU31" s="228"/>
      <c r="AV31" s="228"/>
      <c r="AW31" s="228"/>
      <c r="AX31" s="228"/>
      <c r="AY31" s="228"/>
      <c r="AZ31" s="228"/>
      <c r="BA31" s="228"/>
      <c r="BB31" s="228"/>
      <c r="BC31" s="228"/>
      <c r="BD31" s="228"/>
      <c r="BE31" s="247"/>
      <c r="BF31" s="247"/>
      <c r="BG31" s="247"/>
      <c r="BH31" s="247"/>
      <c r="BI31" s="247"/>
      <c r="BJ31" s="247"/>
      <c r="BK31" s="252"/>
      <c r="BL31" s="247"/>
      <c r="BM31" s="239" t="s">
        <v>580</v>
      </c>
      <c r="BN31" s="247"/>
      <c r="BO31" s="252"/>
      <c r="BP31" s="247"/>
      <c r="BQ31" s="245"/>
      <c r="BR31" s="247"/>
      <c r="BS31" s="247"/>
      <c r="BT31" s="247"/>
      <c r="BU31" s="247"/>
      <c r="BV31" s="247"/>
      <c r="BW31" s="247"/>
      <c r="BX31" s="247"/>
      <c r="BY31" s="247"/>
      <c r="BZ31" s="247"/>
      <c r="CA31" s="247"/>
      <c r="CB31" s="247"/>
      <c r="CC31" s="247"/>
      <c r="CD31" s="247"/>
      <c r="CE31" s="247"/>
      <c r="CF31" s="247"/>
      <c r="CG31" s="247"/>
      <c r="CH31" s="247"/>
      <c r="CI31" s="247"/>
      <c r="CJ31" s="247"/>
      <c r="CK31" s="247"/>
      <c r="CL31" s="247"/>
      <c r="CM31" s="228"/>
      <c r="CN31" s="228"/>
      <c r="CO31" s="228"/>
      <c r="CP31" s="228"/>
      <c r="CQ31" s="228"/>
      <c r="CR31" s="228"/>
      <c r="CS31" s="228"/>
      <c r="CT31" s="228"/>
      <c r="CU31" s="228"/>
      <c r="CV31" s="228"/>
      <c r="CW31" s="228"/>
      <c r="CX31" s="228"/>
      <c r="CY31" s="228"/>
      <c r="CZ31" s="228"/>
      <c r="DA31" s="228"/>
      <c r="DB31" s="228"/>
    </row>
    <row r="32" ht="12.0" customHeight="1">
      <c r="A32" s="228"/>
      <c r="B32" s="228"/>
      <c r="C32" s="228"/>
      <c r="D32" s="228"/>
      <c r="E32" s="228"/>
      <c r="F32" s="228"/>
      <c r="G32" s="228"/>
      <c r="H32" s="228"/>
      <c r="I32" s="228"/>
      <c r="J32" s="228"/>
      <c r="K32" s="228"/>
      <c r="L32" s="228"/>
      <c r="M32" s="228"/>
      <c r="N32" s="228"/>
      <c r="O32" s="228"/>
      <c r="P32" s="228"/>
      <c r="Q32" s="228"/>
      <c r="R32" s="228"/>
      <c r="S32" s="228"/>
      <c r="T32" s="228"/>
      <c r="U32" s="228"/>
      <c r="V32" s="228"/>
      <c r="W32" s="228"/>
      <c r="X32" s="228"/>
      <c r="Y32" s="228"/>
      <c r="Z32" s="228"/>
      <c r="AA32" s="228"/>
      <c r="AB32" s="228"/>
      <c r="AC32" s="228"/>
      <c r="AD32" s="228"/>
      <c r="AE32" s="228"/>
      <c r="AF32" s="228"/>
      <c r="AG32" s="228"/>
      <c r="AH32" s="228"/>
      <c r="AI32" s="228"/>
      <c r="AJ32" s="228"/>
      <c r="AK32" s="228"/>
      <c r="AL32" s="228"/>
      <c r="AM32" s="228"/>
      <c r="AN32" s="228"/>
      <c r="AO32" s="228"/>
      <c r="AP32" s="228"/>
      <c r="AQ32" s="228"/>
      <c r="AR32" s="228"/>
      <c r="AS32" s="228"/>
      <c r="AT32" s="228"/>
      <c r="AU32" s="228"/>
      <c r="AV32" s="228"/>
      <c r="AW32" s="228"/>
      <c r="AX32" s="228"/>
      <c r="AY32" s="228"/>
      <c r="AZ32" s="228"/>
      <c r="BA32" s="228"/>
      <c r="BB32" s="228"/>
      <c r="BC32" s="228"/>
      <c r="BD32" s="228"/>
      <c r="BE32" s="228"/>
      <c r="BF32" s="228"/>
      <c r="BG32" s="228"/>
      <c r="BH32" s="228"/>
      <c r="BI32" s="228"/>
      <c r="BJ32" s="228"/>
      <c r="BK32" s="228"/>
      <c r="BL32" s="228"/>
      <c r="BM32" s="228"/>
      <c r="BN32" s="228"/>
      <c r="BO32" s="228"/>
      <c r="BP32" s="228"/>
      <c r="BQ32" s="228"/>
      <c r="BR32" s="228"/>
      <c r="BS32" s="228"/>
      <c r="BT32" s="228"/>
      <c r="BU32" s="228"/>
      <c r="BV32" s="228"/>
      <c r="BW32" s="228"/>
      <c r="BX32" s="228"/>
      <c r="BY32" s="228"/>
      <c r="BZ32" s="228"/>
      <c r="CA32" s="228"/>
      <c r="CB32" s="228"/>
      <c r="CC32" s="228"/>
      <c r="CD32" s="228"/>
      <c r="CE32" s="228"/>
      <c r="CF32" s="228"/>
      <c r="CG32" s="228"/>
      <c r="CH32" s="228"/>
      <c r="CI32" s="228"/>
      <c r="CJ32" s="228"/>
      <c r="CK32" s="228"/>
      <c r="CL32" s="228"/>
      <c r="CM32" s="228"/>
      <c r="CN32" s="228"/>
      <c r="CO32" s="228"/>
      <c r="CP32" s="228"/>
      <c r="CQ32" s="228"/>
      <c r="CR32" s="228"/>
      <c r="CS32" s="228"/>
      <c r="CT32" s="228"/>
      <c r="CU32" s="228"/>
      <c r="CV32" s="228"/>
      <c r="CW32" s="228"/>
      <c r="CX32" s="228"/>
      <c r="CY32" s="228"/>
      <c r="CZ32" s="228"/>
      <c r="DA32" s="228"/>
      <c r="DB32" s="228"/>
    </row>
    <row r="33" ht="12.0" customHeight="1">
      <c r="A33" s="228"/>
      <c r="B33" s="228"/>
      <c r="C33" s="228"/>
      <c r="D33" s="228"/>
      <c r="E33" s="228"/>
      <c r="F33" s="228"/>
      <c r="G33" s="228"/>
      <c r="H33" s="228"/>
      <c r="I33" s="228"/>
      <c r="J33" s="228"/>
      <c r="K33" s="228"/>
      <c r="L33" s="228"/>
      <c r="M33" s="228"/>
      <c r="N33" s="228"/>
      <c r="O33" s="228"/>
      <c r="P33" s="228"/>
      <c r="Q33" s="228"/>
      <c r="R33" s="228"/>
      <c r="S33" s="228"/>
      <c r="T33" s="228"/>
      <c r="U33" s="228"/>
      <c r="V33" s="228"/>
      <c r="W33" s="228"/>
      <c r="X33" s="228"/>
      <c r="Y33" s="228"/>
      <c r="Z33" s="228"/>
      <c r="AA33" s="228"/>
      <c r="AB33" s="228"/>
      <c r="AC33" s="228"/>
      <c r="AD33" s="228"/>
      <c r="AE33" s="228"/>
      <c r="AF33" s="228"/>
      <c r="AG33" s="228"/>
      <c r="AH33" s="228"/>
      <c r="AI33" s="228"/>
      <c r="AJ33" s="228"/>
      <c r="AK33" s="228"/>
      <c r="AL33" s="228"/>
      <c r="AM33" s="228"/>
      <c r="AN33" s="228"/>
      <c r="AO33" s="228"/>
      <c r="AP33" s="228"/>
      <c r="AQ33" s="228"/>
      <c r="AR33" s="228"/>
      <c r="AS33" s="228"/>
      <c r="AT33" s="228"/>
      <c r="AU33" s="228"/>
      <c r="AV33" s="228"/>
      <c r="AW33" s="228"/>
      <c r="AX33" s="228"/>
      <c r="AY33" s="228"/>
      <c r="AZ33" s="228"/>
      <c r="BA33" s="228"/>
      <c r="BB33" s="228"/>
      <c r="BC33" s="228"/>
      <c r="BD33" s="228"/>
      <c r="BE33" s="228"/>
      <c r="BF33" s="228"/>
      <c r="BG33" s="228"/>
      <c r="BH33" s="228"/>
      <c r="BI33" s="228"/>
      <c r="BJ33" s="228"/>
      <c r="BK33" s="228"/>
      <c r="BL33" s="228"/>
      <c r="BM33" s="228"/>
      <c r="BN33" s="228"/>
      <c r="BO33" s="228"/>
      <c r="BP33" s="228"/>
      <c r="BQ33" s="228"/>
      <c r="BR33" s="228"/>
      <c r="BS33" s="228"/>
      <c r="BT33" s="228"/>
      <c r="BU33" s="228"/>
      <c r="BV33" s="228"/>
      <c r="BW33" s="228"/>
      <c r="BX33" s="228"/>
      <c r="BY33" s="228"/>
      <c r="BZ33" s="228"/>
      <c r="CA33" s="228"/>
      <c r="CB33" s="228"/>
      <c r="CC33" s="228"/>
      <c r="CD33" s="228"/>
      <c r="CE33" s="228"/>
      <c r="CF33" s="228"/>
      <c r="CG33" s="228"/>
      <c r="CH33" s="228"/>
      <c r="CI33" s="228"/>
      <c r="CJ33" s="228"/>
      <c r="CK33" s="228"/>
      <c r="CL33" s="228"/>
      <c r="CM33" s="228"/>
      <c r="CN33" s="228"/>
      <c r="CO33" s="228"/>
      <c r="CP33" s="228"/>
      <c r="CQ33" s="228"/>
      <c r="CR33" s="228"/>
      <c r="CS33" s="228"/>
      <c r="CT33" s="228"/>
      <c r="CU33" s="228"/>
      <c r="CV33" s="228"/>
      <c r="CW33" s="228"/>
      <c r="CX33" s="228"/>
      <c r="CY33" s="228"/>
      <c r="CZ33" s="228"/>
      <c r="DA33" s="228"/>
      <c r="DB33" s="228"/>
    </row>
    <row r="34" ht="12.0" customHeight="1">
      <c r="A34" s="228"/>
      <c r="B34" s="228"/>
      <c r="C34" s="228"/>
      <c r="D34" s="228"/>
      <c r="E34" s="228"/>
      <c r="F34" s="228"/>
      <c r="G34" s="228"/>
      <c r="H34" s="228"/>
      <c r="I34" s="228"/>
      <c r="J34" s="228"/>
      <c r="K34" s="228"/>
      <c r="L34" s="228"/>
      <c r="M34" s="228"/>
      <c r="N34" s="228"/>
      <c r="O34" s="228"/>
      <c r="P34" s="228"/>
      <c r="Q34" s="228"/>
      <c r="R34" s="228"/>
      <c r="S34" s="228"/>
      <c r="T34" s="228"/>
      <c r="U34" s="228"/>
      <c r="V34" s="228"/>
      <c r="W34" s="228"/>
      <c r="X34" s="228"/>
      <c r="Y34" s="228"/>
      <c r="Z34" s="228"/>
      <c r="AA34" s="228"/>
      <c r="AB34" s="228"/>
      <c r="AC34" s="228"/>
      <c r="AD34" s="228"/>
      <c r="AE34" s="228"/>
      <c r="AF34" s="228"/>
      <c r="AG34" s="228"/>
      <c r="AH34" s="228"/>
      <c r="AI34" s="228"/>
      <c r="AJ34" s="228"/>
      <c r="AK34" s="228"/>
      <c r="AL34" s="228"/>
      <c r="AM34" s="228"/>
      <c r="AN34" s="228"/>
      <c r="AO34" s="228"/>
      <c r="AP34" s="228"/>
      <c r="AQ34" s="228"/>
      <c r="AR34" s="228"/>
      <c r="AS34" s="228"/>
      <c r="AT34" s="228"/>
      <c r="AU34" s="228"/>
      <c r="AV34" s="228"/>
      <c r="AW34" s="228"/>
      <c r="AX34" s="228"/>
      <c r="AY34" s="228"/>
      <c r="AZ34" s="228"/>
      <c r="BA34" s="228"/>
      <c r="BB34" s="228"/>
      <c r="BC34" s="228"/>
      <c r="BD34" s="228"/>
      <c r="BE34" s="228"/>
      <c r="BF34" s="228"/>
      <c r="BG34" s="228"/>
      <c r="BH34" s="228"/>
      <c r="BI34" s="228"/>
      <c r="BJ34" s="228"/>
      <c r="BK34" s="228"/>
      <c r="BL34" s="228"/>
      <c r="BM34" s="228"/>
      <c r="BN34" s="228"/>
      <c r="BO34" s="228"/>
      <c r="BP34" s="228"/>
      <c r="BQ34" s="228"/>
      <c r="BR34" s="228"/>
      <c r="BS34" s="228"/>
      <c r="BT34" s="228"/>
      <c r="BU34" s="228"/>
      <c r="BV34" s="228"/>
      <c r="BW34" s="228"/>
      <c r="BX34" s="228"/>
      <c r="BY34" s="228"/>
      <c r="BZ34" s="228"/>
      <c r="CA34" s="228"/>
      <c r="CB34" s="228"/>
      <c r="CC34" s="228"/>
      <c r="CD34" s="228"/>
      <c r="CE34" s="228"/>
      <c r="CF34" s="228"/>
      <c r="CG34" s="228"/>
      <c r="CH34" s="228"/>
      <c r="CI34" s="228"/>
      <c r="CJ34" s="228"/>
      <c r="CK34" s="228"/>
      <c r="CL34" s="228"/>
      <c r="CM34" s="228"/>
      <c r="CN34" s="228"/>
      <c r="CO34" s="228"/>
      <c r="CP34" s="228"/>
      <c r="CQ34" s="228"/>
      <c r="CR34" s="228"/>
      <c r="CS34" s="228"/>
      <c r="CT34" s="228"/>
      <c r="CU34" s="228"/>
      <c r="CV34" s="228"/>
      <c r="CW34" s="228"/>
      <c r="CX34" s="228"/>
      <c r="CY34" s="228"/>
      <c r="CZ34" s="228"/>
      <c r="DA34" s="228"/>
      <c r="DB34" s="228"/>
    </row>
    <row r="35" ht="12.0" customHeight="1">
      <c r="A35" s="228"/>
      <c r="B35" s="228"/>
      <c r="C35" s="228"/>
      <c r="D35" s="228"/>
      <c r="E35" s="228"/>
      <c r="F35" s="228"/>
      <c r="G35" s="228"/>
      <c r="H35" s="228"/>
      <c r="I35" s="228"/>
      <c r="J35" s="228"/>
      <c r="K35" s="228"/>
      <c r="L35" s="228"/>
      <c r="M35" s="228"/>
      <c r="N35" s="228"/>
      <c r="O35" s="228"/>
      <c r="P35" s="228"/>
      <c r="Q35" s="228"/>
      <c r="R35" s="228"/>
      <c r="S35" s="228"/>
      <c r="T35" s="228"/>
      <c r="U35" s="228"/>
      <c r="V35" s="228"/>
      <c r="W35" s="228"/>
      <c r="X35" s="228"/>
      <c r="Y35" s="228"/>
      <c r="Z35" s="228"/>
      <c r="AA35" s="228"/>
      <c r="AB35" s="228"/>
      <c r="AC35" s="228"/>
      <c r="AD35" s="228"/>
      <c r="AE35" s="228"/>
      <c r="AF35" s="228"/>
      <c r="AG35" s="228"/>
      <c r="AH35" s="228"/>
      <c r="AI35" s="228"/>
      <c r="AJ35" s="228"/>
      <c r="AK35" s="228"/>
      <c r="AL35" s="228"/>
      <c r="AM35" s="228"/>
      <c r="AN35" s="228"/>
      <c r="AO35" s="228"/>
      <c r="AP35" s="228"/>
      <c r="AQ35" s="228"/>
      <c r="AR35" s="228"/>
      <c r="AS35" s="228"/>
      <c r="AT35" s="228"/>
      <c r="AU35" s="228"/>
      <c r="AV35" s="228"/>
      <c r="AW35" s="228"/>
      <c r="AX35" s="228"/>
      <c r="AY35" s="228"/>
      <c r="AZ35" s="228"/>
      <c r="BA35" s="228"/>
      <c r="BB35" s="228"/>
      <c r="BC35" s="228"/>
      <c r="BD35" s="228"/>
      <c r="BE35" s="228"/>
      <c r="BF35" s="228"/>
      <c r="BG35" s="228"/>
      <c r="BH35" s="228"/>
      <c r="BI35" s="228"/>
      <c r="BJ35" s="228"/>
      <c r="BK35" s="228"/>
      <c r="BL35" s="228"/>
      <c r="BM35" s="228"/>
      <c r="BN35" s="228"/>
      <c r="BO35" s="228"/>
      <c r="BP35" s="228"/>
      <c r="BQ35" s="228"/>
      <c r="BR35" s="228"/>
      <c r="BS35" s="228"/>
      <c r="BT35" s="228"/>
      <c r="BU35" s="228"/>
      <c r="BV35" s="228"/>
      <c r="BW35" s="228"/>
      <c r="BX35" s="228"/>
      <c r="BY35" s="228"/>
      <c r="BZ35" s="228"/>
      <c r="CA35" s="228"/>
      <c r="CB35" s="228"/>
      <c r="CC35" s="228"/>
      <c r="CD35" s="228"/>
      <c r="CE35" s="228"/>
      <c r="CF35" s="228"/>
      <c r="CG35" s="228"/>
      <c r="CH35" s="228"/>
      <c r="CI35" s="228"/>
      <c r="CJ35" s="228"/>
      <c r="CK35" s="228"/>
      <c r="CL35" s="228"/>
      <c r="CM35" s="228"/>
      <c r="CN35" s="228"/>
      <c r="CO35" s="228"/>
      <c r="CP35" s="228"/>
      <c r="CQ35" s="228"/>
      <c r="CR35" s="228"/>
      <c r="CS35" s="228"/>
      <c r="CT35" s="228"/>
      <c r="CU35" s="228"/>
      <c r="CV35" s="228"/>
      <c r="CW35" s="228"/>
      <c r="CX35" s="228"/>
      <c r="CY35" s="228"/>
      <c r="CZ35" s="228"/>
      <c r="DA35" s="228"/>
      <c r="DB35" s="228"/>
    </row>
    <row r="36" ht="12.0" customHeight="1">
      <c r="A36" s="228"/>
      <c r="B36" s="228"/>
      <c r="C36" s="228"/>
      <c r="D36" s="228"/>
      <c r="E36" s="228"/>
      <c r="F36" s="228"/>
      <c r="G36" s="228"/>
      <c r="H36" s="228"/>
      <c r="I36" s="228"/>
      <c r="J36" s="228"/>
      <c r="K36" s="228"/>
      <c r="L36" s="228"/>
      <c r="M36" s="228"/>
      <c r="N36" s="228"/>
      <c r="O36" s="228"/>
      <c r="P36" s="228"/>
      <c r="Q36" s="228"/>
      <c r="R36" s="228"/>
      <c r="S36" s="228"/>
      <c r="T36" s="228"/>
      <c r="U36" s="228"/>
      <c r="V36" s="228"/>
      <c r="W36" s="228"/>
      <c r="X36" s="228"/>
      <c r="Y36" s="228"/>
      <c r="Z36" s="228"/>
      <c r="AA36" s="228"/>
      <c r="AB36" s="228"/>
      <c r="AC36" s="228"/>
      <c r="AD36" s="228"/>
      <c r="AE36" s="228"/>
      <c r="AF36" s="228"/>
      <c r="AG36" s="228"/>
      <c r="AH36" s="228"/>
      <c r="AI36" s="228"/>
      <c r="AJ36" s="228"/>
      <c r="AK36" s="228"/>
      <c r="AL36" s="228"/>
      <c r="AM36" s="228"/>
      <c r="AN36" s="228"/>
      <c r="AO36" s="228"/>
      <c r="AP36" s="228"/>
      <c r="AQ36" s="228"/>
      <c r="AR36" s="228"/>
      <c r="AS36" s="228"/>
      <c r="AT36" s="228"/>
      <c r="AU36" s="228"/>
      <c r="AV36" s="228"/>
      <c r="AW36" s="228"/>
      <c r="AX36" s="228"/>
      <c r="AY36" s="228"/>
      <c r="AZ36" s="228"/>
      <c r="BA36" s="228"/>
      <c r="BB36" s="228"/>
      <c r="BC36" s="228"/>
      <c r="BD36" s="228"/>
      <c r="BE36" s="228"/>
      <c r="BF36" s="228"/>
      <c r="BG36" s="228"/>
      <c r="BH36" s="228"/>
      <c r="BI36" s="228"/>
      <c r="BJ36" s="228"/>
      <c r="BK36" s="228"/>
      <c r="BL36" s="228"/>
      <c r="BM36" s="228"/>
      <c r="BN36" s="228"/>
      <c r="BO36" s="228"/>
      <c r="BP36" s="228"/>
      <c r="BQ36" s="228"/>
      <c r="BR36" s="228"/>
      <c r="BS36" s="228"/>
      <c r="BT36" s="228"/>
      <c r="BU36" s="228"/>
      <c r="BV36" s="228"/>
      <c r="BW36" s="228"/>
      <c r="BX36" s="228"/>
      <c r="BY36" s="228"/>
      <c r="BZ36" s="228"/>
      <c r="CA36" s="228"/>
      <c r="CB36" s="228"/>
      <c r="CC36" s="228"/>
      <c r="CD36" s="228"/>
      <c r="CE36" s="228"/>
      <c r="CF36" s="228"/>
      <c r="CG36" s="228"/>
      <c r="CH36" s="228"/>
      <c r="CI36" s="228"/>
      <c r="CJ36" s="228"/>
      <c r="CK36" s="228"/>
      <c r="CL36" s="228"/>
      <c r="CM36" s="228"/>
      <c r="CN36" s="228"/>
      <c r="CO36" s="228"/>
      <c r="CP36" s="228"/>
      <c r="CQ36" s="228"/>
      <c r="CR36" s="228"/>
      <c r="CS36" s="228"/>
      <c r="CT36" s="228"/>
      <c r="CU36" s="228"/>
      <c r="CV36" s="228"/>
      <c r="CW36" s="228"/>
      <c r="CX36" s="228"/>
      <c r="CY36" s="228"/>
      <c r="CZ36" s="228"/>
      <c r="DA36" s="228"/>
      <c r="DB36" s="228"/>
    </row>
    <row r="37" ht="12.0" customHeight="1">
      <c r="A37" s="228"/>
      <c r="B37" s="228"/>
      <c r="C37" s="228"/>
      <c r="D37" s="228"/>
      <c r="E37" s="228"/>
      <c r="F37" s="228"/>
      <c r="G37" s="228"/>
      <c r="H37" s="228"/>
      <c r="I37" s="228"/>
      <c r="J37" s="228"/>
      <c r="K37" s="228"/>
      <c r="L37" s="228"/>
      <c r="M37" s="228"/>
      <c r="N37" s="228"/>
      <c r="O37" s="228"/>
      <c r="P37" s="228"/>
      <c r="Q37" s="228"/>
      <c r="R37" s="228"/>
      <c r="S37" s="228"/>
      <c r="T37" s="228"/>
      <c r="U37" s="228"/>
      <c r="V37" s="228"/>
      <c r="W37" s="228"/>
      <c r="X37" s="228"/>
      <c r="Y37" s="228"/>
      <c r="Z37" s="228"/>
      <c r="AA37" s="228"/>
      <c r="AB37" s="228"/>
      <c r="AC37" s="228"/>
      <c r="AD37" s="228"/>
      <c r="AE37" s="228"/>
      <c r="AF37" s="228"/>
      <c r="AG37" s="228"/>
      <c r="AH37" s="228"/>
      <c r="AI37" s="228"/>
      <c r="AJ37" s="228"/>
      <c r="AK37" s="228"/>
      <c r="AL37" s="228"/>
      <c r="AM37" s="228"/>
      <c r="AN37" s="228"/>
      <c r="AO37" s="228"/>
      <c r="AP37" s="228"/>
      <c r="AQ37" s="228"/>
      <c r="AR37" s="228"/>
      <c r="AS37" s="228"/>
      <c r="AT37" s="228"/>
      <c r="AU37" s="228"/>
      <c r="AV37" s="228"/>
      <c r="AW37" s="228"/>
      <c r="AX37" s="228"/>
      <c r="AY37" s="228"/>
      <c r="AZ37" s="228"/>
      <c r="BA37" s="228"/>
      <c r="BB37" s="228"/>
      <c r="BC37" s="228"/>
      <c r="BD37" s="228"/>
      <c r="BE37" s="228"/>
      <c r="BF37" s="228"/>
      <c r="BG37" s="228"/>
      <c r="BH37" s="228"/>
      <c r="BI37" s="228"/>
      <c r="BJ37" s="228"/>
      <c r="BK37" s="228"/>
      <c r="BL37" s="228"/>
      <c r="BM37" s="228"/>
      <c r="BN37" s="228"/>
      <c r="BO37" s="228"/>
      <c r="BP37" s="228"/>
      <c r="BQ37" s="228"/>
      <c r="BR37" s="228"/>
      <c r="BS37" s="228"/>
      <c r="BT37" s="228"/>
      <c r="BU37" s="228"/>
      <c r="BV37" s="228"/>
      <c r="BW37" s="228"/>
      <c r="BX37" s="228"/>
      <c r="BY37" s="228"/>
      <c r="BZ37" s="228"/>
      <c r="CA37" s="228"/>
      <c r="CB37" s="228"/>
      <c r="CC37" s="228"/>
      <c r="CD37" s="228"/>
      <c r="CE37" s="228"/>
      <c r="CF37" s="228"/>
      <c r="CG37" s="228"/>
      <c r="CH37" s="228"/>
      <c r="CI37" s="228"/>
      <c r="CJ37" s="228"/>
      <c r="CK37" s="228"/>
      <c r="CL37" s="228"/>
      <c r="CM37" s="228"/>
      <c r="CN37" s="228"/>
      <c r="CO37" s="228"/>
      <c r="CP37" s="228"/>
      <c r="CQ37" s="228"/>
      <c r="CR37" s="228"/>
      <c r="CS37" s="228"/>
      <c r="CT37" s="228"/>
      <c r="CU37" s="228"/>
      <c r="CV37" s="228"/>
      <c r="CW37" s="228"/>
      <c r="CX37" s="228"/>
      <c r="CY37" s="228"/>
      <c r="CZ37" s="228"/>
      <c r="DA37" s="228"/>
      <c r="DB37" s="228"/>
    </row>
    <row r="38" ht="12.0" customHeight="1">
      <c r="A38" s="228"/>
      <c r="B38" s="228"/>
      <c r="C38" s="228"/>
      <c r="D38" s="228"/>
      <c r="E38" s="228"/>
      <c r="F38" s="228"/>
      <c r="G38" s="228"/>
      <c r="H38" s="228"/>
      <c r="I38" s="228"/>
      <c r="J38" s="228"/>
      <c r="K38" s="228"/>
      <c r="L38" s="228"/>
      <c r="M38" s="228"/>
      <c r="N38" s="228"/>
      <c r="O38" s="228"/>
      <c r="P38" s="228"/>
      <c r="Q38" s="228"/>
      <c r="R38" s="228"/>
      <c r="S38" s="228"/>
      <c r="T38" s="228"/>
      <c r="U38" s="228"/>
      <c r="V38" s="228"/>
      <c r="W38" s="228"/>
      <c r="X38" s="228"/>
      <c r="Y38" s="228"/>
      <c r="Z38" s="228"/>
      <c r="AA38" s="228"/>
      <c r="AB38" s="228"/>
      <c r="AC38" s="228"/>
      <c r="AD38" s="228"/>
      <c r="AE38" s="228"/>
      <c r="AF38" s="228"/>
      <c r="AG38" s="228"/>
      <c r="AH38" s="228"/>
      <c r="AI38" s="228"/>
      <c r="AJ38" s="228"/>
      <c r="AK38" s="228"/>
      <c r="AL38" s="228"/>
      <c r="AM38" s="228"/>
      <c r="AN38" s="228"/>
      <c r="AO38" s="228"/>
      <c r="AP38" s="228"/>
      <c r="AQ38" s="228"/>
      <c r="AR38" s="228"/>
      <c r="AS38" s="228"/>
      <c r="AT38" s="228"/>
      <c r="AU38" s="228"/>
      <c r="AV38" s="228"/>
      <c r="AW38" s="228"/>
      <c r="AX38" s="228"/>
      <c r="AY38" s="228"/>
      <c r="AZ38" s="228"/>
      <c r="BA38" s="228"/>
      <c r="BB38" s="228"/>
      <c r="BC38" s="228"/>
      <c r="BD38" s="228"/>
      <c r="BE38" s="228"/>
      <c r="BF38" s="228"/>
      <c r="BG38" s="228"/>
      <c r="BH38" s="228"/>
      <c r="BI38" s="228"/>
      <c r="BJ38" s="228"/>
      <c r="BK38" s="228"/>
      <c r="BL38" s="228"/>
      <c r="BM38" s="228"/>
      <c r="BN38" s="228"/>
      <c r="BO38" s="228"/>
      <c r="BP38" s="228"/>
      <c r="BQ38" s="228"/>
      <c r="BR38" s="228"/>
      <c r="BS38" s="228"/>
      <c r="BT38" s="228"/>
      <c r="BU38" s="228"/>
      <c r="BV38" s="228"/>
      <c r="BW38" s="228"/>
      <c r="BX38" s="228"/>
      <c r="BY38" s="228"/>
      <c r="BZ38" s="228"/>
      <c r="CA38" s="228"/>
      <c r="CB38" s="228"/>
      <c r="CC38" s="228"/>
      <c r="CD38" s="228"/>
      <c r="CE38" s="228"/>
      <c r="CF38" s="228"/>
      <c r="CG38" s="228"/>
      <c r="CH38" s="228"/>
      <c r="CI38" s="228"/>
      <c r="CJ38" s="228"/>
      <c r="CK38" s="228"/>
      <c r="CL38" s="228"/>
      <c r="CM38" s="228"/>
      <c r="CN38" s="228"/>
      <c r="CO38" s="228"/>
      <c r="CP38" s="228"/>
      <c r="CQ38" s="228"/>
      <c r="CR38" s="228"/>
      <c r="CS38" s="228"/>
      <c r="CT38" s="228"/>
      <c r="CU38" s="228"/>
      <c r="CV38" s="228"/>
      <c r="CW38" s="228"/>
      <c r="CX38" s="228"/>
      <c r="CY38" s="228"/>
      <c r="CZ38" s="228"/>
      <c r="DA38" s="228"/>
      <c r="DB38" s="228"/>
    </row>
    <row r="39" ht="12.0" customHeight="1">
      <c r="A39" s="228"/>
      <c r="B39" s="228"/>
      <c r="C39" s="228"/>
      <c r="D39" s="228"/>
      <c r="E39" s="228"/>
      <c r="F39" s="228"/>
      <c r="G39" s="228"/>
      <c r="H39" s="228"/>
      <c r="I39" s="228"/>
      <c r="J39" s="228"/>
      <c r="K39" s="228"/>
      <c r="L39" s="228"/>
      <c r="M39" s="228"/>
      <c r="N39" s="228"/>
      <c r="O39" s="228"/>
      <c r="P39" s="228"/>
      <c r="Q39" s="228"/>
      <c r="R39" s="228"/>
      <c r="S39" s="228"/>
      <c r="T39" s="228"/>
      <c r="U39" s="228"/>
      <c r="V39" s="228"/>
      <c r="W39" s="228"/>
      <c r="X39" s="228"/>
      <c r="Y39" s="228"/>
      <c r="Z39" s="228"/>
      <c r="AA39" s="228"/>
      <c r="AB39" s="228"/>
      <c r="AC39" s="228"/>
      <c r="AD39" s="228"/>
      <c r="AE39" s="228"/>
      <c r="AF39" s="228"/>
      <c r="AG39" s="228"/>
      <c r="AH39" s="228"/>
      <c r="AI39" s="228"/>
      <c r="AJ39" s="228"/>
      <c r="AK39" s="228"/>
      <c r="AL39" s="228"/>
      <c r="AM39" s="228"/>
      <c r="AN39" s="228"/>
      <c r="AO39" s="228"/>
      <c r="AP39" s="228"/>
      <c r="AQ39" s="228"/>
      <c r="AR39" s="228"/>
      <c r="AS39" s="228"/>
      <c r="AT39" s="228"/>
      <c r="AU39" s="228"/>
      <c r="AV39" s="228"/>
      <c r="AW39" s="228"/>
      <c r="AX39" s="228"/>
      <c r="AY39" s="228"/>
      <c r="AZ39" s="228"/>
      <c r="BA39" s="228"/>
      <c r="BB39" s="228"/>
      <c r="BC39" s="228"/>
      <c r="BD39" s="228"/>
      <c r="BE39" s="228"/>
      <c r="BF39" s="228"/>
      <c r="BG39" s="228"/>
      <c r="BH39" s="228"/>
      <c r="BI39" s="228"/>
      <c r="BJ39" s="228"/>
      <c r="BK39" s="228"/>
      <c r="BL39" s="228"/>
      <c r="BM39" s="228"/>
      <c r="BN39" s="228"/>
      <c r="BO39" s="228"/>
      <c r="BP39" s="228"/>
      <c r="BQ39" s="228"/>
      <c r="BR39" s="228"/>
      <c r="BS39" s="228"/>
      <c r="BT39" s="228"/>
      <c r="BU39" s="228"/>
      <c r="BV39" s="228"/>
      <c r="BW39" s="228"/>
      <c r="BX39" s="228"/>
      <c r="BY39" s="228"/>
      <c r="BZ39" s="228"/>
      <c r="CA39" s="228"/>
      <c r="CB39" s="228"/>
      <c r="CC39" s="228"/>
      <c r="CD39" s="228"/>
      <c r="CE39" s="228"/>
      <c r="CF39" s="228"/>
      <c r="CG39" s="228"/>
      <c r="CH39" s="228"/>
      <c r="CI39" s="228"/>
      <c r="CJ39" s="228"/>
      <c r="CK39" s="228"/>
      <c r="CL39" s="228"/>
      <c r="CM39" s="228"/>
      <c r="CN39" s="228"/>
      <c r="CO39" s="228"/>
      <c r="CP39" s="228"/>
      <c r="CQ39" s="228"/>
      <c r="CR39" s="228"/>
      <c r="CS39" s="228"/>
      <c r="CT39" s="228"/>
      <c r="CU39" s="228"/>
      <c r="CV39" s="228"/>
      <c r="CW39" s="228"/>
      <c r="CX39" s="228"/>
      <c r="CY39" s="228"/>
      <c r="CZ39" s="228"/>
      <c r="DA39" s="228"/>
      <c r="DB39" s="228"/>
    </row>
    <row r="40" ht="12.0" customHeight="1">
      <c r="A40" s="228"/>
      <c r="B40" s="228"/>
      <c r="C40" s="228"/>
      <c r="D40" s="228"/>
      <c r="E40" s="228"/>
      <c r="F40" s="228"/>
      <c r="G40" s="228"/>
      <c r="H40" s="228"/>
      <c r="I40" s="228"/>
      <c r="J40" s="228"/>
      <c r="K40" s="228"/>
      <c r="L40" s="228"/>
      <c r="M40" s="228"/>
      <c r="N40" s="228"/>
      <c r="O40" s="228"/>
      <c r="P40" s="228"/>
      <c r="Q40" s="228"/>
      <c r="R40" s="228"/>
      <c r="S40" s="228"/>
      <c r="T40" s="228"/>
      <c r="U40" s="228"/>
      <c r="V40" s="228"/>
      <c r="W40" s="228"/>
      <c r="X40" s="228"/>
      <c r="Y40" s="228"/>
      <c r="Z40" s="228"/>
      <c r="AA40" s="228"/>
      <c r="AB40" s="228"/>
      <c r="AC40" s="228"/>
      <c r="AD40" s="228"/>
      <c r="AE40" s="228"/>
      <c r="AF40" s="228"/>
      <c r="AG40" s="228"/>
      <c r="AH40" s="228"/>
      <c r="AI40" s="228"/>
      <c r="AJ40" s="228"/>
      <c r="AK40" s="228"/>
      <c r="AL40" s="228"/>
      <c r="AM40" s="228"/>
      <c r="AN40" s="228"/>
      <c r="AO40" s="228"/>
      <c r="AP40" s="228"/>
      <c r="AQ40" s="228"/>
      <c r="AR40" s="228"/>
      <c r="AS40" s="228"/>
      <c r="AT40" s="228"/>
      <c r="AU40" s="228"/>
      <c r="AV40" s="228"/>
      <c r="AW40" s="228"/>
      <c r="AX40" s="228"/>
      <c r="AY40" s="228"/>
      <c r="AZ40" s="228"/>
      <c r="BA40" s="228"/>
      <c r="BB40" s="228"/>
      <c r="BC40" s="228"/>
      <c r="BD40" s="228"/>
      <c r="BE40" s="228"/>
      <c r="BF40" s="228"/>
      <c r="BG40" s="228"/>
      <c r="BH40" s="228"/>
      <c r="BI40" s="228"/>
      <c r="BJ40" s="228"/>
      <c r="BK40" s="228"/>
      <c r="BL40" s="228"/>
      <c r="BM40" s="228"/>
      <c r="BN40" s="228"/>
      <c r="BO40" s="228"/>
      <c r="BP40" s="228"/>
      <c r="BQ40" s="228"/>
      <c r="BR40" s="228"/>
      <c r="BS40" s="228"/>
      <c r="BT40" s="228"/>
      <c r="BU40" s="228"/>
      <c r="BV40" s="228"/>
      <c r="BW40" s="228"/>
      <c r="BX40" s="228"/>
      <c r="BY40" s="228"/>
      <c r="BZ40" s="228"/>
      <c r="CA40" s="228"/>
      <c r="CB40" s="228"/>
      <c r="CC40" s="228"/>
      <c r="CD40" s="228"/>
      <c r="CE40" s="228"/>
      <c r="CF40" s="228"/>
      <c r="CG40" s="228"/>
      <c r="CH40" s="228"/>
      <c r="CI40" s="228"/>
      <c r="CJ40" s="228"/>
      <c r="CK40" s="228"/>
      <c r="CL40" s="228"/>
      <c r="CM40" s="228"/>
      <c r="CN40" s="228"/>
      <c r="CO40" s="228"/>
      <c r="CP40" s="228"/>
      <c r="CQ40" s="228"/>
      <c r="CR40" s="228"/>
      <c r="CS40" s="228"/>
      <c r="CT40" s="228"/>
      <c r="CU40" s="228"/>
      <c r="CV40" s="228"/>
      <c r="CW40" s="228"/>
      <c r="CX40" s="228"/>
      <c r="CY40" s="228"/>
      <c r="CZ40" s="228"/>
      <c r="DA40" s="228"/>
      <c r="DB40" s="228"/>
    </row>
    <row r="41" ht="12.0" customHeight="1">
      <c r="A41" s="228"/>
      <c r="B41" s="228"/>
      <c r="C41" s="228"/>
      <c r="D41" s="228"/>
      <c r="E41" s="228"/>
      <c r="F41" s="228"/>
      <c r="G41" s="228"/>
      <c r="H41" s="228"/>
      <c r="I41" s="228"/>
      <c r="J41" s="228"/>
      <c r="K41" s="228"/>
      <c r="L41" s="228"/>
      <c r="M41" s="228"/>
      <c r="N41" s="228"/>
      <c r="O41" s="228"/>
      <c r="P41" s="228"/>
      <c r="Q41" s="228"/>
      <c r="R41" s="228"/>
      <c r="S41" s="228"/>
      <c r="T41" s="228"/>
      <c r="U41" s="228"/>
      <c r="V41" s="228"/>
      <c r="W41" s="228"/>
      <c r="X41" s="228"/>
      <c r="Y41" s="228"/>
      <c r="Z41" s="228"/>
      <c r="AA41" s="228"/>
      <c r="AB41" s="228"/>
      <c r="AC41" s="228"/>
      <c r="AD41" s="228"/>
      <c r="AE41" s="228"/>
      <c r="AF41" s="228"/>
      <c r="AG41" s="228"/>
      <c r="AH41" s="228"/>
      <c r="AI41" s="228"/>
      <c r="AJ41" s="228"/>
      <c r="AK41" s="228"/>
      <c r="AL41" s="228"/>
      <c r="AM41" s="228"/>
      <c r="AN41" s="228"/>
      <c r="AO41" s="228"/>
      <c r="AP41" s="228"/>
      <c r="AQ41" s="228"/>
      <c r="AR41" s="228"/>
      <c r="AS41" s="228"/>
      <c r="AT41" s="228"/>
      <c r="AU41" s="228"/>
      <c r="AV41" s="228"/>
      <c r="AW41" s="228"/>
      <c r="AX41" s="228"/>
      <c r="AY41" s="228"/>
      <c r="AZ41" s="228"/>
      <c r="BA41" s="228"/>
      <c r="BB41" s="228"/>
      <c r="BC41" s="228"/>
      <c r="BD41" s="228"/>
      <c r="BE41" s="228"/>
      <c r="BF41" s="228"/>
      <c r="BG41" s="228"/>
      <c r="BH41" s="228"/>
      <c r="BI41" s="228"/>
      <c r="BJ41" s="228"/>
      <c r="BK41" s="228"/>
      <c r="BL41" s="228"/>
      <c r="BM41" s="228"/>
      <c r="BN41" s="228"/>
      <c r="BO41" s="228"/>
      <c r="BP41" s="228"/>
      <c r="BQ41" s="228"/>
      <c r="BR41" s="228"/>
      <c r="BS41" s="228"/>
      <c r="BT41" s="228"/>
      <c r="BU41" s="228"/>
      <c r="BV41" s="228"/>
      <c r="BW41" s="228"/>
      <c r="BX41" s="228"/>
      <c r="BY41" s="228"/>
      <c r="BZ41" s="228"/>
      <c r="CA41" s="228"/>
      <c r="CB41" s="228"/>
      <c r="CC41" s="228"/>
      <c r="CD41" s="228"/>
      <c r="CE41" s="228"/>
      <c r="CF41" s="228"/>
      <c r="CG41" s="228"/>
      <c r="CH41" s="228"/>
      <c r="CI41" s="228"/>
      <c r="CJ41" s="228"/>
      <c r="CK41" s="228"/>
      <c r="CL41" s="228"/>
      <c r="CM41" s="228"/>
      <c r="CN41" s="228"/>
      <c r="CO41" s="228"/>
      <c r="CP41" s="228"/>
      <c r="CQ41" s="228"/>
      <c r="CR41" s="228"/>
      <c r="CS41" s="228"/>
      <c r="CT41" s="228"/>
      <c r="CU41" s="228"/>
      <c r="CV41" s="228"/>
      <c r="CW41" s="228"/>
      <c r="CX41" s="228"/>
      <c r="CY41" s="228"/>
      <c r="CZ41" s="228"/>
      <c r="DA41" s="228"/>
      <c r="DB41" s="228"/>
    </row>
    <row r="42" ht="12.0" customHeight="1">
      <c r="A42" s="228"/>
      <c r="B42" s="228"/>
      <c r="C42" s="228"/>
      <c r="D42" s="228"/>
      <c r="E42" s="228"/>
      <c r="F42" s="228"/>
      <c r="G42" s="228"/>
      <c r="H42" s="228"/>
      <c r="I42" s="228"/>
      <c r="J42" s="228"/>
      <c r="K42" s="228"/>
      <c r="L42" s="228"/>
      <c r="M42" s="228"/>
      <c r="N42" s="228"/>
      <c r="O42" s="228"/>
      <c r="P42" s="228"/>
      <c r="Q42" s="228"/>
      <c r="R42" s="228"/>
      <c r="S42" s="228"/>
      <c r="T42" s="228"/>
      <c r="U42" s="228"/>
      <c r="V42" s="228"/>
      <c r="W42" s="228"/>
      <c r="X42" s="228"/>
      <c r="Y42" s="228"/>
      <c r="Z42" s="228"/>
      <c r="AA42" s="228"/>
      <c r="AB42" s="228"/>
      <c r="AC42" s="228"/>
      <c r="AD42" s="228"/>
      <c r="AE42" s="228"/>
      <c r="AF42" s="228"/>
      <c r="AG42" s="228"/>
      <c r="AH42" s="228"/>
      <c r="AI42" s="228"/>
      <c r="AJ42" s="228"/>
      <c r="AK42" s="228"/>
      <c r="AL42" s="228"/>
      <c r="AM42" s="228"/>
      <c r="AN42" s="228"/>
      <c r="AO42" s="228"/>
      <c r="AP42" s="228"/>
      <c r="AQ42" s="228"/>
      <c r="AR42" s="228"/>
      <c r="AS42" s="228"/>
      <c r="AT42" s="228"/>
      <c r="AU42" s="228"/>
      <c r="AV42" s="228"/>
      <c r="AW42" s="228"/>
      <c r="AX42" s="228"/>
      <c r="AY42" s="228"/>
      <c r="AZ42" s="228"/>
      <c r="BA42" s="228"/>
      <c r="BB42" s="228"/>
      <c r="BC42" s="228"/>
      <c r="BD42" s="228"/>
      <c r="BE42" s="228"/>
      <c r="BF42" s="228"/>
      <c r="BG42" s="228"/>
      <c r="BH42" s="228"/>
      <c r="BI42" s="228"/>
      <c r="BJ42" s="228"/>
      <c r="BK42" s="228"/>
      <c r="BL42" s="228"/>
      <c r="BM42" s="228"/>
      <c r="BN42" s="228"/>
      <c r="BO42" s="228"/>
      <c r="BP42" s="228"/>
      <c r="BQ42" s="228"/>
      <c r="BR42" s="228"/>
      <c r="BS42" s="228"/>
      <c r="BT42" s="228"/>
      <c r="BU42" s="228"/>
      <c r="BV42" s="228"/>
      <c r="BW42" s="228"/>
      <c r="BX42" s="228"/>
      <c r="BY42" s="228"/>
      <c r="BZ42" s="228"/>
      <c r="CA42" s="228"/>
      <c r="CB42" s="228"/>
      <c r="CC42" s="228"/>
      <c r="CD42" s="228"/>
      <c r="CE42" s="228"/>
      <c r="CF42" s="228"/>
      <c r="CG42" s="228"/>
      <c r="CH42" s="228"/>
      <c r="CI42" s="228"/>
      <c r="CJ42" s="228"/>
      <c r="CK42" s="228"/>
      <c r="CL42" s="228"/>
      <c r="CM42" s="228"/>
      <c r="CN42" s="228"/>
      <c r="CO42" s="228"/>
      <c r="CP42" s="228"/>
      <c r="CQ42" s="228"/>
      <c r="CR42" s="228"/>
      <c r="CS42" s="228"/>
      <c r="CT42" s="228"/>
      <c r="CU42" s="228"/>
      <c r="CV42" s="228"/>
      <c r="CW42" s="228"/>
      <c r="CX42" s="228"/>
      <c r="CY42" s="228"/>
      <c r="CZ42" s="228"/>
      <c r="DA42" s="228"/>
      <c r="DB42" s="228"/>
    </row>
    <row r="43" ht="12.0" customHeight="1">
      <c r="A43" s="228"/>
      <c r="B43" s="228"/>
      <c r="C43" s="228"/>
      <c r="D43" s="228"/>
      <c r="E43" s="228"/>
      <c r="F43" s="228"/>
      <c r="G43" s="228"/>
      <c r="H43" s="228"/>
      <c r="I43" s="228"/>
      <c r="J43" s="228"/>
      <c r="K43" s="228"/>
      <c r="L43" s="228"/>
      <c r="M43" s="228"/>
      <c r="N43" s="228"/>
      <c r="O43" s="228"/>
      <c r="P43" s="228"/>
      <c r="Q43" s="228"/>
      <c r="R43" s="228"/>
      <c r="S43" s="228"/>
      <c r="T43" s="228"/>
      <c r="U43" s="228"/>
      <c r="V43" s="228"/>
      <c r="W43" s="228"/>
      <c r="X43" s="228"/>
      <c r="Y43" s="228"/>
      <c r="Z43" s="228"/>
      <c r="AA43" s="228"/>
      <c r="AB43" s="228"/>
      <c r="AC43" s="228"/>
      <c r="AD43" s="228"/>
      <c r="AE43" s="228"/>
      <c r="AF43" s="228"/>
      <c r="AG43" s="228"/>
      <c r="AH43" s="228"/>
      <c r="AI43" s="228"/>
      <c r="AJ43" s="228"/>
      <c r="AK43" s="228"/>
      <c r="AL43" s="228"/>
      <c r="AM43" s="228"/>
      <c r="AN43" s="228"/>
      <c r="AO43" s="228"/>
      <c r="AP43" s="228"/>
      <c r="AQ43" s="228"/>
      <c r="AR43" s="228"/>
      <c r="AS43" s="228"/>
      <c r="AT43" s="228"/>
      <c r="AU43" s="228"/>
      <c r="AV43" s="228"/>
      <c r="AW43" s="228"/>
      <c r="AX43" s="228"/>
      <c r="AY43" s="228"/>
      <c r="AZ43" s="228"/>
      <c r="BA43" s="228"/>
      <c r="BB43" s="228"/>
      <c r="BC43" s="228"/>
      <c r="BD43" s="228"/>
      <c r="BE43" s="228"/>
      <c r="BF43" s="228"/>
      <c r="BG43" s="228"/>
      <c r="BH43" s="228"/>
      <c r="BI43" s="228"/>
      <c r="BJ43" s="228"/>
      <c r="BK43" s="228"/>
      <c r="BL43" s="228"/>
      <c r="BM43" s="228"/>
      <c r="BN43" s="228"/>
      <c r="BO43" s="228"/>
      <c r="BP43" s="228"/>
      <c r="BQ43" s="228"/>
      <c r="BR43" s="228"/>
      <c r="BS43" s="228"/>
      <c r="BT43" s="228"/>
      <c r="BU43" s="228"/>
      <c r="BV43" s="228"/>
      <c r="BW43" s="228"/>
      <c r="BX43" s="228"/>
      <c r="BY43" s="228"/>
      <c r="BZ43" s="228"/>
      <c r="CA43" s="228"/>
      <c r="CB43" s="228"/>
      <c r="CC43" s="228"/>
      <c r="CD43" s="228"/>
      <c r="CE43" s="228"/>
      <c r="CF43" s="228"/>
      <c r="CG43" s="228"/>
      <c r="CH43" s="228"/>
      <c r="CI43" s="228"/>
      <c r="CJ43" s="228"/>
      <c r="CK43" s="228"/>
      <c r="CL43" s="228"/>
      <c r="CM43" s="228"/>
      <c r="CN43" s="228"/>
      <c r="CO43" s="228"/>
      <c r="CP43" s="228"/>
      <c r="CQ43" s="228"/>
      <c r="CR43" s="228"/>
      <c r="CS43" s="228"/>
      <c r="CT43" s="228"/>
      <c r="CU43" s="228"/>
      <c r="CV43" s="228"/>
      <c r="CW43" s="228"/>
      <c r="CX43" s="228"/>
      <c r="CY43" s="228"/>
      <c r="CZ43" s="228"/>
      <c r="DA43" s="228"/>
      <c r="DB43" s="228"/>
    </row>
    <row r="44" ht="12.0" customHeight="1">
      <c r="A44" s="228"/>
      <c r="B44" s="228"/>
      <c r="C44" s="228"/>
      <c r="D44" s="228"/>
      <c r="E44" s="228"/>
      <c r="F44" s="228"/>
      <c r="G44" s="228"/>
      <c r="H44" s="228"/>
      <c r="I44" s="228"/>
      <c r="J44" s="228"/>
      <c r="K44" s="228"/>
      <c r="L44" s="228"/>
      <c r="M44" s="228"/>
      <c r="N44" s="228"/>
      <c r="O44" s="228"/>
      <c r="P44" s="228"/>
      <c r="Q44" s="228"/>
      <c r="R44" s="228"/>
      <c r="S44" s="228"/>
      <c r="T44" s="228"/>
      <c r="U44" s="228"/>
      <c r="V44" s="228"/>
      <c r="W44" s="228"/>
      <c r="X44" s="228"/>
      <c r="Y44" s="228"/>
      <c r="Z44" s="228"/>
      <c r="AA44" s="228"/>
      <c r="AB44" s="228"/>
      <c r="AC44" s="228"/>
      <c r="AD44" s="228"/>
      <c r="AE44" s="228"/>
      <c r="AF44" s="228"/>
      <c r="AG44" s="228"/>
      <c r="AH44" s="228"/>
      <c r="AI44" s="228"/>
      <c r="AJ44" s="228"/>
      <c r="AK44" s="228"/>
      <c r="AL44" s="228"/>
      <c r="AM44" s="228"/>
      <c r="AN44" s="228"/>
      <c r="AO44" s="228"/>
      <c r="AP44" s="228"/>
      <c r="AQ44" s="228"/>
      <c r="AR44" s="228"/>
      <c r="AS44" s="228"/>
      <c r="AT44" s="228"/>
      <c r="AU44" s="228"/>
      <c r="AV44" s="228"/>
      <c r="AW44" s="228"/>
      <c r="AX44" s="228"/>
      <c r="AY44" s="228"/>
      <c r="AZ44" s="228"/>
      <c r="BA44" s="228"/>
      <c r="BB44" s="228"/>
      <c r="BC44" s="228"/>
      <c r="BD44" s="228"/>
      <c r="BE44" s="228"/>
      <c r="BF44" s="228"/>
      <c r="BG44" s="228"/>
      <c r="BH44" s="228"/>
      <c r="BI44" s="228"/>
      <c r="BJ44" s="228"/>
      <c r="BK44" s="228"/>
      <c r="BL44" s="228"/>
      <c r="BM44" s="228"/>
      <c r="BN44" s="228"/>
      <c r="BO44" s="228"/>
      <c r="BP44" s="228"/>
      <c r="BQ44" s="228"/>
      <c r="BR44" s="228"/>
      <c r="BS44" s="228"/>
      <c r="BT44" s="228"/>
      <c r="BU44" s="228"/>
      <c r="BV44" s="228"/>
      <c r="BW44" s="228"/>
      <c r="BX44" s="228"/>
      <c r="BY44" s="228"/>
      <c r="BZ44" s="228"/>
      <c r="CA44" s="228"/>
      <c r="CB44" s="228"/>
      <c r="CC44" s="228"/>
      <c r="CD44" s="228"/>
      <c r="CE44" s="228"/>
      <c r="CF44" s="228"/>
      <c r="CG44" s="228"/>
      <c r="CH44" s="228"/>
      <c r="CI44" s="228"/>
      <c r="CJ44" s="228"/>
      <c r="CK44" s="228"/>
      <c r="CL44" s="228"/>
      <c r="CM44" s="228"/>
      <c r="CN44" s="228"/>
      <c r="CO44" s="228"/>
      <c r="CP44" s="228"/>
      <c r="CQ44" s="228"/>
      <c r="CR44" s="228"/>
      <c r="CS44" s="228"/>
      <c r="CT44" s="228"/>
      <c r="CU44" s="228"/>
      <c r="CV44" s="228"/>
      <c r="CW44" s="228"/>
      <c r="CX44" s="228"/>
      <c r="CY44" s="228"/>
      <c r="CZ44" s="228"/>
      <c r="DA44" s="228"/>
      <c r="DB44" s="228"/>
    </row>
    <row r="45" ht="12.0" customHeight="1">
      <c r="A45" s="228"/>
      <c r="B45" s="228"/>
      <c r="C45" s="228"/>
      <c r="D45" s="228"/>
      <c r="E45" s="228"/>
      <c r="F45" s="228"/>
      <c r="G45" s="228"/>
      <c r="H45" s="228"/>
      <c r="I45" s="228"/>
      <c r="J45" s="228"/>
      <c r="K45" s="228"/>
      <c r="L45" s="228"/>
      <c r="M45" s="228"/>
      <c r="N45" s="228"/>
      <c r="O45" s="228"/>
      <c r="P45" s="228"/>
      <c r="Q45" s="228"/>
      <c r="R45" s="228"/>
      <c r="S45" s="228"/>
      <c r="T45" s="228"/>
      <c r="U45" s="228"/>
      <c r="V45" s="228"/>
      <c r="W45" s="228"/>
      <c r="X45" s="228"/>
      <c r="Y45" s="228"/>
      <c r="Z45" s="228"/>
      <c r="AA45" s="228"/>
      <c r="AB45" s="228"/>
      <c r="AC45" s="228"/>
      <c r="AD45" s="228"/>
      <c r="AE45" s="228"/>
      <c r="AF45" s="228"/>
      <c r="AG45" s="228"/>
      <c r="AH45" s="228"/>
      <c r="AI45" s="228"/>
      <c r="AJ45" s="228"/>
      <c r="AK45" s="228"/>
      <c r="AL45" s="228"/>
      <c r="AM45" s="228"/>
      <c r="AN45" s="228"/>
      <c r="AO45" s="228"/>
      <c r="AP45" s="228"/>
      <c r="AQ45" s="228"/>
      <c r="AR45" s="228"/>
      <c r="AS45" s="228"/>
      <c r="AT45" s="228"/>
      <c r="AU45" s="228"/>
      <c r="AV45" s="228"/>
      <c r="AW45" s="228"/>
      <c r="AX45" s="228"/>
      <c r="AY45" s="228"/>
      <c r="AZ45" s="228"/>
      <c r="BA45" s="228"/>
      <c r="BB45" s="228"/>
      <c r="BC45" s="228"/>
      <c r="BD45" s="228"/>
      <c r="BE45" s="228"/>
      <c r="BF45" s="228"/>
      <c r="BG45" s="228"/>
      <c r="BH45" s="228"/>
      <c r="BI45" s="228"/>
      <c r="BJ45" s="228"/>
      <c r="BK45" s="228"/>
      <c r="BL45" s="228"/>
      <c r="BM45" s="228"/>
      <c r="BN45" s="228"/>
      <c r="BO45" s="228"/>
      <c r="BP45" s="228"/>
      <c r="BQ45" s="228"/>
      <c r="BR45" s="228"/>
      <c r="BS45" s="228"/>
      <c r="BT45" s="228"/>
      <c r="BU45" s="228"/>
      <c r="BV45" s="228"/>
      <c r="BW45" s="228"/>
      <c r="BX45" s="228"/>
      <c r="BY45" s="228"/>
      <c r="BZ45" s="228"/>
      <c r="CA45" s="228"/>
      <c r="CB45" s="228"/>
      <c r="CC45" s="228"/>
      <c r="CD45" s="228"/>
      <c r="CE45" s="228"/>
      <c r="CF45" s="228"/>
      <c r="CG45" s="228"/>
      <c r="CH45" s="228"/>
      <c r="CI45" s="228"/>
      <c r="CJ45" s="228"/>
      <c r="CK45" s="228"/>
      <c r="CL45" s="228"/>
      <c r="CM45" s="228"/>
      <c r="CN45" s="228"/>
      <c r="CO45" s="228"/>
      <c r="CP45" s="228"/>
      <c r="CQ45" s="228"/>
      <c r="CR45" s="228"/>
      <c r="CS45" s="228"/>
      <c r="CT45" s="228"/>
      <c r="CU45" s="228"/>
      <c r="CV45" s="228"/>
      <c r="CW45" s="228"/>
      <c r="CX45" s="228"/>
      <c r="CY45" s="228"/>
      <c r="CZ45" s="228"/>
      <c r="DA45" s="228"/>
      <c r="DB45" s="228"/>
    </row>
    <row r="46" ht="12.0" customHeight="1">
      <c r="A46" s="228"/>
      <c r="B46" s="228"/>
      <c r="C46" s="228"/>
      <c r="D46" s="228"/>
      <c r="E46" s="228"/>
      <c r="F46" s="228"/>
      <c r="G46" s="228"/>
      <c r="H46" s="228"/>
      <c r="I46" s="228"/>
      <c r="J46" s="228"/>
      <c r="K46" s="228"/>
      <c r="L46" s="228"/>
      <c r="M46" s="228"/>
      <c r="N46" s="228"/>
      <c r="O46" s="228"/>
      <c r="P46" s="228"/>
      <c r="Q46" s="228"/>
      <c r="R46" s="228"/>
      <c r="S46" s="228"/>
      <c r="T46" s="228"/>
      <c r="U46" s="228"/>
      <c r="V46" s="228"/>
      <c r="W46" s="228"/>
      <c r="X46" s="228"/>
      <c r="Y46" s="228"/>
      <c r="Z46" s="228"/>
      <c r="AA46" s="228"/>
      <c r="AB46" s="228"/>
      <c r="AC46" s="228"/>
      <c r="AD46" s="228"/>
      <c r="AE46" s="228"/>
      <c r="AF46" s="228"/>
      <c r="AG46" s="228"/>
      <c r="AH46" s="228"/>
      <c r="AI46" s="228"/>
      <c r="AJ46" s="228"/>
      <c r="AK46" s="228"/>
      <c r="AL46" s="228"/>
      <c r="AM46" s="228"/>
      <c r="AN46" s="228"/>
      <c r="AO46" s="228"/>
      <c r="AP46" s="228"/>
      <c r="AQ46" s="228"/>
      <c r="AR46" s="228"/>
      <c r="AS46" s="228"/>
      <c r="AT46" s="228"/>
      <c r="AU46" s="228"/>
      <c r="AV46" s="228"/>
      <c r="AW46" s="228"/>
      <c r="AX46" s="228"/>
      <c r="AY46" s="228"/>
      <c r="AZ46" s="228"/>
      <c r="BA46" s="228"/>
      <c r="BB46" s="228"/>
      <c r="BC46" s="228"/>
      <c r="BD46" s="228"/>
      <c r="BE46" s="228"/>
      <c r="BF46" s="228"/>
      <c r="BG46" s="228"/>
      <c r="BH46" s="228"/>
      <c r="BI46" s="228"/>
      <c r="BJ46" s="228"/>
      <c r="BK46" s="228"/>
      <c r="BL46" s="228"/>
      <c r="BM46" s="228"/>
      <c r="BN46" s="228"/>
      <c r="BO46" s="228"/>
      <c r="BP46" s="228"/>
      <c r="BQ46" s="228"/>
      <c r="BR46" s="228"/>
      <c r="BS46" s="228"/>
      <c r="BT46" s="228"/>
      <c r="BU46" s="228"/>
      <c r="BV46" s="228"/>
      <c r="BW46" s="228"/>
      <c r="BX46" s="228"/>
      <c r="BY46" s="228"/>
      <c r="BZ46" s="228"/>
      <c r="CA46" s="228"/>
      <c r="CB46" s="228"/>
      <c r="CC46" s="228"/>
      <c r="CD46" s="228"/>
      <c r="CE46" s="228"/>
      <c r="CF46" s="228"/>
      <c r="CG46" s="228"/>
      <c r="CH46" s="228"/>
      <c r="CI46" s="228"/>
      <c r="CJ46" s="228"/>
      <c r="CK46" s="228"/>
      <c r="CL46" s="228"/>
      <c r="CM46" s="228"/>
      <c r="CN46" s="228"/>
      <c r="CO46" s="228"/>
      <c r="CP46" s="228"/>
      <c r="CQ46" s="228"/>
      <c r="CR46" s="228"/>
      <c r="CS46" s="228"/>
      <c r="CT46" s="228"/>
      <c r="CU46" s="228"/>
      <c r="CV46" s="228"/>
      <c r="CW46" s="228"/>
      <c r="CX46" s="228"/>
      <c r="CY46" s="228"/>
      <c r="CZ46" s="228"/>
      <c r="DA46" s="228"/>
      <c r="DB46" s="228"/>
    </row>
    <row r="47" ht="12.0" customHeight="1">
      <c r="A47" s="228"/>
      <c r="B47" s="228"/>
      <c r="C47" s="228"/>
      <c r="D47" s="228"/>
      <c r="E47" s="228"/>
      <c r="F47" s="228"/>
      <c r="G47" s="228"/>
      <c r="H47" s="228"/>
      <c r="I47" s="228"/>
      <c r="J47" s="228"/>
      <c r="K47" s="228"/>
      <c r="L47" s="228"/>
      <c r="M47" s="228"/>
      <c r="N47" s="228"/>
      <c r="O47" s="228"/>
      <c r="P47" s="228"/>
      <c r="Q47" s="228"/>
      <c r="R47" s="228"/>
      <c r="S47" s="228"/>
      <c r="T47" s="228"/>
      <c r="U47" s="228"/>
      <c r="V47" s="228"/>
      <c r="W47" s="228"/>
      <c r="X47" s="228"/>
      <c r="Y47" s="228"/>
      <c r="Z47" s="228"/>
      <c r="AA47" s="228"/>
      <c r="AB47" s="228"/>
      <c r="AC47" s="228"/>
      <c r="AD47" s="228"/>
      <c r="AE47" s="228"/>
      <c r="AF47" s="228"/>
      <c r="AG47" s="228"/>
      <c r="AH47" s="228"/>
      <c r="AI47" s="228"/>
      <c r="AJ47" s="228"/>
      <c r="AK47" s="228"/>
      <c r="AL47" s="228"/>
      <c r="AM47" s="228"/>
      <c r="AN47" s="228"/>
      <c r="AO47" s="228"/>
      <c r="AP47" s="228"/>
      <c r="AQ47" s="228"/>
      <c r="AR47" s="228"/>
      <c r="AS47" s="228"/>
      <c r="AT47" s="228"/>
      <c r="AU47" s="228"/>
      <c r="AV47" s="228"/>
      <c r="AW47" s="228"/>
      <c r="AX47" s="228"/>
      <c r="AY47" s="228"/>
      <c r="AZ47" s="228"/>
      <c r="BA47" s="228"/>
      <c r="BB47" s="228"/>
      <c r="BC47" s="228"/>
      <c r="BD47" s="228"/>
      <c r="BE47" s="228"/>
      <c r="BF47" s="228"/>
      <c r="BG47" s="228"/>
      <c r="BH47" s="228"/>
      <c r="BI47" s="228"/>
      <c r="BJ47" s="228"/>
      <c r="BK47" s="228"/>
      <c r="BL47" s="228"/>
      <c r="BM47" s="228"/>
      <c r="BN47" s="228"/>
      <c r="BO47" s="228"/>
      <c r="BP47" s="228"/>
      <c r="BQ47" s="228"/>
      <c r="BR47" s="228"/>
      <c r="BS47" s="228"/>
      <c r="BT47" s="228"/>
      <c r="BU47" s="228"/>
      <c r="BV47" s="228"/>
      <c r="BW47" s="228"/>
      <c r="BX47" s="228"/>
      <c r="BY47" s="228"/>
      <c r="BZ47" s="228"/>
      <c r="CA47" s="228"/>
      <c r="CB47" s="228"/>
      <c r="CC47" s="228"/>
      <c r="CD47" s="228"/>
      <c r="CE47" s="228"/>
      <c r="CF47" s="228"/>
      <c r="CG47" s="228"/>
      <c r="CH47" s="228"/>
      <c r="CI47" s="228"/>
      <c r="CJ47" s="228"/>
      <c r="CK47" s="228"/>
      <c r="CL47" s="228"/>
      <c r="CM47" s="228"/>
      <c r="CN47" s="228"/>
      <c r="CO47" s="228"/>
      <c r="CP47" s="228"/>
      <c r="CQ47" s="228"/>
      <c r="CR47" s="228"/>
      <c r="CS47" s="228"/>
      <c r="CT47" s="228"/>
      <c r="CU47" s="228"/>
      <c r="CV47" s="228"/>
      <c r="CW47" s="228"/>
      <c r="CX47" s="228"/>
      <c r="CY47" s="228"/>
      <c r="CZ47" s="228"/>
      <c r="DA47" s="228"/>
      <c r="DB47" s="228"/>
    </row>
    <row r="48" ht="12.0" customHeight="1">
      <c r="A48" s="228"/>
      <c r="B48" s="228"/>
      <c r="C48" s="228"/>
      <c r="D48" s="228"/>
      <c r="E48" s="228"/>
      <c r="F48" s="228"/>
      <c r="G48" s="228"/>
      <c r="H48" s="228"/>
      <c r="I48" s="228"/>
      <c r="J48" s="228"/>
      <c r="K48" s="228"/>
      <c r="L48" s="228"/>
      <c r="M48" s="228"/>
      <c r="N48" s="228"/>
      <c r="O48" s="228"/>
      <c r="P48" s="228"/>
      <c r="Q48" s="228"/>
      <c r="R48" s="228"/>
      <c r="S48" s="228"/>
      <c r="T48" s="228"/>
      <c r="U48" s="228"/>
      <c r="V48" s="228"/>
      <c r="W48" s="228"/>
      <c r="X48" s="228"/>
      <c r="Y48" s="228"/>
      <c r="Z48" s="228"/>
      <c r="AA48" s="228"/>
      <c r="AB48" s="228"/>
      <c r="AC48" s="228"/>
      <c r="AD48" s="228"/>
      <c r="AE48" s="228"/>
      <c r="AF48" s="228"/>
      <c r="AG48" s="228"/>
      <c r="AH48" s="228"/>
      <c r="AI48" s="228"/>
      <c r="AJ48" s="228"/>
      <c r="AK48" s="228"/>
      <c r="AL48" s="228"/>
      <c r="AM48" s="228"/>
      <c r="AN48" s="228"/>
      <c r="AO48" s="228"/>
      <c r="AP48" s="228"/>
      <c r="AQ48" s="228"/>
      <c r="AR48" s="228"/>
      <c r="AS48" s="228"/>
      <c r="AT48" s="228"/>
      <c r="AU48" s="228"/>
      <c r="AV48" s="228"/>
      <c r="AW48" s="228"/>
      <c r="AX48" s="228"/>
      <c r="AY48" s="228"/>
      <c r="AZ48" s="228"/>
      <c r="BA48" s="228"/>
      <c r="BB48" s="228"/>
      <c r="BC48" s="228"/>
      <c r="BD48" s="228"/>
      <c r="BE48" s="228"/>
      <c r="BF48" s="228"/>
      <c r="BG48" s="228"/>
      <c r="BH48" s="228"/>
      <c r="BI48" s="228"/>
      <c r="BJ48" s="228"/>
      <c r="BK48" s="228"/>
      <c r="BL48" s="228"/>
      <c r="BM48" s="228"/>
      <c r="BN48" s="228"/>
      <c r="BO48" s="228"/>
      <c r="BP48" s="228"/>
      <c r="BQ48" s="228"/>
      <c r="BR48" s="228"/>
      <c r="BS48" s="228"/>
      <c r="BT48" s="228"/>
      <c r="BU48" s="228"/>
      <c r="BV48" s="228"/>
      <c r="BW48" s="228"/>
      <c r="BX48" s="228"/>
      <c r="BY48" s="228"/>
      <c r="BZ48" s="228"/>
      <c r="CA48" s="228"/>
      <c r="CB48" s="228"/>
      <c r="CC48" s="228"/>
      <c r="CD48" s="228"/>
      <c r="CE48" s="228"/>
      <c r="CF48" s="228"/>
      <c r="CG48" s="228"/>
      <c r="CH48" s="228"/>
      <c r="CI48" s="228"/>
      <c r="CJ48" s="228"/>
      <c r="CK48" s="228"/>
      <c r="CL48" s="228"/>
      <c r="CM48" s="228"/>
      <c r="CN48" s="228"/>
      <c r="CO48" s="228"/>
      <c r="CP48" s="228"/>
      <c r="CQ48" s="228"/>
      <c r="CR48" s="228"/>
      <c r="CS48" s="228"/>
      <c r="CT48" s="228"/>
      <c r="CU48" s="228"/>
      <c r="CV48" s="228"/>
      <c r="CW48" s="228"/>
      <c r="CX48" s="228"/>
      <c r="CY48" s="228"/>
      <c r="CZ48" s="228"/>
      <c r="DA48" s="228"/>
      <c r="DB48" s="228"/>
    </row>
    <row r="49" ht="12.0" customHeight="1">
      <c r="A49" s="228"/>
      <c r="B49" s="228"/>
      <c r="C49" s="228"/>
      <c r="D49" s="228"/>
      <c r="E49" s="228"/>
      <c r="F49" s="228"/>
      <c r="G49" s="228"/>
      <c r="H49" s="228"/>
      <c r="I49" s="228"/>
      <c r="J49" s="228"/>
      <c r="K49" s="228"/>
      <c r="L49" s="228"/>
      <c r="M49" s="228"/>
      <c r="N49" s="228"/>
      <c r="O49" s="228"/>
      <c r="P49" s="228"/>
      <c r="Q49" s="228"/>
      <c r="R49" s="228"/>
      <c r="S49" s="228"/>
      <c r="T49" s="228"/>
      <c r="U49" s="228"/>
      <c r="V49" s="228"/>
      <c r="W49" s="228"/>
      <c r="X49" s="228"/>
      <c r="Y49" s="228"/>
      <c r="Z49" s="228"/>
      <c r="AA49" s="228"/>
      <c r="AB49" s="228"/>
      <c r="AC49" s="228"/>
      <c r="AD49" s="228"/>
      <c r="AE49" s="228"/>
      <c r="AF49" s="228"/>
      <c r="AG49" s="228"/>
      <c r="AH49" s="228"/>
      <c r="AI49" s="228"/>
      <c r="AJ49" s="228"/>
      <c r="AK49" s="228"/>
      <c r="AL49" s="228"/>
      <c r="AM49" s="228"/>
      <c r="AN49" s="228"/>
      <c r="AO49" s="228"/>
      <c r="AP49" s="228"/>
      <c r="AQ49" s="228"/>
      <c r="AR49" s="228"/>
      <c r="AS49" s="228"/>
      <c r="AT49" s="228"/>
      <c r="AU49" s="228"/>
      <c r="AV49" s="228"/>
      <c r="AW49" s="228"/>
      <c r="AX49" s="228"/>
      <c r="AY49" s="228"/>
      <c r="AZ49" s="228"/>
      <c r="BA49" s="228"/>
      <c r="BB49" s="228"/>
      <c r="BC49" s="228"/>
      <c r="BD49" s="228"/>
      <c r="BE49" s="228"/>
      <c r="BF49" s="228"/>
      <c r="BG49" s="228"/>
      <c r="BH49" s="228"/>
      <c r="BI49" s="228"/>
      <c r="BJ49" s="228"/>
      <c r="BK49" s="228"/>
      <c r="BL49" s="228"/>
      <c r="BM49" s="228"/>
      <c r="BN49" s="228"/>
      <c r="BO49" s="228"/>
      <c r="BP49" s="228"/>
      <c r="BQ49" s="228"/>
      <c r="BR49" s="228"/>
      <c r="BS49" s="228"/>
      <c r="BT49" s="228"/>
      <c r="BU49" s="228"/>
      <c r="BV49" s="228"/>
      <c r="BW49" s="228"/>
      <c r="BX49" s="228"/>
      <c r="BY49" s="228"/>
      <c r="BZ49" s="228"/>
      <c r="CA49" s="228"/>
      <c r="CB49" s="228"/>
      <c r="CC49" s="228"/>
      <c r="CD49" s="228"/>
      <c r="CE49" s="228"/>
      <c r="CF49" s="228"/>
      <c r="CG49" s="228"/>
      <c r="CH49" s="228"/>
      <c r="CI49" s="228"/>
      <c r="CJ49" s="228"/>
      <c r="CK49" s="228"/>
      <c r="CL49" s="228"/>
      <c r="CM49" s="228"/>
      <c r="CN49" s="228"/>
      <c r="CO49" s="228"/>
      <c r="CP49" s="228"/>
      <c r="CQ49" s="228"/>
      <c r="CR49" s="228"/>
      <c r="CS49" s="228"/>
      <c r="CT49" s="228"/>
      <c r="CU49" s="228"/>
      <c r="CV49" s="228"/>
      <c r="CW49" s="228"/>
      <c r="CX49" s="228"/>
      <c r="CY49" s="228"/>
      <c r="CZ49" s="228"/>
      <c r="DA49" s="228"/>
      <c r="DB49" s="228"/>
    </row>
    <row r="50" ht="12.0" customHeight="1">
      <c r="A50" s="228"/>
      <c r="B50" s="228"/>
      <c r="C50" s="228"/>
      <c r="D50" s="228"/>
      <c r="E50" s="228"/>
      <c r="F50" s="228"/>
      <c r="G50" s="228"/>
      <c r="H50" s="228"/>
      <c r="I50" s="228"/>
      <c r="J50" s="228"/>
      <c r="K50" s="228"/>
      <c r="L50" s="228"/>
      <c r="M50" s="228"/>
      <c r="N50" s="228"/>
      <c r="O50" s="228"/>
      <c r="P50" s="228"/>
      <c r="Q50" s="228"/>
      <c r="R50" s="228"/>
      <c r="S50" s="228"/>
      <c r="T50" s="228"/>
      <c r="U50" s="228"/>
      <c r="V50" s="228"/>
      <c r="W50" s="228"/>
      <c r="X50" s="228"/>
      <c r="Y50" s="228"/>
      <c r="Z50" s="228"/>
      <c r="AA50" s="228"/>
      <c r="AB50" s="228"/>
      <c r="AC50" s="228"/>
      <c r="AD50" s="228"/>
      <c r="AE50" s="228"/>
      <c r="AF50" s="228"/>
      <c r="AG50" s="228"/>
      <c r="AH50" s="228"/>
      <c r="AI50" s="228"/>
      <c r="AJ50" s="228"/>
      <c r="AK50" s="228"/>
      <c r="AL50" s="228"/>
      <c r="AM50" s="228"/>
      <c r="AN50" s="228"/>
      <c r="AO50" s="228"/>
      <c r="AP50" s="228"/>
      <c r="AQ50" s="228"/>
      <c r="AR50" s="228"/>
      <c r="AS50" s="228"/>
      <c r="AT50" s="228"/>
      <c r="AU50" s="228"/>
      <c r="AV50" s="228"/>
      <c r="AW50" s="228"/>
      <c r="AX50" s="228"/>
      <c r="AY50" s="228"/>
      <c r="AZ50" s="228"/>
      <c r="BA50" s="228"/>
      <c r="BB50" s="228"/>
      <c r="BC50" s="228"/>
      <c r="BD50" s="228"/>
      <c r="BE50" s="228"/>
      <c r="BF50" s="228"/>
      <c r="BG50" s="228"/>
      <c r="BH50" s="228"/>
      <c r="BI50" s="228"/>
      <c r="BJ50" s="228"/>
      <c r="BK50" s="228"/>
      <c r="BL50" s="228"/>
      <c r="BM50" s="228"/>
      <c r="BN50" s="228"/>
      <c r="BO50" s="228"/>
      <c r="BP50" s="228"/>
      <c r="BQ50" s="228"/>
      <c r="BR50" s="228"/>
      <c r="BS50" s="228"/>
      <c r="BT50" s="228"/>
      <c r="BU50" s="228"/>
      <c r="BV50" s="228"/>
      <c r="BW50" s="228"/>
      <c r="BX50" s="228"/>
      <c r="BY50" s="228"/>
      <c r="BZ50" s="228"/>
      <c r="CA50" s="228"/>
      <c r="CB50" s="228"/>
      <c r="CC50" s="228"/>
      <c r="CD50" s="228"/>
      <c r="CE50" s="228"/>
      <c r="CF50" s="228"/>
      <c r="CG50" s="228"/>
      <c r="CH50" s="228"/>
      <c r="CI50" s="228"/>
      <c r="CJ50" s="228"/>
      <c r="CK50" s="228"/>
      <c r="CL50" s="228"/>
      <c r="CM50" s="228"/>
      <c r="CN50" s="228"/>
      <c r="CO50" s="228"/>
      <c r="CP50" s="228"/>
      <c r="CQ50" s="228"/>
      <c r="CR50" s="228"/>
      <c r="CS50" s="228"/>
      <c r="CT50" s="228"/>
      <c r="CU50" s="228"/>
      <c r="CV50" s="228"/>
      <c r="CW50" s="228"/>
      <c r="CX50" s="228"/>
      <c r="CY50" s="228"/>
      <c r="CZ50" s="228"/>
      <c r="DA50" s="228"/>
      <c r="DB50" s="228"/>
    </row>
    <row r="51" ht="12.0" customHeight="1">
      <c r="A51" s="228"/>
      <c r="B51" s="228"/>
      <c r="C51" s="228"/>
      <c r="D51" s="228"/>
      <c r="E51" s="228"/>
      <c r="F51" s="228"/>
      <c r="G51" s="228"/>
      <c r="H51" s="228"/>
      <c r="I51" s="228"/>
      <c r="J51" s="228"/>
      <c r="K51" s="228"/>
      <c r="L51" s="228"/>
      <c r="M51" s="228"/>
      <c r="N51" s="228"/>
      <c r="O51" s="228"/>
      <c r="P51" s="228"/>
      <c r="Q51" s="228"/>
      <c r="R51" s="228"/>
      <c r="S51" s="228"/>
      <c r="T51" s="228"/>
      <c r="U51" s="228"/>
      <c r="V51" s="228"/>
      <c r="W51" s="228"/>
      <c r="X51" s="228"/>
      <c r="Y51" s="228"/>
      <c r="Z51" s="228"/>
      <c r="AA51" s="228"/>
      <c r="AB51" s="228"/>
      <c r="AC51" s="228"/>
      <c r="AD51" s="228"/>
      <c r="AE51" s="228"/>
      <c r="AF51" s="228"/>
      <c r="AG51" s="228"/>
      <c r="AH51" s="228"/>
      <c r="AI51" s="228"/>
      <c r="AJ51" s="228"/>
      <c r="AK51" s="228"/>
      <c r="AL51" s="228"/>
      <c r="AM51" s="228"/>
      <c r="AN51" s="228"/>
      <c r="AO51" s="228"/>
      <c r="AP51" s="228"/>
      <c r="AQ51" s="228"/>
      <c r="AR51" s="228"/>
      <c r="AS51" s="228"/>
      <c r="AT51" s="228"/>
      <c r="AU51" s="228"/>
      <c r="AV51" s="228"/>
      <c r="AW51" s="228"/>
      <c r="AX51" s="228"/>
      <c r="AY51" s="228"/>
      <c r="AZ51" s="228"/>
      <c r="BA51" s="228"/>
      <c r="BB51" s="228"/>
      <c r="BC51" s="228"/>
      <c r="BD51" s="228"/>
      <c r="BE51" s="228"/>
      <c r="BF51" s="228"/>
      <c r="BG51" s="228"/>
      <c r="BH51" s="228"/>
      <c r="BI51" s="228"/>
      <c r="BJ51" s="228"/>
      <c r="BK51" s="228"/>
      <c r="BL51" s="228"/>
      <c r="BM51" s="228"/>
      <c r="BN51" s="228"/>
      <c r="BO51" s="228"/>
      <c r="BP51" s="228"/>
      <c r="BQ51" s="228"/>
      <c r="BR51" s="228"/>
      <c r="BS51" s="228"/>
      <c r="BT51" s="228"/>
      <c r="BU51" s="228"/>
      <c r="BV51" s="228"/>
      <c r="BW51" s="228"/>
      <c r="BX51" s="228"/>
      <c r="BY51" s="228"/>
      <c r="BZ51" s="228"/>
      <c r="CA51" s="228"/>
      <c r="CB51" s="228"/>
      <c r="CC51" s="228"/>
      <c r="CD51" s="228"/>
      <c r="CE51" s="228"/>
      <c r="CF51" s="228"/>
      <c r="CG51" s="228"/>
      <c r="CH51" s="228"/>
      <c r="CI51" s="228"/>
      <c r="CJ51" s="228"/>
      <c r="CK51" s="228"/>
      <c r="CL51" s="228"/>
      <c r="CM51" s="228"/>
      <c r="CN51" s="228"/>
      <c r="CO51" s="228"/>
      <c r="CP51" s="228"/>
      <c r="CQ51" s="228"/>
      <c r="CR51" s="228"/>
      <c r="CS51" s="228"/>
      <c r="CT51" s="228"/>
      <c r="CU51" s="228"/>
      <c r="CV51" s="228"/>
      <c r="CW51" s="228"/>
      <c r="CX51" s="228"/>
      <c r="CY51" s="228"/>
      <c r="CZ51" s="228"/>
      <c r="DA51" s="228"/>
      <c r="DB51" s="228"/>
    </row>
    <row r="52" ht="12.0" customHeight="1">
      <c r="A52" s="228"/>
      <c r="B52" s="228"/>
      <c r="C52" s="228"/>
      <c r="D52" s="228"/>
      <c r="E52" s="228"/>
      <c r="F52" s="228"/>
      <c r="G52" s="228"/>
      <c r="H52" s="228"/>
      <c r="I52" s="228"/>
      <c r="J52" s="228"/>
      <c r="K52" s="228"/>
      <c r="L52" s="228"/>
      <c r="M52" s="228"/>
      <c r="N52" s="228"/>
      <c r="O52" s="228"/>
      <c r="P52" s="228"/>
      <c r="Q52" s="228"/>
      <c r="R52" s="228"/>
      <c r="S52" s="228"/>
      <c r="T52" s="228"/>
      <c r="U52" s="228"/>
      <c r="V52" s="228"/>
      <c r="W52" s="228"/>
      <c r="X52" s="228"/>
      <c r="Y52" s="228"/>
      <c r="Z52" s="228"/>
      <c r="AA52" s="228"/>
      <c r="AB52" s="228"/>
      <c r="AC52" s="228"/>
      <c r="AD52" s="228"/>
      <c r="AE52" s="228"/>
      <c r="AF52" s="228"/>
      <c r="AG52" s="228"/>
      <c r="AH52" s="228"/>
      <c r="AI52" s="228"/>
      <c r="AJ52" s="228"/>
      <c r="AK52" s="228"/>
      <c r="AL52" s="228"/>
      <c r="AM52" s="228"/>
      <c r="AN52" s="228"/>
      <c r="AO52" s="228"/>
      <c r="AP52" s="228"/>
      <c r="AQ52" s="228"/>
      <c r="AR52" s="228"/>
      <c r="AS52" s="228"/>
      <c r="AT52" s="228"/>
      <c r="AU52" s="228"/>
      <c r="AV52" s="228"/>
      <c r="AW52" s="228"/>
      <c r="AX52" s="228"/>
      <c r="AY52" s="228"/>
      <c r="AZ52" s="228"/>
      <c r="BA52" s="228"/>
      <c r="BB52" s="228"/>
      <c r="BC52" s="228"/>
      <c r="BD52" s="228"/>
      <c r="BE52" s="228"/>
      <c r="BF52" s="228"/>
      <c r="BG52" s="228"/>
      <c r="BH52" s="228"/>
      <c r="BI52" s="228"/>
      <c r="BJ52" s="228"/>
      <c r="BK52" s="228"/>
      <c r="BL52" s="228"/>
      <c r="BM52" s="228"/>
      <c r="BN52" s="228"/>
      <c r="BO52" s="228"/>
      <c r="BP52" s="228"/>
      <c r="BQ52" s="228"/>
      <c r="BR52" s="228"/>
      <c r="BS52" s="228"/>
      <c r="BT52" s="228"/>
      <c r="BU52" s="228"/>
      <c r="BV52" s="228"/>
      <c r="BW52" s="228"/>
      <c r="BX52" s="228"/>
      <c r="BY52" s="228"/>
      <c r="BZ52" s="228"/>
      <c r="CA52" s="228"/>
      <c r="CB52" s="228"/>
      <c r="CC52" s="228"/>
      <c r="CD52" s="228"/>
      <c r="CE52" s="228"/>
      <c r="CF52" s="228"/>
      <c r="CG52" s="228"/>
      <c r="CH52" s="228"/>
      <c r="CI52" s="228"/>
      <c r="CJ52" s="228"/>
      <c r="CK52" s="228"/>
      <c r="CL52" s="228"/>
      <c r="CM52" s="228"/>
      <c r="CN52" s="228"/>
      <c r="CO52" s="228"/>
      <c r="CP52" s="228"/>
      <c r="CQ52" s="228"/>
      <c r="CR52" s="228"/>
      <c r="CS52" s="228"/>
      <c r="CT52" s="228"/>
      <c r="CU52" s="228"/>
      <c r="CV52" s="228"/>
      <c r="CW52" s="228"/>
      <c r="CX52" s="228"/>
      <c r="CY52" s="228"/>
      <c r="CZ52" s="228"/>
      <c r="DA52" s="228"/>
      <c r="DB52" s="228"/>
    </row>
    <row r="53" ht="12.0" customHeight="1">
      <c r="A53" s="228"/>
      <c r="B53" s="228"/>
      <c r="C53" s="228"/>
      <c r="D53" s="228"/>
      <c r="E53" s="228"/>
      <c r="F53" s="228"/>
      <c r="G53" s="228"/>
      <c r="H53" s="228"/>
      <c r="I53" s="228"/>
      <c r="J53" s="228"/>
      <c r="K53" s="228"/>
      <c r="L53" s="228"/>
      <c r="M53" s="228"/>
      <c r="N53" s="228"/>
      <c r="O53" s="228"/>
      <c r="P53" s="228"/>
      <c r="Q53" s="228"/>
      <c r="R53" s="228"/>
      <c r="S53" s="228"/>
      <c r="T53" s="228"/>
      <c r="U53" s="228"/>
      <c r="V53" s="228"/>
      <c r="W53" s="228"/>
      <c r="X53" s="228"/>
      <c r="Y53" s="228"/>
      <c r="Z53" s="228"/>
      <c r="AA53" s="228"/>
      <c r="AB53" s="228"/>
      <c r="AC53" s="228"/>
      <c r="AD53" s="228"/>
      <c r="AE53" s="228"/>
      <c r="AF53" s="228"/>
      <c r="AG53" s="228"/>
      <c r="AH53" s="228"/>
      <c r="AI53" s="228"/>
      <c r="AJ53" s="228"/>
      <c r="AK53" s="228"/>
      <c r="AL53" s="228"/>
      <c r="AM53" s="228"/>
      <c r="AN53" s="228"/>
      <c r="AO53" s="228"/>
      <c r="AP53" s="228"/>
      <c r="AQ53" s="228"/>
      <c r="AR53" s="228"/>
      <c r="AS53" s="228"/>
      <c r="AT53" s="228"/>
      <c r="AU53" s="228"/>
      <c r="AV53" s="228"/>
      <c r="AW53" s="228"/>
      <c r="AX53" s="228"/>
      <c r="AY53" s="228"/>
      <c r="AZ53" s="228"/>
      <c r="BA53" s="228"/>
      <c r="BB53" s="228"/>
      <c r="BC53" s="228"/>
      <c r="BD53" s="228"/>
      <c r="BE53" s="228"/>
      <c r="BF53" s="228"/>
      <c r="BG53" s="228"/>
      <c r="BH53" s="228"/>
      <c r="BI53" s="228"/>
      <c r="BJ53" s="228"/>
      <c r="BK53" s="228"/>
      <c r="BL53" s="228"/>
      <c r="BM53" s="228"/>
      <c r="BN53" s="228"/>
      <c r="BO53" s="228"/>
      <c r="BP53" s="228"/>
      <c r="BQ53" s="228"/>
      <c r="BR53" s="228"/>
      <c r="BS53" s="228"/>
      <c r="BT53" s="228"/>
      <c r="BU53" s="228"/>
      <c r="BV53" s="228"/>
      <c r="BW53" s="228"/>
      <c r="BX53" s="228"/>
      <c r="BY53" s="228"/>
      <c r="BZ53" s="228"/>
      <c r="CA53" s="228"/>
      <c r="CB53" s="228"/>
      <c r="CC53" s="228"/>
      <c r="CD53" s="228"/>
      <c r="CE53" s="228"/>
      <c r="CF53" s="228"/>
      <c r="CG53" s="228"/>
      <c r="CH53" s="228"/>
      <c r="CI53" s="228"/>
      <c r="CJ53" s="228"/>
      <c r="CK53" s="228"/>
      <c r="CL53" s="228"/>
      <c r="CM53" s="228"/>
      <c r="CN53" s="228"/>
      <c r="CO53" s="228"/>
      <c r="CP53" s="228"/>
      <c r="CQ53" s="228"/>
      <c r="CR53" s="228"/>
      <c r="CS53" s="228"/>
      <c r="CT53" s="228"/>
      <c r="CU53" s="228"/>
      <c r="CV53" s="228"/>
      <c r="CW53" s="228"/>
      <c r="CX53" s="228"/>
      <c r="CY53" s="228"/>
      <c r="CZ53" s="228"/>
      <c r="DA53" s="228"/>
      <c r="DB53" s="228"/>
    </row>
    <row r="54" ht="12.0" customHeight="1">
      <c r="A54" s="228"/>
      <c r="B54" s="228"/>
      <c r="C54" s="228"/>
      <c r="D54" s="228"/>
      <c r="E54" s="228"/>
      <c r="F54" s="228"/>
      <c r="G54" s="228"/>
      <c r="H54" s="228"/>
      <c r="I54" s="228"/>
      <c r="J54" s="228"/>
      <c r="K54" s="228"/>
      <c r="L54" s="228"/>
      <c r="M54" s="228"/>
      <c r="N54" s="228"/>
      <c r="O54" s="228"/>
      <c r="P54" s="228"/>
      <c r="Q54" s="228"/>
      <c r="R54" s="228"/>
      <c r="S54" s="228"/>
      <c r="T54" s="228"/>
      <c r="U54" s="228"/>
      <c r="V54" s="228"/>
      <c r="W54" s="228"/>
      <c r="X54" s="228"/>
      <c r="Y54" s="228"/>
      <c r="Z54" s="228"/>
      <c r="AA54" s="228"/>
      <c r="AB54" s="228"/>
      <c r="AC54" s="228"/>
      <c r="AD54" s="228"/>
      <c r="AE54" s="228"/>
      <c r="AF54" s="228"/>
      <c r="AG54" s="228"/>
      <c r="AH54" s="228"/>
      <c r="AI54" s="228"/>
      <c r="AJ54" s="228"/>
      <c r="AK54" s="228"/>
      <c r="AL54" s="228"/>
      <c r="AM54" s="228"/>
      <c r="AN54" s="228"/>
      <c r="AO54" s="228"/>
      <c r="AP54" s="228"/>
      <c r="AQ54" s="228"/>
      <c r="AR54" s="228"/>
      <c r="AS54" s="228"/>
      <c r="AT54" s="228"/>
      <c r="AU54" s="228"/>
      <c r="AV54" s="228"/>
      <c r="AW54" s="228"/>
      <c r="AX54" s="228"/>
      <c r="AY54" s="228"/>
      <c r="AZ54" s="228"/>
      <c r="BA54" s="228"/>
      <c r="BB54" s="228"/>
      <c r="BC54" s="228"/>
      <c r="BD54" s="228"/>
      <c r="BE54" s="228"/>
      <c r="BF54" s="228"/>
      <c r="BG54" s="228"/>
      <c r="BH54" s="228"/>
      <c r="BI54" s="228"/>
      <c r="BJ54" s="228"/>
      <c r="BK54" s="228"/>
      <c r="BL54" s="228"/>
      <c r="BM54" s="228"/>
      <c r="BN54" s="228"/>
      <c r="BO54" s="228"/>
      <c r="BP54" s="228"/>
      <c r="BQ54" s="228"/>
      <c r="BR54" s="228"/>
      <c r="BS54" s="228"/>
      <c r="BT54" s="228"/>
      <c r="BU54" s="228"/>
      <c r="BV54" s="228"/>
      <c r="BW54" s="228"/>
      <c r="BX54" s="228"/>
      <c r="BY54" s="228"/>
      <c r="BZ54" s="228"/>
      <c r="CA54" s="228"/>
      <c r="CB54" s="228"/>
      <c r="CC54" s="228"/>
      <c r="CD54" s="228"/>
      <c r="CE54" s="228"/>
      <c r="CF54" s="228"/>
      <c r="CG54" s="228"/>
      <c r="CH54" s="228"/>
      <c r="CI54" s="228"/>
      <c r="CJ54" s="228"/>
      <c r="CK54" s="228"/>
      <c r="CL54" s="228"/>
      <c r="CM54" s="228"/>
      <c r="CN54" s="228"/>
      <c r="CO54" s="228"/>
      <c r="CP54" s="228"/>
      <c r="CQ54" s="228"/>
      <c r="CR54" s="228"/>
      <c r="CS54" s="228"/>
      <c r="CT54" s="228"/>
      <c r="CU54" s="228"/>
      <c r="CV54" s="228"/>
      <c r="CW54" s="228"/>
      <c r="CX54" s="228"/>
      <c r="CY54" s="228"/>
      <c r="CZ54" s="228"/>
      <c r="DA54" s="228"/>
      <c r="DB54" s="228"/>
    </row>
    <row r="55" ht="12.0" customHeight="1">
      <c r="A55" s="228"/>
      <c r="B55" s="228"/>
      <c r="C55" s="228"/>
      <c r="D55" s="228"/>
      <c r="E55" s="228"/>
      <c r="F55" s="228"/>
      <c r="G55" s="228"/>
      <c r="H55" s="228"/>
      <c r="I55" s="228"/>
      <c r="J55" s="228"/>
      <c r="K55" s="228"/>
      <c r="L55" s="228"/>
      <c r="M55" s="228"/>
      <c r="N55" s="228"/>
      <c r="O55" s="228"/>
      <c r="P55" s="228"/>
      <c r="Q55" s="228"/>
      <c r="R55" s="228"/>
      <c r="S55" s="228"/>
      <c r="T55" s="228"/>
      <c r="U55" s="228"/>
      <c r="V55" s="228"/>
      <c r="W55" s="228"/>
      <c r="X55" s="228"/>
      <c r="Y55" s="228"/>
      <c r="Z55" s="228"/>
      <c r="AA55" s="228"/>
      <c r="AB55" s="228"/>
      <c r="AC55" s="228"/>
      <c r="AD55" s="228"/>
      <c r="AE55" s="228"/>
      <c r="AF55" s="228"/>
      <c r="AG55" s="228"/>
      <c r="AH55" s="228"/>
      <c r="AI55" s="228"/>
      <c r="AJ55" s="228"/>
      <c r="AK55" s="228"/>
      <c r="AL55" s="228"/>
      <c r="AM55" s="228"/>
      <c r="AN55" s="228"/>
      <c r="AO55" s="228"/>
      <c r="AP55" s="228"/>
      <c r="AQ55" s="228"/>
      <c r="AR55" s="228"/>
      <c r="AS55" s="228"/>
      <c r="AT55" s="228"/>
      <c r="AU55" s="228"/>
      <c r="AV55" s="228"/>
      <c r="AW55" s="228"/>
      <c r="AX55" s="228"/>
      <c r="AY55" s="228"/>
      <c r="AZ55" s="228"/>
      <c r="BA55" s="228"/>
      <c r="BB55" s="228"/>
      <c r="BC55" s="228"/>
      <c r="BD55" s="228"/>
      <c r="BE55" s="228"/>
      <c r="BF55" s="228"/>
      <c r="BG55" s="228"/>
      <c r="BH55" s="228"/>
      <c r="BI55" s="228"/>
      <c r="BJ55" s="228"/>
      <c r="BK55" s="228"/>
      <c r="BL55" s="228"/>
      <c r="BM55" s="228"/>
      <c r="BN55" s="228"/>
      <c r="BO55" s="228"/>
      <c r="BP55" s="228"/>
      <c r="BQ55" s="228"/>
      <c r="BR55" s="228"/>
      <c r="BS55" s="228"/>
      <c r="BT55" s="228"/>
      <c r="BU55" s="228"/>
      <c r="BV55" s="228"/>
      <c r="BW55" s="228"/>
      <c r="BX55" s="228"/>
      <c r="BY55" s="228"/>
      <c r="BZ55" s="228"/>
      <c r="CA55" s="228"/>
      <c r="CB55" s="228"/>
      <c r="CC55" s="228"/>
      <c r="CD55" s="228"/>
      <c r="CE55" s="228"/>
      <c r="CF55" s="228"/>
      <c r="CG55" s="228"/>
      <c r="CH55" s="228"/>
      <c r="CI55" s="228"/>
      <c r="CJ55" s="228"/>
      <c r="CK55" s="228"/>
      <c r="CL55" s="228"/>
      <c r="CM55" s="228"/>
      <c r="CN55" s="228"/>
      <c r="CO55" s="228"/>
      <c r="CP55" s="228"/>
      <c r="CQ55" s="228"/>
      <c r="CR55" s="228"/>
      <c r="CS55" s="228"/>
      <c r="CT55" s="228"/>
      <c r="CU55" s="228"/>
      <c r="CV55" s="228"/>
      <c r="CW55" s="228"/>
      <c r="CX55" s="228"/>
      <c r="CY55" s="228"/>
      <c r="CZ55" s="228"/>
      <c r="DA55" s="228"/>
      <c r="DB55" s="228"/>
    </row>
    <row r="56" ht="12.0" customHeight="1">
      <c r="A56" s="228"/>
      <c r="B56" s="228"/>
      <c r="C56" s="228"/>
      <c r="D56" s="228"/>
      <c r="E56" s="228"/>
      <c r="F56" s="228"/>
      <c r="G56" s="228"/>
      <c r="H56" s="228"/>
      <c r="I56" s="228"/>
      <c r="J56" s="228"/>
      <c r="K56" s="228"/>
      <c r="L56" s="228"/>
      <c r="M56" s="228"/>
      <c r="N56" s="228"/>
      <c r="O56" s="228"/>
      <c r="P56" s="228"/>
      <c r="Q56" s="228"/>
      <c r="R56" s="228"/>
      <c r="S56" s="228"/>
      <c r="T56" s="228"/>
      <c r="U56" s="228"/>
      <c r="V56" s="228"/>
      <c r="W56" s="228"/>
      <c r="X56" s="228"/>
      <c r="Y56" s="228"/>
      <c r="Z56" s="228"/>
      <c r="AA56" s="228"/>
      <c r="AB56" s="228"/>
      <c r="AC56" s="228"/>
      <c r="AD56" s="228"/>
      <c r="AE56" s="228"/>
      <c r="AF56" s="228"/>
      <c r="AG56" s="228"/>
      <c r="AH56" s="228"/>
      <c r="AI56" s="228"/>
      <c r="AJ56" s="228"/>
      <c r="AK56" s="228"/>
      <c r="AL56" s="228"/>
      <c r="AM56" s="228"/>
      <c r="AN56" s="228"/>
      <c r="AO56" s="228"/>
      <c r="AP56" s="228"/>
      <c r="AQ56" s="228"/>
      <c r="AR56" s="228"/>
      <c r="AS56" s="228"/>
      <c r="AT56" s="228"/>
      <c r="AU56" s="228"/>
      <c r="AV56" s="228"/>
      <c r="AW56" s="228"/>
      <c r="AX56" s="228"/>
      <c r="AY56" s="228"/>
      <c r="AZ56" s="228"/>
      <c r="BA56" s="228"/>
      <c r="BB56" s="228"/>
      <c r="BC56" s="228"/>
      <c r="BD56" s="228"/>
      <c r="BE56" s="228"/>
      <c r="BF56" s="228"/>
      <c r="BG56" s="228"/>
      <c r="BH56" s="228"/>
      <c r="BI56" s="228"/>
      <c r="BJ56" s="228"/>
      <c r="BK56" s="228"/>
      <c r="BL56" s="228"/>
      <c r="BM56" s="228"/>
      <c r="BN56" s="228"/>
      <c r="BO56" s="228"/>
      <c r="BP56" s="228"/>
      <c r="BQ56" s="228"/>
      <c r="BR56" s="228"/>
      <c r="BS56" s="228"/>
      <c r="BT56" s="228"/>
      <c r="BU56" s="228"/>
      <c r="BV56" s="228"/>
      <c r="BW56" s="228"/>
      <c r="BX56" s="228"/>
      <c r="BY56" s="228"/>
      <c r="BZ56" s="228"/>
      <c r="CA56" s="228"/>
      <c r="CB56" s="228"/>
      <c r="CC56" s="228"/>
      <c r="CD56" s="228"/>
      <c r="CE56" s="228"/>
      <c r="CF56" s="228"/>
      <c r="CG56" s="228"/>
      <c r="CH56" s="228"/>
      <c r="CI56" s="228"/>
      <c r="CJ56" s="228"/>
      <c r="CK56" s="228"/>
      <c r="CL56" s="228"/>
      <c r="CM56" s="228"/>
      <c r="CN56" s="228"/>
      <c r="CO56" s="228"/>
      <c r="CP56" s="228"/>
      <c r="CQ56" s="228"/>
      <c r="CR56" s="228"/>
      <c r="CS56" s="228"/>
      <c r="CT56" s="228"/>
      <c r="CU56" s="228"/>
      <c r="CV56" s="228"/>
      <c r="CW56" s="228"/>
      <c r="CX56" s="228"/>
      <c r="CY56" s="228"/>
      <c r="CZ56" s="228"/>
      <c r="DA56" s="228"/>
      <c r="DB56" s="228"/>
    </row>
    <row r="57" ht="12.0" customHeight="1">
      <c r="A57" s="228"/>
      <c r="B57" s="228"/>
      <c r="C57" s="228"/>
      <c r="D57" s="228"/>
      <c r="E57" s="228"/>
      <c r="F57" s="228"/>
      <c r="G57" s="228"/>
      <c r="H57" s="228"/>
      <c r="I57" s="228"/>
      <c r="J57" s="228"/>
      <c r="K57" s="228"/>
      <c r="L57" s="228"/>
      <c r="M57" s="228"/>
      <c r="N57" s="228"/>
      <c r="O57" s="228"/>
      <c r="P57" s="228"/>
      <c r="Q57" s="228"/>
      <c r="R57" s="228"/>
      <c r="S57" s="228"/>
      <c r="T57" s="228"/>
      <c r="U57" s="228"/>
      <c r="V57" s="228"/>
      <c r="W57" s="228"/>
      <c r="X57" s="228"/>
      <c r="Y57" s="228"/>
      <c r="Z57" s="228"/>
      <c r="AA57" s="228"/>
      <c r="AB57" s="228"/>
      <c r="AC57" s="228"/>
      <c r="AD57" s="228"/>
      <c r="AE57" s="228"/>
      <c r="AF57" s="228"/>
      <c r="AG57" s="228"/>
      <c r="AH57" s="228"/>
      <c r="AI57" s="228"/>
      <c r="AJ57" s="228"/>
      <c r="AK57" s="228"/>
      <c r="AL57" s="228"/>
      <c r="AM57" s="228"/>
      <c r="AN57" s="228"/>
      <c r="AO57" s="228"/>
      <c r="AP57" s="228"/>
      <c r="AQ57" s="228"/>
      <c r="AR57" s="228"/>
      <c r="AS57" s="228"/>
      <c r="AT57" s="228"/>
      <c r="AU57" s="228"/>
      <c r="AV57" s="228"/>
      <c r="AW57" s="228"/>
      <c r="AX57" s="228"/>
      <c r="AY57" s="228"/>
      <c r="AZ57" s="228"/>
      <c r="BA57" s="228"/>
      <c r="BB57" s="228"/>
      <c r="BC57" s="228"/>
      <c r="BD57" s="228"/>
      <c r="BE57" s="228"/>
      <c r="BF57" s="228"/>
      <c r="BG57" s="228"/>
      <c r="BH57" s="228"/>
      <c r="BI57" s="228"/>
      <c r="BJ57" s="228"/>
      <c r="BK57" s="228"/>
      <c r="BL57" s="228"/>
      <c r="BM57" s="228"/>
      <c r="BN57" s="228"/>
      <c r="BO57" s="228"/>
      <c r="BP57" s="228"/>
      <c r="BQ57" s="228"/>
      <c r="BR57" s="228"/>
      <c r="BS57" s="228"/>
      <c r="BT57" s="228"/>
      <c r="BU57" s="228"/>
      <c r="BV57" s="228"/>
      <c r="BW57" s="228"/>
      <c r="BX57" s="228"/>
      <c r="BY57" s="228"/>
      <c r="BZ57" s="228"/>
      <c r="CA57" s="228"/>
      <c r="CB57" s="228"/>
      <c r="CC57" s="228"/>
      <c r="CD57" s="228"/>
      <c r="CE57" s="228"/>
      <c r="CF57" s="228"/>
      <c r="CG57" s="228"/>
      <c r="CH57" s="228"/>
      <c r="CI57" s="228"/>
      <c r="CJ57" s="228"/>
      <c r="CK57" s="228"/>
      <c r="CL57" s="228"/>
      <c r="CM57" s="228"/>
      <c r="CN57" s="228"/>
      <c r="CO57" s="228"/>
      <c r="CP57" s="228"/>
      <c r="CQ57" s="228"/>
      <c r="CR57" s="228"/>
      <c r="CS57" s="228"/>
      <c r="CT57" s="228"/>
      <c r="CU57" s="228"/>
      <c r="CV57" s="228"/>
      <c r="CW57" s="228"/>
      <c r="CX57" s="228"/>
      <c r="CY57" s="228"/>
      <c r="CZ57" s="228"/>
      <c r="DA57" s="228"/>
      <c r="DB57" s="228"/>
    </row>
    <row r="58" ht="12.0" customHeight="1">
      <c r="A58" s="228"/>
      <c r="B58" s="228"/>
      <c r="C58" s="228"/>
      <c r="D58" s="228"/>
      <c r="E58" s="228"/>
      <c r="F58" s="228"/>
      <c r="G58" s="228"/>
      <c r="H58" s="228"/>
      <c r="I58" s="228"/>
      <c r="J58" s="228"/>
      <c r="K58" s="228"/>
      <c r="L58" s="228"/>
      <c r="M58" s="228"/>
      <c r="N58" s="228"/>
      <c r="O58" s="228"/>
      <c r="P58" s="228"/>
      <c r="Q58" s="228"/>
      <c r="R58" s="228"/>
      <c r="S58" s="228"/>
      <c r="T58" s="228"/>
      <c r="U58" s="228"/>
      <c r="V58" s="228"/>
      <c r="W58" s="228"/>
      <c r="X58" s="228"/>
      <c r="Y58" s="228"/>
      <c r="Z58" s="228"/>
      <c r="AA58" s="228"/>
      <c r="AB58" s="228"/>
      <c r="AC58" s="228"/>
      <c r="AD58" s="228"/>
      <c r="AE58" s="228"/>
      <c r="AF58" s="228"/>
      <c r="AG58" s="228"/>
      <c r="AH58" s="228"/>
      <c r="AI58" s="228"/>
      <c r="AJ58" s="228"/>
      <c r="AK58" s="228"/>
      <c r="AL58" s="228"/>
      <c r="AM58" s="228"/>
      <c r="AN58" s="228"/>
      <c r="AO58" s="228"/>
      <c r="AP58" s="228"/>
      <c r="AQ58" s="228"/>
      <c r="AR58" s="228"/>
      <c r="AS58" s="228"/>
      <c r="AT58" s="228"/>
      <c r="AU58" s="228"/>
      <c r="AV58" s="228"/>
      <c r="AW58" s="228"/>
      <c r="AX58" s="228"/>
      <c r="AY58" s="228"/>
      <c r="AZ58" s="228"/>
      <c r="BA58" s="228"/>
      <c r="BB58" s="228"/>
      <c r="BC58" s="228"/>
      <c r="BD58" s="228"/>
      <c r="BE58" s="228"/>
      <c r="BF58" s="228"/>
      <c r="BG58" s="228"/>
      <c r="BH58" s="228"/>
      <c r="BI58" s="228"/>
      <c r="BJ58" s="228"/>
      <c r="BK58" s="228"/>
      <c r="BL58" s="228"/>
      <c r="BM58" s="228"/>
      <c r="BN58" s="228"/>
      <c r="BO58" s="228"/>
      <c r="BP58" s="228"/>
      <c r="BQ58" s="228"/>
      <c r="BR58" s="228"/>
      <c r="BS58" s="228"/>
      <c r="BT58" s="228"/>
      <c r="BU58" s="228"/>
      <c r="BV58" s="228"/>
      <c r="BW58" s="228"/>
      <c r="BX58" s="228"/>
      <c r="BY58" s="228"/>
      <c r="BZ58" s="228"/>
      <c r="CA58" s="228"/>
      <c r="CB58" s="228"/>
      <c r="CC58" s="228"/>
      <c r="CD58" s="228"/>
      <c r="CE58" s="228"/>
      <c r="CF58" s="228"/>
      <c r="CG58" s="228"/>
      <c r="CH58" s="228"/>
      <c r="CI58" s="228"/>
      <c r="CJ58" s="228"/>
      <c r="CK58" s="228"/>
      <c r="CL58" s="228"/>
      <c r="CM58" s="228"/>
      <c r="CN58" s="228"/>
      <c r="CO58" s="228"/>
      <c r="CP58" s="228"/>
      <c r="CQ58" s="228"/>
      <c r="CR58" s="228"/>
      <c r="CS58" s="228"/>
      <c r="CT58" s="228"/>
      <c r="CU58" s="228"/>
      <c r="CV58" s="228"/>
      <c r="CW58" s="228"/>
      <c r="CX58" s="228"/>
      <c r="CY58" s="228"/>
      <c r="CZ58" s="228"/>
      <c r="DA58" s="228"/>
      <c r="DB58" s="228"/>
    </row>
    <row r="59" ht="12.0" customHeight="1">
      <c r="A59" s="228"/>
      <c r="B59" s="228"/>
      <c r="C59" s="228"/>
      <c r="D59" s="228"/>
      <c r="E59" s="228"/>
      <c r="F59" s="228"/>
      <c r="G59" s="228"/>
      <c r="H59" s="228"/>
      <c r="I59" s="228"/>
      <c r="J59" s="228"/>
      <c r="K59" s="228"/>
      <c r="L59" s="228"/>
      <c r="M59" s="228"/>
      <c r="N59" s="228"/>
      <c r="O59" s="228"/>
      <c r="P59" s="228"/>
      <c r="Q59" s="228"/>
      <c r="R59" s="228"/>
      <c r="S59" s="228"/>
      <c r="T59" s="228"/>
      <c r="U59" s="228"/>
      <c r="V59" s="228"/>
      <c r="W59" s="228"/>
      <c r="X59" s="228"/>
      <c r="Y59" s="228"/>
      <c r="Z59" s="228"/>
      <c r="AA59" s="228"/>
      <c r="AB59" s="228"/>
      <c r="AC59" s="228"/>
      <c r="AD59" s="228"/>
      <c r="AE59" s="228"/>
      <c r="AF59" s="228"/>
      <c r="AG59" s="228"/>
      <c r="AH59" s="228"/>
      <c r="AI59" s="228"/>
      <c r="AJ59" s="228"/>
      <c r="AK59" s="228"/>
      <c r="AL59" s="228"/>
      <c r="AM59" s="228"/>
      <c r="AN59" s="228"/>
      <c r="AO59" s="228"/>
      <c r="AP59" s="228"/>
      <c r="AQ59" s="228"/>
      <c r="AR59" s="228"/>
      <c r="AS59" s="228"/>
      <c r="AT59" s="228"/>
      <c r="AU59" s="228"/>
      <c r="AV59" s="228"/>
      <c r="AW59" s="228"/>
      <c r="AX59" s="228"/>
      <c r="AY59" s="228"/>
      <c r="AZ59" s="228"/>
      <c r="BA59" s="228"/>
      <c r="BB59" s="228"/>
      <c r="BC59" s="228"/>
      <c r="BD59" s="228"/>
      <c r="BE59" s="228"/>
      <c r="BF59" s="228"/>
      <c r="BG59" s="228"/>
      <c r="BH59" s="228"/>
      <c r="BI59" s="228"/>
      <c r="BJ59" s="228"/>
      <c r="BK59" s="228"/>
      <c r="BL59" s="228"/>
      <c r="BM59" s="228"/>
      <c r="BN59" s="228"/>
      <c r="BO59" s="228"/>
      <c r="BP59" s="228"/>
      <c r="BQ59" s="228"/>
      <c r="BR59" s="228"/>
      <c r="BS59" s="228"/>
      <c r="BT59" s="228"/>
      <c r="BU59" s="228"/>
      <c r="BV59" s="228"/>
      <c r="BW59" s="228"/>
      <c r="BX59" s="228"/>
      <c r="BY59" s="228"/>
      <c r="BZ59" s="228"/>
      <c r="CA59" s="228"/>
      <c r="CB59" s="228"/>
      <c r="CC59" s="228"/>
      <c r="CD59" s="228"/>
      <c r="CE59" s="228"/>
      <c r="CF59" s="228"/>
      <c r="CG59" s="228"/>
      <c r="CH59" s="228"/>
      <c r="CI59" s="228"/>
      <c r="CJ59" s="228"/>
      <c r="CK59" s="228"/>
      <c r="CL59" s="228"/>
      <c r="CM59" s="228"/>
      <c r="CN59" s="228"/>
      <c r="CO59" s="228"/>
      <c r="CP59" s="228"/>
      <c r="CQ59" s="228"/>
      <c r="CR59" s="228"/>
      <c r="CS59" s="228"/>
      <c r="CT59" s="228"/>
      <c r="CU59" s="228"/>
      <c r="CV59" s="228"/>
      <c r="CW59" s="228"/>
      <c r="CX59" s="228"/>
      <c r="CY59" s="228"/>
      <c r="CZ59" s="228"/>
      <c r="DA59" s="228"/>
      <c r="DB59" s="228"/>
    </row>
    <row r="60" ht="12.0" customHeight="1">
      <c r="A60" s="228"/>
      <c r="B60" s="228"/>
      <c r="C60" s="228"/>
      <c r="D60" s="228"/>
      <c r="E60" s="228"/>
      <c r="F60" s="228"/>
      <c r="G60" s="228"/>
      <c r="H60" s="228"/>
      <c r="I60" s="228"/>
      <c r="J60" s="228"/>
      <c r="K60" s="228"/>
      <c r="L60" s="228"/>
      <c r="M60" s="228"/>
      <c r="N60" s="228"/>
      <c r="O60" s="228"/>
      <c r="P60" s="228"/>
      <c r="Q60" s="228"/>
      <c r="R60" s="228"/>
      <c r="S60" s="228"/>
      <c r="T60" s="228"/>
      <c r="U60" s="228"/>
      <c r="V60" s="228"/>
      <c r="W60" s="228"/>
      <c r="X60" s="228"/>
      <c r="Y60" s="228"/>
      <c r="Z60" s="228"/>
      <c r="AA60" s="228"/>
      <c r="AB60" s="228"/>
      <c r="AC60" s="228"/>
      <c r="AD60" s="228"/>
      <c r="AE60" s="228"/>
      <c r="AF60" s="228"/>
      <c r="AG60" s="228"/>
      <c r="AH60" s="228"/>
      <c r="AI60" s="228"/>
      <c r="AJ60" s="228"/>
      <c r="AK60" s="228"/>
      <c r="AL60" s="228"/>
      <c r="AM60" s="228"/>
      <c r="AN60" s="228"/>
      <c r="AO60" s="228"/>
      <c r="AP60" s="228"/>
      <c r="AQ60" s="228"/>
      <c r="AR60" s="228"/>
      <c r="AS60" s="228"/>
      <c r="AT60" s="228"/>
      <c r="AU60" s="228"/>
      <c r="AV60" s="228"/>
      <c r="AW60" s="228"/>
      <c r="AX60" s="228"/>
      <c r="AY60" s="228"/>
      <c r="AZ60" s="228"/>
      <c r="BA60" s="228"/>
      <c r="BB60" s="228"/>
      <c r="BC60" s="228"/>
      <c r="BD60" s="228"/>
      <c r="BE60" s="228"/>
      <c r="BF60" s="228"/>
      <c r="BG60" s="228"/>
      <c r="BH60" s="228"/>
      <c r="BI60" s="228"/>
      <c r="BJ60" s="228"/>
      <c r="BK60" s="228"/>
      <c r="BL60" s="228"/>
      <c r="BM60" s="228"/>
      <c r="BN60" s="228"/>
      <c r="BO60" s="228"/>
      <c r="BP60" s="228"/>
      <c r="BQ60" s="228"/>
      <c r="BR60" s="228"/>
      <c r="BS60" s="228"/>
      <c r="BT60" s="228"/>
      <c r="BU60" s="228"/>
      <c r="BV60" s="228"/>
      <c r="BW60" s="228"/>
      <c r="BX60" s="228"/>
      <c r="BY60" s="228"/>
      <c r="BZ60" s="228"/>
      <c r="CA60" s="228"/>
      <c r="CB60" s="228"/>
      <c r="CC60" s="228"/>
      <c r="CD60" s="228"/>
      <c r="CE60" s="228"/>
      <c r="CF60" s="228"/>
      <c r="CG60" s="228"/>
      <c r="CH60" s="228"/>
      <c r="CI60" s="228"/>
      <c r="CJ60" s="228"/>
      <c r="CK60" s="228"/>
      <c r="CL60" s="228"/>
      <c r="CM60" s="228"/>
      <c r="CN60" s="228"/>
      <c r="CO60" s="228"/>
      <c r="CP60" s="228"/>
      <c r="CQ60" s="228"/>
      <c r="CR60" s="228"/>
      <c r="CS60" s="228"/>
      <c r="CT60" s="228"/>
      <c r="CU60" s="228"/>
      <c r="CV60" s="228"/>
      <c r="CW60" s="228"/>
      <c r="CX60" s="228"/>
      <c r="CY60" s="228"/>
      <c r="CZ60" s="228"/>
      <c r="DA60" s="228"/>
      <c r="DB60" s="228"/>
    </row>
    <row r="61" ht="12.0" customHeight="1">
      <c r="A61" s="228"/>
      <c r="B61" s="228"/>
      <c r="C61" s="228"/>
      <c r="D61" s="228"/>
      <c r="E61" s="228"/>
      <c r="F61" s="228"/>
      <c r="G61" s="228"/>
      <c r="H61" s="228"/>
      <c r="I61" s="228"/>
      <c r="J61" s="228"/>
      <c r="K61" s="228"/>
      <c r="L61" s="228"/>
      <c r="M61" s="228"/>
      <c r="N61" s="228"/>
      <c r="O61" s="228"/>
      <c r="P61" s="228"/>
      <c r="Q61" s="228"/>
      <c r="R61" s="228"/>
      <c r="S61" s="228"/>
      <c r="T61" s="228"/>
      <c r="U61" s="228"/>
      <c r="V61" s="228"/>
      <c r="W61" s="228"/>
      <c r="X61" s="228"/>
      <c r="Y61" s="228"/>
      <c r="Z61" s="228"/>
      <c r="AA61" s="228"/>
      <c r="AB61" s="228"/>
      <c r="AC61" s="228"/>
      <c r="AD61" s="228"/>
      <c r="AE61" s="228"/>
      <c r="AF61" s="228"/>
      <c r="AG61" s="228"/>
      <c r="AH61" s="228"/>
      <c r="AI61" s="228"/>
      <c r="AJ61" s="228"/>
      <c r="AK61" s="228"/>
      <c r="AL61" s="228"/>
      <c r="AM61" s="228"/>
      <c r="AN61" s="228"/>
      <c r="AO61" s="228"/>
      <c r="AP61" s="228"/>
      <c r="AQ61" s="228"/>
      <c r="AR61" s="228"/>
      <c r="AS61" s="228"/>
      <c r="AT61" s="228"/>
      <c r="AU61" s="228"/>
      <c r="AV61" s="228"/>
      <c r="AW61" s="228"/>
      <c r="AX61" s="228"/>
      <c r="AY61" s="228"/>
      <c r="AZ61" s="228"/>
      <c r="BA61" s="228"/>
      <c r="BB61" s="228"/>
      <c r="BC61" s="228"/>
      <c r="BD61" s="228"/>
      <c r="BE61" s="228"/>
      <c r="BF61" s="228"/>
      <c r="BG61" s="228"/>
      <c r="BH61" s="228"/>
      <c r="BI61" s="228"/>
      <c r="BJ61" s="228"/>
      <c r="BK61" s="228"/>
      <c r="BL61" s="228"/>
      <c r="BM61" s="228"/>
      <c r="BN61" s="228"/>
      <c r="BO61" s="228"/>
      <c r="BP61" s="228"/>
      <c r="BQ61" s="228"/>
      <c r="BR61" s="228"/>
      <c r="BS61" s="228"/>
      <c r="BT61" s="228"/>
      <c r="BU61" s="228"/>
      <c r="BV61" s="228"/>
      <c r="BW61" s="228"/>
      <c r="BX61" s="228"/>
      <c r="BY61" s="228"/>
      <c r="BZ61" s="228"/>
      <c r="CA61" s="228"/>
      <c r="CB61" s="228"/>
      <c r="CC61" s="228"/>
      <c r="CD61" s="228"/>
      <c r="CE61" s="228"/>
      <c r="CF61" s="228"/>
      <c r="CG61" s="228"/>
      <c r="CH61" s="228"/>
      <c r="CI61" s="228"/>
      <c r="CJ61" s="228"/>
      <c r="CK61" s="228"/>
      <c r="CL61" s="228"/>
      <c r="CM61" s="228"/>
      <c r="CN61" s="228"/>
      <c r="CO61" s="228"/>
      <c r="CP61" s="228"/>
      <c r="CQ61" s="228"/>
      <c r="CR61" s="228"/>
      <c r="CS61" s="228"/>
      <c r="CT61" s="228"/>
      <c r="CU61" s="228"/>
      <c r="CV61" s="228"/>
      <c r="CW61" s="228"/>
      <c r="CX61" s="228"/>
      <c r="CY61" s="228"/>
      <c r="CZ61" s="228"/>
      <c r="DA61" s="228"/>
      <c r="DB61" s="228"/>
    </row>
    <row r="62" ht="12.0" customHeight="1">
      <c r="A62" s="228"/>
      <c r="B62" s="228"/>
      <c r="C62" s="228"/>
      <c r="D62" s="228"/>
      <c r="E62" s="228"/>
      <c r="F62" s="228"/>
      <c r="G62" s="228"/>
      <c r="H62" s="228"/>
      <c r="I62" s="228"/>
      <c r="J62" s="228"/>
      <c r="K62" s="228"/>
      <c r="L62" s="228"/>
      <c r="M62" s="228"/>
      <c r="N62" s="228"/>
      <c r="O62" s="228"/>
      <c r="P62" s="228"/>
      <c r="Q62" s="228"/>
      <c r="R62" s="228"/>
      <c r="S62" s="228"/>
      <c r="T62" s="228"/>
      <c r="U62" s="228"/>
      <c r="V62" s="228"/>
      <c r="W62" s="228"/>
      <c r="X62" s="228"/>
      <c r="Y62" s="228"/>
      <c r="Z62" s="228"/>
      <c r="AA62" s="228"/>
      <c r="AB62" s="228"/>
      <c r="AC62" s="228"/>
      <c r="AD62" s="228"/>
      <c r="AE62" s="228"/>
      <c r="AF62" s="228"/>
      <c r="AG62" s="228"/>
      <c r="AH62" s="228"/>
      <c r="AI62" s="228"/>
      <c r="AJ62" s="228"/>
      <c r="AK62" s="228"/>
      <c r="AL62" s="228"/>
      <c r="AM62" s="228"/>
      <c r="AN62" s="228"/>
      <c r="AO62" s="228"/>
      <c r="AP62" s="228"/>
      <c r="AQ62" s="228"/>
      <c r="AR62" s="228"/>
      <c r="AS62" s="228"/>
      <c r="AT62" s="228"/>
      <c r="AU62" s="228"/>
      <c r="AV62" s="228"/>
      <c r="AW62" s="228"/>
      <c r="AX62" s="228"/>
      <c r="AY62" s="228"/>
      <c r="AZ62" s="228"/>
      <c r="BA62" s="228"/>
      <c r="BB62" s="228"/>
      <c r="BC62" s="228"/>
      <c r="BD62" s="228"/>
      <c r="BE62" s="228"/>
      <c r="BF62" s="228"/>
      <c r="BG62" s="228"/>
      <c r="BH62" s="228"/>
      <c r="BI62" s="228"/>
      <c r="BJ62" s="228"/>
      <c r="BK62" s="228"/>
      <c r="BL62" s="228"/>
      <c r="BM62" s="228"/>
      <c r="BN62" s="228"/>
      <c r="BO62" s="228"/>
      <c r="BP62" s="228"/>
      <c r="BQ62" s="228"/>
      <c r="BR62" s="228"/>
      <c r="BS62" s="228"/>
      <c r="BT62" s="228"/>
      <c r="BU62" s="228"/>
      <c r="BV62" s="228"/>
      <c r="BW62" s="228"/>
      <c r="BX62" s="228"/>
      <c r="BY62" s="228"/>
      <c r="BZ62" s="228"/>
      <c r="CA62" s="228"/>
      <c r="CB62" s="228"/>
      <c r="CC62" s="228"/>
      <c r="CD62" s="228"/>
      <c r="CE62" s="228"/>
      <c r="CF62" s="228"/>
      <c r="CG62" s="228"/>
      <c r="CH62" s="228"/>
      <c r="CI62" s="228"/>
      <c r="CJ62" s="228"/>
      <c r="CK62" s="228"/>
      <c r="CL62" s="228"/>
      <c r="CM62" s="228"/>
      <c r="CN62" s="228"/>
      <c r="CO62" s="228"/>
      <c r="CP62" s="228"/>
      <c r="CQ62" s="228"/>
      <c r="CR62" s="228"/>
      <c r="CS62" s="228"/>
      <c r="CT62" s="228"/>
      <c r="CU62" s="228"/>
      <c r="CV62" s="228"/>
      <c r="CW62" s="228"/>
      <c r="CX62" s="228"/>
      <c r="CY62" s="228"/>
      <c r="CZ62" s="228"/>
      <c r="DA62" s="228"/>
      <c r="DB62" s="228"/>
    </row>
    <row r="63" ht="12.0" customHeight="1">
      <c r="A63" s="228"/>
      <c r="B63" s="228"/>
      <c r="C63" s="228"/>
      <c r="D63" s="228"/>
      <c r="E63" s="228"/>
      <c r="F63" s="228"/>
      <c r="G63" s="228"/>
      <c r="H63" s="228"/>
      <c r="I63" s="228"/>
      <c r="J63" s="228"/>
      <c r="K63" s="228"/>
      <c r="L63" s="228"/>
      <c r="M63" s="228"/>
      <c r="N63" s="228"/>
      <c r="O63" s="228"/>
      <c r="P63" s="228"/>
      <c r="Q63" s="228"/>
      <c r="R63" s="228"/>
      <c r="S63" s="228"/>
      <c r="T63" s="228"/>
      <c r="U63" s="228"/>
      <c r="V63" s="228"/>
      <c r="W63" s="228"/>
      <c r="X63" s="228"/>
      <c r="Y63" s="228"/>
      <c r="Z63" s="228"/>
      <c r="AA63" s="228"/>
      <c r="AB63" s="228"/>
      <c r="AC63" s="228"/>
      <c r="AD63" s="228"/>
      <c r="AE63" s="228"/>
      <c r="AF63" s="228"/>
      <c r="AG63" s="228"/>
      <c r="AH63" s="228"/>
      <c r="AI63" s="228"/>
      <c r="AJ63" s="228"/>
      <c r="AK63" s="228"/>
      <c r="AL63" s="228"/>
      <c r="AM63" s="228"/>
      <c r="AN63" s="228"/>
      <c r="AO63" s="228"/>
      <c r="AP63" s="228"/>
      <c r="AQ63" s="228"/>
      <c r="AR63" s="228"/>
      <c r="AS63" s="228"/>
      <c r="AT63" s="228"/>
      <c r="AU63" s="228"/>
      <c r="AV63" s="228"/>
      <c r="AW63" s="228"/>
      <c r="AX63" s="228"/>
      <c r="AY63" s="228"/>
      <c r="AZ63" s="228"/>
      <c r="BA63" s="228"/>
      <c r="BB63" s="228"/>
      <c r="BC63" s="228"/>
      <c r="BD63" s="228"/>
      <c r="BE63" s="228"/>
      <c r="BF63" s="228"/>
      <c r="BG63" s="228"/>
      <c r="BH63" s="228"/>
      <c r="BI63" s="228"/>
      <c r="BJ63" s="228"/>
      <c r="BK63" s="228"/>
      <c r="BL63" s="228"/>
      <c r="BM63" s="228"/>
      <c r="BN63" s="228"/>
      <c r="BO63" s="228"/>
      <c r="BP63" s="228"/>
      <c r="BQ63" s="228"/>
      <c r="BR63" s="228"/>
      <c r="BS63" s="228"/>
      <c r="BT63" s="228"/>
      <c r="BU63" s="228"/>
      <c r="BV63" s="228"/>
      <c r="BW63" s="228"/>
      <c r="BX63" s="228"/>
      <c r="BY63" s="228"/>
      <c r="BZ63" s="228"/>
      <c r="CA63" s="228"/>
      <c r="CB63" s="228"/>
      <c r="CC63" s="228"/>
      <c r="CD63" s="228"/>
      <c r="CE63" s="228"/>
      <c r="CF63" s="228"/>
      <c r="CG63" s="228"/>
      <c r="CH63" s="228"/>
      <c r="CI63" s="228"/>
      <c r="CJ63" s="228"/>
      <c r="CK63" s="228"/>
      <c r="CL63" s="228"/>
      <c r="CM63" s="228"/>
      <c r="CN63" s="228"/>
      <c r="CO63" s="228"/>
      <c r="CP63" s="228"/>
      <c r="CQ63" s="228"/>
      <c r="CR63" s="228"/>
      <c r="CS63" s="228"/>
      <c r="CT63" s="228"/>
      <c r="CU63" s="228"/>
      <c r="CV63" s="228"/>
      <c r="CW63" s="228"/>
      <c r="CX63" s="228"/>
      <c r="CY63" s="228"/>
      <c r="CZ63" s="228"/>
      <c r="DA63" s="228"/>
      <c r="DB63" s="228"/>
    </row>
    <row r="64" ht="12.0" customHeight="1">
      <c r="A64" s="228"/>
      <c r="B64" s="228"/>
      <c r="C64" s="228"/>
      <c r="D64" s="228"/>
      <c r="E64" s="228"/>
      <c r="F64" s="228"/>
      <c r="G64" s="228"/>
      <c r="H64" s="228"/>
      <c r="I64" s="228"/>
      <c r="J64" s="228"/>
      <c r="K64" s="228"/>
      <c r="L64" s="228"/>
      <c r="M64" s="228"/>
      <c r="N64" s="228"/>
      <c r="O64" s="228"/>
      <c r="P64" s="228"/>
      <c r="Q64" s="228"/>
      <c r="R64" s="228"/>
      <c r="S64" s="228"/>
      <c r="T64" s="228"/>
      <c r="U64" s="228"/>
      <c r="V64" s="228"/>
      <c r="W64" s="228"/>
      <c r="X64" s="228"/>
      <c r="Y64" s="228"/>
      <c r="Z64" s="228"/>
      <c r="AA64" s="228"/>
      <c r="AB64" s="228"/>
      <c r="AC64" s="228"/>
      <c r="AD64" s="228"/>
      <c r="AE64" s="228"/>
      <c r="AF64" s="228"/>
      <c r="AG64" s="228"/>
      <c r="AH64" s="228"/>
      <c r="AI64" s="228"/>
      <c r="AJ64" s="228"/>
      <c r="AK64" s="228"/>
      <c r="AL64" s="228"/>
      <c r="AM64" s="228"/>
      <c r="AN64" s="228"/>
      <c r="AO64" s="228"/>
      <c r="AP64" s="228"/>
      <c r="AQ64" s="228"/>
      <c r="AR64" s="228"/>
      <c r="AS64" s="228"/>
      <c r="AT64" s="228"/>
      <c r="AU64" s="228"/>
      <c r="AV64" s="228"/>
      <c r="AW64" s="228"/>
      <c r="AX64" s="228"/>
      <c r="AY64" s="228"/>
      <c r="AZ64" s="228"/>
      <c r="BA64" s="228"/>
      <c r="BB64" s="228"/>
      <c r="BC64" s="228"/>
      <c r="BD64" s="228"/>
      <c r="BE64" s="228"/>
      <c r="BF64" s="228"/>
      <c r="BG64" s="228"/>
      <c r="BH64" s="228"/>
      <c r="BI64" s="228"/>
      <c r="BJ64" s="228"/>
      <c r="BK64" s="228"/>
      <c r="BL64" s="228"/>
      <c r="BM64" s="228"/>
      <c r="BN64" s="228"/>
      <c r="BO64" s="228"/>
      <c r="BP64" s="228"/>
      <c r="BQ64" s="228"/>
      <c r="BR64" s="228"/>
      <c r="BS64" s="228"/>
      <c r="BT64" s="228"/>
      <c r="BU64" s="228"/>
      <c r="BV64" s="228"/>
      <c r="BW64" s="228"/>
      <c r="BX64" s="228"/>
      <c r="BY64" s="228"/>
      <c r="BZ64" s="228"/>
      <c r="CA64" s="228"/>
      <c r="CB64" s="228"/>
      <c r="CC64" s="228"/>
      <c r="CD64" s="228"/>
      <c r="CE64" s="228"/>
      <c r="CF64" s="228"/>
      <c r="CG64" s="228"/>
      <c r="CH64" s="228"/>
      <c r="CI64" s="228"/>
      <c r="CJ64" s="228"/>
      <c r="CK64" s="228"/>
      <c r="CL64" s="228"/>
      <c r="CM64" s="228"/>
      <c r="CN64" s="228"/>
      <c r="CO64" s="228"/>
      <c r="CP64" s="228"/>
      <c r="CQ64" s="228"/>
      <c r="CR64" s="228"/>
      <c r="CS64" s="228"/>
      <c r="CT64" s="228"/>
      <c r="CU64" s="228"/>
      <c r="CV64" s="228"/>
      <c r="CW64" s="228"/>
      <c r="CX64" s="228"/>
      <c r="CY64" s="228"/>
      <c r="CZ64" s="228"/>
      <c r="DA64" s="228"/>
      <c r="DB64" s="228"/>
    </row>
    <row r="65" ht="12.0" customHeight="1">
      <c r="A65" s="228"/>
      <c r="B65" s="228"/>
      <c r="C65" s="228"/>
      <c r="D65" s="228"/>
      <c r="E65" s="228"/>
      <c r="F65" s="228"/>
      <c r="G65" s="228"/>
      <c r="H65" s="228"/>
      <c r="I65" s="228"/>
      <c r="J65" s="228"/>
      <c r="K65" s="228"/>
      <c r="L65" s="228"/>
      <c r="M65" s="228"/>
      <c r="N65" s="228"/>
      <c r="O65" s="228"/>
      <c r="P65" s="228"/>
      <c r="Q65" s="228"/>
      <c r="R65" s="228"/>
      <c r="S65" s="228"/>
      <c r="T65" s="228"/>
      <c r="U65" s="228"/>
      <c r="V65" s="228"/>
      <c r="W65" s="228"/>
      <c r="X65" s="228"/>
      <c r="Y65" s="228"/>
      <c r="Z65" s="228"/>
      <c r="AA65" s="228"/>
      <c r="AB65" s="228"/>
      <c r="AC65" s="228"/>
      <c r="AD65" s="228"/>
      <c r="AE65" s="228"/>
      <c r="AF65" s="228"/>
      <c r="AG65" s="228"/>
      <c r="AH65" s="228"/>
      <c r="AI65" s="228"/>
      <c r="AJ65" s="228"/>
      <c r="AK65" s="228"/>
      <c r="AL65" s="228"/>
      <c r="AM65" s="228"/>
      <c r="AN65" s="228"/>
      <c r="AO65" s="228"/>
      <c r="AP65" s="228"/>
      <c r="AQ65" s="228"/>
      <c r="AR65" s="228"/>
      <c r="AS65" s="228"/>
      <c r="AT65" s="228"/>
      <c r="AU65" s="228"/>
      <c r="AV65" s="228"/>
      <c r="AW65" s="228"/>
      <c r="AX65" s="228"/>
      <c r="AY65" s="228"/>
      <c r="AZ65" s="228"/>
      <c r="BA65" s="228"/>
      <c r="BB65" s="228"/>
      <c r="BC65" s="228"/>
      <c r="BD65" s="228"/>
      <c r="BE65" s="228"/>
      <c r="BF65" s="228"/>
      <c r="BG65" s="228"/>
      <c r="BH65" s="228"/>
      <c r="BI65" s="228"/>
      <c r="BJ65" s="228"/>
      <c r="BK65" s="228"/>
      <c r="BL65" s="228"/>
      <c r="BM65" s="228"/>
      <c r="BN65" s="228"/>
      <c r="BO65" s="228"/>
      <c r="BP65" s="228"/>
      <c r="BQ65" s="228"/>
      <c r="BR65" s="228"/>
      <c r="BS65" s="228"/>
      <c r="BT65" s="228"/>
      <c r="BU65" s="228"/>
      <c r="BV65" s="228"/>
      <c r="BW65" s="228"/>
      <c r="BX65" s="228"/>
      <c r="BY65" s="228"/>
      <c r="BZ65" s="228"/>
      <c r="CA65" s="228"/>
      <c r="CB65" s="228"/>
      <c r="CC65" s="228"/>
      <c r="CD65" s="228"/>
      <c r="CE65" s="228"/>
      <c r="CF65" s="228"/>
      <c r="CG65" s="228"/>
      <c r="CH65" s="228"/>
      <c r="CI65" s="228"/>
      <c r="CJ65" s="228"/>
      <c r="CK65" s="228"/>
      <c r="CL65" s="228"/>
      <c r="CM65" s="228"/>
      <c r="CN65" s="228"/>
      <c r="CO65" s="228"/>
      <c r="CP65" s="228"/>
      <c r="CQ65" s="228"/>
      <c r="CR65" s="228"/>
      <c r="CS65" s="228"/>
      <c r="CT65" s="228"/>
      <c r="CU65" s="228"/>
      <c r="CV65" s="228"/>
      <c r="CW65" s="228"/>
      <c r="CX65" s="228"/>
      <c r="CY65" s="228"/>
      <c r="CZ65" s="228"/>
      <c r="DA65" s="228"/>
      <c r="DB65" s="228"/>
    </row>
    <row r="66" ht="12.0" customHeight="1">
      <c r="A66" s="228"/>
      <c r="B66" s="228"/>
      <c r="C66" s="228"/>
      <c r="D66" s="228"/>
      <c r="E66" s="228"/>
      <c r="F66" s="228"/>
      <c r="G66" s="228"/>
      <c r="H66" s="228"/>
      <c r="I66" s="228"/>
      <c r="J66" s="228"/>
      <c r="K66" s="228"/>
      <c r="L66" s="228"/>
      <c r="M66" s="228"/>
      <c r="N66" s="228"/>
      <c r="O66" s="228"/>
      <c r="P66" s="228"/>
      <c r="Q66" s="228"/>
      <c r="R66" s="228"/>
      <c r="S66" s="228"/>
      <c r="T66" s="228"/>
      <c r="U66" s="228"/>
      <c r="V66" s="228"/>
      <c r="W66" s="228"/>
      <c r="X66" s="228"/>
      <c r="Y66" s="228"/>
      <c r="Z66" s="228"/>
      <c r="AA66" s="228"/>
      <c r="AB66" s="228"/>
      <c r="AC66" s="228"/>
      <c r="AD66" s="228"/>
      <c r="AE66" s="228"/>
      <c r="AF66" s="228"/>
      <c r="AG66" s="228"/>
      <c r="AH66" s="228"/>
      <c r="AI66" s="228"/>
      <c r="AJ66" s="228"/>
      <c r="AK66" s="228"/>
      <c r="AL66" s="228"/>
      <c r="AM66" s="228"/>
      <c r="AN66" s="228"/>
      <c r="AO66" s="228"/>
      <c r="AP66" s="228"/>
      <c r="AQ66" s="228"/>
      <c r="AR66" s="228"/>
      <c r="AS66" s="228"/>
      <c r="AT66" s="228"/>
      <c r="AU66" s="228"/>
      <c r="AV66" s="228"/>
      <c r="AW66" s="228"/>
      <c r="AX66" s="228"/>
      <c r="AY66" s="228"/>
      <c r="AZ66" s="228"/>
      <c r="BA66" s="228"/>
      <c r="BB66" s="228"/>
      <c r="BC66" s="228"/>
      <c r="BD66" s="228"/>
      <c r="BE66" s="228"/>
      <c r="BF66" s="228"/>
      <c r="BG66" s="228"/>
      <c r="BH66" s="228"/>
      <c r="BI66" s="228"/>
      <c r="BJ66" s="228"/>
      <c r="BK66" s="228"/>
      <c r="BL66" s="228"/>
      <c r="BM66" s="228"/>
      <c r="BN66" s="228"/>
      <c r="BO66" s="228"/>
      <c r="BP66" s="228"/>
      <c r="BQ66" s="228"/>
      <c r="BR66" s="228"/>
      <c r="BS66" s="228"/>
      <c r="BT66" s="228"/>
      <c r="BU66" s="228"/>
      <c r="BV66" s="228"/>
      <c r="BW66" s="228"/>
      <c r="BX66" s="228"/>
      <c r="BY66" s="228"/>
      <c r="BZ66" s="228"/>
      <c r="CA66" s="228"/>
      <c r="CB66" s="228"/>
      <c r="CC66" s="228"/>
      <c r="CD66" s="228"/>
      <c r="CE66" s="228"/>
      <c r="CF66" s="228"/>
      <c r="CG66" s="228"/>
      <c r="CH66" s="228"/>
      <c r="CI66" s="228"/>
      <c r="CJ66" s="228"/>
      <c r="CK66" s="228"/>
      <c r="CL66" s="228"/>
      <c r="CM66" s="228"/>
      <c r="CN66" s="228"/>
      <c r="CO66" s="228"/>
      <c r="CP66" s="228"/>
      <c r="CQ66" s="228"/>
      <c r="CR66" s="228"/>
      <c r="CS66" s="228"/>
      <c r="CT66" s="228"/>
      <c r="CU66" s="228"/>
      <c r="CV66" s="228"/>
      <c r="CW66" s="228"/>
      <c r="CX66" s="228"/>
      <c r="CY66" s="228"/>
      <c r="CZ66" s="228"/>
      <c r="DA66" s="228"/>
      <c r="DB66" s="228"/>
    </row>
    <row r="67" ht="12.0" customHeight="1">
      <c r="A67" s="228"/>
      <c r="B67" s="228"/>
      <c r="C67" s="228"/>
      <c r="D67" s="228"/>
      <c r="E67" s="228"/>
      <c r="F67" s="228"/>
      <c r="G67" s="228"/>
      <c r="H67" s="228"/>
      <c r="I67" s="228"/>
      <c r="J67" s="228"/>
      <c r="K67" s="228"/>
      <c r="L67" s="228"/>
      <c r="M67" s="228"/>
      <c r="N67" s="228"/>
      <c r="O67" s="228"/>
      <c r="P67" s="228"/>
      <c r="Q67" s="228"/>
      <c r="R67" s="228"/>
      <c r="S67" s="228"/>
      <c r="T67" s="228"/>
      <c r="U67" s="228"/>
      <c r="V67" s="228"/>
      <c r="W67" s="228"/>
      <c r="X67" s="228"/>
      <c r="Y67" s="228"/>
      <c r="Z67" s="228"/>
      <c r="AA67" s="228"/>
      <c r="AB67" s="228"/>
      <c r="AC67" s="228"/>
      <c r="AD67" s="228"/>
      <c r="AE67" s="228"/>
      <c r="AF67" s="228"/>
      <c r="AG67" s="228"/>
      <c r="AH67" s="228"/>
      <c r="AI67" s="228"/>
      <c r="AJ67" s="228"/>
      <c r="AK67" s="228"/>
      <c r="AL67" s="228"/>
      <c r="AM67" s="228"/>
      <c r="AN67" s="228"/>
      <c r="AO67" s="228"/>
      <c r="AP67" s="228"/>
      <c r="AQ67" s="228"/>
      <c r="AR67" s="228"/>
      <c r="AS67" s="228"/>
      <c r="AT67" s="228"/>
      <c r="AU67" s="228"/>
      <c r="AV67" s="228"/>
      <c r="AW67" s="228"/>
      <c r="AX67" s="228"/>
      <c r="AY67" s="228"/>
      <c r="AZ67" s="228"/>
      <c r="BA67" s="228"/>
      <c r="BB67" s="228"/>
      <c r="BC67" s="228"/>
      <c r="BD67" s="228"/>
      <c r="BE67" s="228"/>
      <c r="BF67" s="228"/>
      <c r="BG67" s="228"/>
      <c r="BH67" s="228"/>
      <c r="BI67" s="228"/>
      <c r="BJ67" s="228"/>
      <c r="BK67" s="228"/>
      <c r="BL67" s="228"/>
      <c r="BM67" s="228"/>
      <c r="BN67" s="228"/>
      <c r="BO67" s="228"/>
      <c r="BP67" s="228"/>
      <c r="BQ67" s="228"/>
      <c r="BR67" s="228"/>
      <c r="BS67" s="228"/>
      <c r="BT67" s="228"/>
      <c r="BU67" s="228"/>
      <c r="BV67" s="228"/>
      <c r="BW67" s="228"/>
      <c r="BX67" s="228"/>
      <c r="BY67" s="228"/>
      <c r="BZ67" s="228"/>
      <c r="CA67" s="228"/>
      <c r="CB67" s="228"/>
      <c r="CC67" s="228"/>
      <c r="CD67" s="228"/>
      <c r="CE67" s="228"/>
      <c r="CF67" s="228"/>
      <c r="CG67" s="228"/>
      <c r="CH67" s="228"/>
      <c r="CI67" s="228"/>
      <c r="CJ67" s="228"/>
      <c r="CK67" s="228"/>
      <c r="CL67" s="228"/>
      <c r="CM67" s="228"/>
      <c r="CN67" s="228"/>
      <c r="CO67" s="228"/>
      <c r="CP67" s="228"/>
      <c r="CQ67" s="228"/>
      <c r="CR67" s="228"/>
      <c r="CS67" s="228"/>
      <c r="CT67" s="228"/>
      <c r="CU67" s="228"/>
      <c r="CV67" s="228"/>
      <c r="CW67" s="228"/>
      <c r="CX67" s="228"/>
      <c r="CY67" s="228"/>
      <c r="CZ67" s="228"/>
      <c r="DA67" s="228"/>
      <c r="DB67" s="228"/>
    </row>
    <row r="68" ht="12.0" customHeight="1">
      <c r="A68" s="228"/>
      <c r="B68" s="228"/>
      <c r="C68" s="228"/>
      <c r="D68" s="228"/>
      <c r="E68" s="228"/>
      <c r="F68" s="228"/>
      <c r="G68" s="228"/>
      <c r="H68" s="228"/>
      <c r="I68" s="228"/>
      <c r="J68" s="228"/>
      <c r="K68" s="228"/>
      <c r="L68" s="228"/>
      <c r="M68" s="228"/>
      <c r="N68" s="228"/>
      <c r="O68" s="228"/>
      <c r="P68" s="228"/>
      <c r="Q68" s="228"/>
      <c r="R68" s="228"/>
      <c r="S68" s="228"/>
      <c r="T68" s="228"/>
      <c r="U68" s="228"/>
      <c r="V68" s="228"/>
      <c r="W68" s="228"/>
      <c r="X68" s="228"/>
      <c r="Y68" s="228"/>
      <c r="Z68" s="228"/>
      <c r="AA68" s="228"/>
      <c r="AB68" s="228"/>
      <c r="AC68" s="228"/>
      <c r="AD68" s="228"/>
      <c r="AE68" s="228"/>
      <c r="AF68" s="228"/>
      <c r="AG68" s="228"/>
      <c r="AH68" s="228"/>
      <c r="AI68" s="228"/>
      <c r="AJ68" s="228"/>
      <c r="AK68" s="228"/>
      <c r="AL68" s="228"/>
      <c r="AM68" s="228"/>
      <c r="AN68" s="228"/>
      <c r="AO68" s="228"/>
      <c r="AP68" s="228"/>
      <c r="AQ68" s="228"/>
      <c r="AR68" s="228"/>
      <c r="AS68" s="228"/>
      <c r="AT68" s="228"/>
      <c r="AU68" s="228"/>
      <c r="AV68" s="228"/>
      <c r="AW68" s="228"/>
      <c r="AX68" s="228"/>
      <c r="AY68" s="228"/>
      <c r="AZ68" s="228"/>
      <c r="BA68" s="228"/>
      <c r="BB68" s="228"/>
      <c r="BC68" s="228"/>
      <c r="BD68" s="228"/>
      <c r="BE68" s="228"/>
      <c r="BF68" s="228"/>
      <c r="BG68" s="228"/>
      <c r="BH68" s="228"/>
      <c r="BI68" s="228"/>
      <c r="BJ68" s="228"/>
      <c r="BK68" s="228"/>
      <c r="BL68" s="228"/>
      <c r="BM68" s="228"/>
      <c r="BN68" s="228"/>
      <c r="BO68" s="228"/>
      <c r="BP68" s="228"/>
      <c r="BQ68" s="228"/>
      <c r="BR68" s="228"/>
      <c r="BS68" s="228"/>
      <c r="BT68" s="228"/>
      <c r="BU68" s="228"/>
      <c r="BV68" s="228"/>
      <c r="BW68" s="228"/>
      <c r="BX68" s="228"/>
      <c r="BY68" s="228"/>
      <c r="BZ68" s="228"/>
      <c r="CA68" s="228"/>
      <c r="CB68" s="228"/>
      <c r="CC68" s="228"/>
      <c r="CD68" s="228"/>
      <c r="CE68" s="228"/>
      <c r="CF68" s="228"/>
      <c r="CG68" s="228"/>
      <c r="CH68" s="228"/>
      <c r="CI68" s="228"/>
      <c r="CJ68" s="228"/>
      <c r="CK68" s="228"/>
      <c r="CL68" s="228"/>
      <c r="CM68" s="228"/>
      <c r="CN68" s="228"/>
      <c r="CO68" s="228"/>
      <c r="CP68" s="228"/>
      <c r="CQ68" s="228"/>
      <c r="CR68" s="228"/>
      <c r="CS68" s="228"/>
      <c r="CT68" s="228"/>
      <c r="CU68" s="228"/>
      <c r="CV68" s="228"/>
      <c r="CW68" s="228"/>
      <c r="CX68" s="228"/>
      <c r="CY68" s="228"/>
      <c r="CZ68" s="228"/>
      <c r="DA68" s="228"/>
      <c r="DB68" s="228"/>
    </row>
    <row r="69" ht="12.0" customHeight="1">
      <c r="A69" s="228"/>
      <c r="B69" s="228"/>
      <c r="C69" s="228"/>
      <c r="D69" s="228"/>
      <c r="E69" s="228"/>
      <c r="F69" s="228"/>
      <c r="G69" s="228"/>
      <c r="H69" s="228"/>
      <c r="I69" s="228"/>
      <c r="J69" s="228"/>
      <c r="K69" s="228"/>
      <c r="L69" s="228"/>
      <c r="M69" s="228"/>
      <c r="N69" s="228"/>
      <c r="O69" s="228"/>
      <c r="P69" s="228"/>
      <c r="Q69" s="228"/>
      <c r="R69" s="228"/>
      <c r="S69" s="228"/>
      <c r="T69" s="228"/>
      <c r="U69" s="228"/>
      <c r="V69" s="228"/>
      <c r="W69" s="228"/>
      <c r="X69" s="228"/>
      <c r="Y69" s="228"/>
      <c r="Z69" s="228"/>
      <c r="AA69" s="228"/>
      <c r="AB69" s="228"/>
      <c r="AC69" s="228"/>
      <c r="AD69" s="228"/>
      <c r="AE69" s="228"/>
      <c r="AF69" s="228"/>
      <c r="AG69" s="228"/>
      <c r="AH69" s="228"/>
      <c r="AI69" s="228"/>
      <c r="AJ69" s="228"/>
      <c r="AK69" s="228"/>
      <c r="AL69" s="228"/>
      <c r="AM69" s="228"/>
      <c r="AN69" s="228"/>
      <c r="AO69" s="228"/>
      <c r="AP69" s="228"/>
      <c r="AQ69" s="228"/>
      <c r="AR69" s="228"/>
      <c r="AS69" s="228"/>
      <c r="AT69" s="228"/>
      <c r="AU69" s="228"/>
      <c r="AV69" s="228"/>
      <c r="AW69" s="228"/>
      <c r="AX69" s="228"/>
      <c r="AY69" s="228"/>
      <c r="AZ69" s="228"/>
      <c r="BA69" s="228"/>
      <c r="BB69" s="228"/>
      <c r="BC69" s="228"/>
      <c r="BD69" s="228"/>
      <c r="BE69" s="228"/>
      <c r="BF69" s="228"/>
      <c r="BG69" s="228"/>
      <c r="BH69" s="228"/>
      <c r="BI69" s="228"/>
      <c r="BJ69" s="228"/>
      <c r="BK69" s="228"/>
      <c r="BL69" s="228"/>
      <c r="BM69" s="228"/>
      <c r="BN69" s="228"/>
      <c r="BO69" s="228"/>
      <c r="BP69" s="228"/>
      <c r="BQ69" s="228"/>
      <c r="BR69" s="228"/>
      <c r="BS69" s="228"/>
      <c r="BT69" s="228"/>
      <c r="BU69" s="228"/>
      <c r="BV69" s="228"/>
      <c r="BW69" s="228"/>
      <c r="BX69" s="228"/>
      <c r="BY69" s="228"/>
      <c r="BZ69" s="228"/>
      <c r="CA69" s="228"/>
      <c r="CB69" s="228"/>
      <c r="CC69" s="228"/>
      <c r="CD69" s="228"/>
      <c r="CE69" s="228"/>
      <c r="CF69" s="228"/>
      <c r="CG69" s="228"/>
      <c r="CH69" s="228"/>
      <c r="CI69" s="228"/>
      <c r="CJ69" s="228"/>
      <c r="CK69" s="228"/>
      <c r="CL69" s="228"/>
      <c r="CM69" s="228"/>
      <c r="CN69" s="228"/>
      <c r="CO69" s="228"/>
      <c r="CP69" s="228"/>
      <c r="CQ69" s="228"/>
      <c r="CR69" s="228"/>
      <c r="CS69" s="228"/>
      <c r="CT69" s="228"/>
      <c r="CU69" s="228"/>
      <c r="CV69" s="228"/>
      <c r="CW69" s="228"/>
      <c r="CX69" s="228"/>
      <c r="CY69" s="228"/>
      <c r="CZ69" s="228"/>
      <c r="DA69" s="228"/>
      <c r="DB69" s="228"/>
    </row>
    <row r="70" ht="12.0" customHeight="1">
      <c r="A70" s="228"/>
      <c r="B70" s="228"/>
      <c r="C70" s="228"/>
      <c r="D70" s="228"/>
      <c r="E70" s="228"/>
      <c r="F70" s="228"/>
      <c r="G70" s="228"/>
      <c r="H70" s="228"/>
      <c r="I70" s="228"/>
      <c r="J70" s="228"/>
      <c r="K70" s="228"/>
      <c r="L70" s="228"/>
      <c r="M70" s="228"/>
      <c r="N70" s="228"/>
      <c r="O70" s="228"/>
      <c r="P70" s="228"/>
      <c r="Q70" s="228"/>
      <c r="R70" s="228"/>
      <c r="S70" s="228"/>
      <c r="T70" s="228"/>
      <c r="U70" s="228"/>
      <c r="V70" s="228"/>
      <c r="W70" s="228"/>
      <c r="X70" s="228"/>
      <c r="Y70" s="228"/>
      <c r="Z70" s="228"/>
      <c r="AA70" s="228"/>
      <c r="AB70" s="228"/>
      <c r="AC70" s="228"/>
      <c r="AD70" s="228"/>
      <c r="AE70" s="228"/>
      <c r="AF70" s="228"/>
      <c r="AG70" s="228"/>
      <c r="AH70" s="228"/>
      <c r="AI70" s="228"/>
      <c r="AJ70" s="228"/>
      <c r="AK70" s="228"/>
      <c r="AL70" s="228"/>
      <c r="AM70" s="228"/>
      <c r="AN70" s="228"/>
      <c r="AO70" s="228"/>
      <c r="AP70" s="228"/>
      <c r="AQ70" s="228"/>
      <c r="AR70" s="228"/>
      <c r="AS70" s="228"/>
      <c r="AT70" s="228"/>
      <c r="AU70" s="228"/>
      <c r="AV70" s="228"/>
      <c r="AW70" s="228"/>
      <c r="AX70" s="228"/>
      <c r="AY70" s="228"/>
      <c r="AZ70" s="228"/>
      <c r="BA70" s="228"/>
      <c r="BB70" s="228"/>
      <c r="BC70" s="228"/>
      <c r="BD70" s="228"/>
      <c r="BE70" s="228"/>
      <c r="BF70" s="228"/>
      <c r="BG70" s="228"/>
      <c r="BH70" s="228"/>
      <c r="BI70" s="228"/>
      <c r="BJ70" s="228"/>
      <c r="BK70" s="228"/>
      <c r="BL70" s="228"/>
      <c r="BM70" s="228"/>
      <c r="BN70" s="228"/>
      <c r="BO70" s="228"/>
      <c r="BP70" s="228"/>
      <c r="BQ70" s="228"/>
      <c r="BR70" s="228"/>
      <c r="BS70" s="228"/>
      <c r="BT70" s="228"/>
      <c r="BU70" s="228"/>
      <c r="BV70" s="228"/>
      <c r="BW70" s="228"/>
      <c r="BX70" s="228"/>
      <c r="BY70" s="228"/>
      <c r="BZ70" s="228"/>
      <c r="CA70" s="228"/>
      <c r="CB70" s="228"/>
      <c r="CC70" s="228"/>
      <c r="CD70" s="228"/>
      <c r="CE70" s="228"/>
      <c r="CF70" s="228"/>
      <c r="CG70" s="228"/>
      <c r="CH70" s="228"/>
      <c r="CI70" s="228"/>
      <c r="CJ70" s="228"/>
      <c r="CK70" s="228"/>
      <c r="CL70" s="228"/>
      <c r="CM70" s="228"/>
      <c r="CN70" s="228"/>
      <c r="CO70" s="228"/>
      <c r="CP70" s="228"/>
      <c r="CQ70" s="228"/>
      <c r="CR70" s="228"/>
      <c r="CS70" s="228"/>
      <c r="CT70" s="228"/>
      <c r="CU70" s="228"/>
      <c r="CV70" s="228"/>
      <c r="CW70" s="228"/>
      <c r="CX70" s="228"/>
      <c r="CY70" s="228"/>
      <c r="CZ70" s="228"/>
      <c r="DA70" s="228"/>
      <c r="DB70" s="228"/>
    </row>
    <row r="71" ht="12.0" customHeight="1">
      <c r="A71" s="228"/>
      <c r="B71" s="228"/>
      <c r="C71" s="228"/>
      <c r="D71" s="228"/>
      <c r="E71" s="228"/>
      <c r="F71" s="228"/>
      <c r="G71" s="228"/>
      <c r="H71" s="228"/>
      <c r="I71" s="228"/>
      <c r="J71" s="228"/>
      <c r="K71" s="228"/>
      <c r="L71" s="228"/>
      <c r="M71" s="228"/>
      <c r="N71" s="228"/>
      <c r="O71" s="228"/>
      <c r="P71" s="228"/>
      <c r="Q71" s="228"/>
      <c r="R71" s="228"/>
      <c r="S71" s="228"/>
      <c r="T71" s="228"/>
      <c r="U71" s="228"/>
      <c r="V71" s="228"/>
      <c r="W71" s="228"/>
      <c r="X71" s="228"/>
      <c r="Y71" s="228"/>
      <c r="Z71" s="228"/>
      <c r="AA71" s="228"/>
      <c r="AB71" s="228"/>
      <c r="AC71" s="228"/>
      <c r="AD71" s="228"/>
      <c r="AE71" s="228"/>
      <c r="AF71" s="228"/>
      <c r="AG71" s="228"/>
      <c r="AH71" s="228"/>
      <c r="AI71" s="228"/>
      <c r="AJ71" s="228"/>
      <c r="AK71" s="228"/>
      <c r="AL71" s="228"/>
      <c r="AM71" s="228"/>
      <c r="AN71" s="228"/>
      <c r="AO71" s="228"/>
      <c r="AP71" s="228"/>
      <c r="AQ71" s="228"/>
      <c r="AR71" s="228"/>
      <c r="AS71" s="228"/>
      <c r="AT71" s="228"/>
      <c r="AU71" s="228"/>
      <c r="AV71" s="228"/>
      <c r="AW71" s="228"/>
      <c r="AX71" s="228"/>
      <c r="AY71" s="228"/>
      <c r="AZ71" s="228"/>
      <c r="BA71" s="228"/>
      <c r="BB71" s="228"/>
      <c r="BC71" s="228"/>
      <c r="BD71" s="228"/>
      <c r="BE71" s="228"/>
      <c r="BF71" s="228"/>
      <c r="BG71" s="228"/>
      <c r="BH71" s="228"/>
      <c r="BI71" s="228"/>
      <c r="BJ71" s="228"/>
      <c r="BK71" s="228"/>
      <c r="BL71" s="228"/>
      <c r="BM71" s="228"/>
      <c r="BN71" s="228"/>
      <c r="BO71" s="228"/>
      <c r="BP71" s="228"/>
      <c r="BQ71" s="228"/>
      <c r="BR71" s="228"/>
      <c r="BS71" s="228"/>
      <c r="BT71" s="228"/>
      <c r="BU71" s="228"/>
      <c r="BV71" s="228"/>
      <c r="BW71" s="228"/>
      <c r="BX71" s="228"/>
      <c r="BY71" s="228"/>
      <c r="BZ71" s="228"/>
      <c r="CA71" s="228"/>
      <c r="CB71" s="228"/>
      <c r="CC71" s="228"/>
      <c r="CD71" s="228"/>
      <c r="CE71" s="228"/>
      <c r="CF71" s="228"/>
      <c r="CG71" s="228"/>
      <c r="CH71" s="228"/>
      <c r="CI71" s="228"/>
      <c r="CJ71" s="228"/>
      <c r="CK71" s="228"/>
      <c r="CL71" s="228"/>
      <c r="CM71" s="228"/>
      <c r="CN71" s="228"/>
      <c r="CO71" s="228"/>
      <c r="CP71" s="228"/>
      <c r="CQ71" s="228"/>
      <c r="CR71" s="228"/>
      <c r="CS71" s="228"/>
      <c r="CT71" s="228"/>
      <c r="CU71" s="228"/>
      <c r="CV71" s="228"/>
      <c r="CW71" s="228"/>
      <c r="CX71" s="228"/>
      <c r="CY71" s="228"/>
      <c r="CZ71" s="228"/>
      <c r="DA71" s="228"/>
      <c r="DB71" s="228"/>
    </row>
    <row r="72" ht="12.0" customHeight="1">
      <c r="A72" s="228"/>
      <c r="B72" s="228"/>
      <c r="C72" s="228"/>
      <c r="D72" s="228"/>
      <c r="E72" s="228"/>
      <c r="F72" s="228"/>
      <c r="G72" s="228"/>
      <c r="H72" s="228"/>
      <c r="I72" s="228"/>
      <c r="J72" s="228"/>
      <c r="K72" s="228"/>
      <c r="L72" s="228"/>
      <c r="M72" s="228"/>
      <c r="N72" s="228"/>
      <c r="O72" s="228"/>
      <c r="P72" s="228"/>
      <c r="Q72" s="228"/>
      <c r="R72" s="228"/>
      <c r="S72" s="228"/>
      <c r="T72" s="228"/>
      <c r="U72" s="228"/>
      <c r="V72" s="228"/>
      <c r="W72" s="228"/>
      <c r="X72" s="228"/>
      <c r="Y72" s="228"/>
      <c r="Z72" s="228"/>
      <c r="AA72" s="228"/>
      <c r="AB72" s="228"/>
      <c r="AC72" s="228"/>
      <c r="AD72" s="228"/>
      <c r="AE72" s="228"/>
      <c r="AF72" s="228"/>
      <c r="AG72" s="228"/>
      <c r="AH72" s="228"/>
      <c r="AI72" s="228"/>
      <c r="AJ72" s="228"/>
      <c r="AK72" s="228"/>
      <c r="AL72" s="228"/>
      <c r="AM72" s="228"/>
      <c r="AN72" s="228"/>
      <c r="AO72" s="228"/>
      <c r="AP72" s="228"/>
      <c r="AQ72" s="228"/>
      <c r="AR72" s="228"/>
      <c r="AS72" s="228"/>
      <c r="AT72" s="228"/>
      <c r="AU72" s="228"/>
      <c r="AV72" s="228"/>
      <c r="AW72" s="228"/>
      <c r="AX72" s="228"/>
      <c r="AY72" s="228"/>
      <c r="AZ72" s="228"/>
      <c r="BA72" s="228"/>
      <c r="BB72" s="228"/>
      <c r="BC72" s="228"/>
      <c r="BD72" s="228"/>
      <c r="BE72" s="228"/>
      <c r="BF72" s="228"/>
      <c r="BG72" s="228"/>
      <c r="BH72" s="228"/>
      <c r="BI72" s="228"/>
      <c r="BJ72" s="228"/>
      <c r="BK72" s="228"/>
      <c r="BL72" s="228"/>
      <c r="BM72" s="228"/>
      <c r="BN72" s="228"/>
      <c r="BO72" s="228"/>
      <c r="BP72" s="228"/>
      <c r="BQ72" s="228"/>
      <c r="BR72" s="228"/>
      <c r="BS72" s="228"/>
      <c r="BT72" s="228"/>
      <c r="BU72" s="228"/>
      <c r="BV72" s="228"/>
      <c r="BW72" s="228"/>
      <c r="BX72" s="228"/>
      <c r="BY72" s="228"/>
      <c r="BZ72" s="228"/>
      <c r="CA72" s="228"/>
      <c r="CB72" s="228"/>
      <c r="CC72" s="228"/>
      <c r="CD72" s="228"/>
      <c r="CE72" s="228"/>
      <c r="CF72" s="228"/>
      <c r="CG72" s="228"/>
      <c r="CH72" s="228"/>
      <c r="CI72" s="228"/>
      <c r="CJ72" s="228"/>
      <c r="CK72" s="228"/>
      <c r="CL72" s="228"/>
      <c r="CM72" s="228"/>
      <c r="CN72" s="228"/>
      <c r="CO72" s="228"/>
      <c r="CP72" s="228"/>
      <c r="CQ72" s="228"/>
      <c r="CR72" s="228"/>
      <c r="CS72" s="228"/>
      <c r="CT72" s="228"/>
      <c r="CU72" s="228"/>
      <c r="CV72" s="228"/>
      <c r="CW72" s="228"/>
      <c r="CX72" s="228"/>
      <c r="CY72" s="228"/>
      <c r="CZ72" s="228"/>
      <c r="DA72" s="228"/>
      <c r="DB72" s="228"/>
    </row>
    <row r="73" ht="12.0" customHeight="1">
      <c r="A73" s="228"/>
      <c r="B73" s="228"/>
      <c r="C73" s="228"/>
      <c r="D73" s="228"/>
      <c r="E73" s="228"/>
      <c r="F73" s="228"/>
      <c r="G73" s="228"/>
      <c r="H73" s="228"/>
      <c r="I73" s="228"/>
      <c r="J73" s="228"/>
      <c r="K73" s="228"/>
      <c r="L73" s="228"/>
      <c r="M73" s="228"/>
      <c r="N73" s="228"/>
      <c r="O73" s="228"/>
      <c r="P73" s="228"/>
      <c r="Q73" s="228"/>
      <c r="R73" s="228"/>
      <c r="S73" s="228"/>
      <c r="T73" s="228"/>
      <c r="U73" s="228"/>
      <c r="V73" s="228"/>
      <c r="W73" s="228"/>
      <c r="X73" s="228"/>
      <c r="Y73" s="228"/>
      <c r="Z73" s="228"/>
      <c r="AA73" s="228"/>
      <c r="AB73" s="228"/>
      <c r="AC73" s="228"/>
      <c r="AD73" s="228"/>
      <c r="AE73" s="228"/>
      <c r="AF73" s="228"/>
      <c r="AG73" s="228"/>
      <c r="AH73" s="228"/>
      <c r="AI73" s="228"/>
      <c r="AJ73" s="228"/>
      <c r="AK73" s="228"/>
      <c r="AL73" s="228"/>
      <c r="AM73" s="228"/>
      <c r="AN73" s="228"/>
      <c r="AO73" s="228"/>
      <c r="AP73" s="228"/>
      <c r="AQ73" s="228"/>
      <c r="AR73" s="228"/>
      <c r="AS73" s="228"/>
      <c r="AT73" s="228"/>
      <c r="AU73" s="228"/>
      <c r="AV73" s="228"/>
      <c r="AW73" s="228"/>
      <c r="AX73" s="228"/>
      <c r="AY73" s="228"/>
      <c r="AZ73" s="228"/>
      <c r="BA73" s="228"/>
      <c r="BB73" s="228"/>
      <c r="BC73" s="228"/>
      <c r="BD73" s="228"/>
      <c r="BE73" s="228"/>
      <c r="BF73" s="228"/>
      <c r="BG73" s="228"/>
      <c r="BH73" s="228"/>
      <c r="BI73" s="228"/>
      <c r="BJ73" s="228"/>
      <c r="BK73" s="228"/>
      <c r="BL73" s="228"/>
      <c r="BM73" s="228"/>
      <c r="BN73" s="228"/>
      <c r="BO73" s="228"/>
      <c r="BP73" s="228"/>
      <c r="BQ73" s="228"/>
      <c r="BR73" s="228"/>
      <c r="BS73" s="228"/>
      <c r="BT73" s="228"/>
      <c r="BU73" s="228"/>
      <c r="BV73" s="228"/>
      <c r="BW73" s="228"/>
      <c r="BX73" s="228"/>
      <c r="BY73" s="228"/>
      <c r="BZ73" s="228"/>
      <c r="CA73" s="228"/>
      <c r="CB73" s="228"/>
      <c r="CC73" s="228"/>
      <c r="CD73" s="228"/>
      <c r="CE73" s="228"/>
      <c r="CF73" s="228"/>
      <c r="CG73" s="228"/>
      <c r="CH73" s="228"/>
      <c r="CI73" s="228"/>
      <c r="CJ73" s="228"/>
      <c r="CK73" s="228"/>
      <c r="CL73" s="228"/>
      <c r="CM73" s="228"/>
      <c r="CN73" s="228"/>
      <c r="CO73" s="228"/>
      <c r="CP73" s="228"/>
      <c r="CQ73" s="228"/>
      <c r="CR73" s="228"/>
      <c r="CS73" s="228"/>
      <c r="CT73" s="228"/>
      <c r="CU73" s="228"/>
      <c r="CV73" s="228"/>
      <c r="CW73" s="228"/>
      <c r="CX73" s="228"/>
      <c r="CY73" s="228"/>
      <c r="CZ73" s="228"/>
      <c r="DA73" s="228"/>
      <c r="DB73" s="228"/>
    </row>
    <row r="74" ht="12.0" customHeight="1">
      <c r="A74" s="228"/>
      <c r="B74" s="228"/>
      <c r="C74" s="228"/>
      <c r="D74" s="228"/>
      <c r="E74" s="228"/>
      <c r="F74" s="228"/>
      <c r="G74" s="228"/>
      <c r="H74" s="228"/>
      <c r="I74" s="228"/>
      <c r="J74" s="228"/>
      <c r="K74" s="228"/>
      <c r="L74" s="228"/>
      <c r="M74" s="228"/>
      <c r="N74" s="228"/>
      <c r="O74" s="228"/>
      <c r="P74" s="228"/>
      <c r="Q74" s="228"/>
      <c r="R74" s="228"/>
      <c r="S74" s="228"/>
      <c r="T74" s="228"/>
      <c r="U74" s="228"/>
      <c r="V74" s="228"/>
      <c r="W74" s="228"/>
      <c r="X74" s="228"/>
      <c r="Y74" s="228"/>
      <c r="Z74" s="228"/>
      <c r="AA74" s="228"/>
      <c r="AB74" s="228"/>
      <c r="AC74" s="228"/>
      <c r="AD74" s="228"/>
      <c r="AE74" s="228"/>
      <c r="AF74" s="228"/>
      <c r="AG74" s="228"/>
      <c r="AH74" s="228"/>
      <c r="AI74" s="228"/>
      <c r="AJ74" s="228"/>
      <c r="AK74" s="228"/>
      <c r="AL74" s="228"/>
      <c r="AM74" s="228"/>
      <c r="AN74" s="228"/>
      <c r="AO74" s="228"/>
      <c r="AP74" s="228"/>
      <c r="AQ74" s="228"/>
      <c r="AR74" s="228"/>
      <c r="AS74" s="228"/>
      <c r="AT74" s="228"/>
      <c r="AU74" s="228"/>
      <c r="AV74" s="228"/>
      <c r="AW74" s="228"/>
      <c r="AX74" s="228"/>
      <c r="AY74" s="228"/>
      <c r="AZ74" s="228"/>
      <c r="BA74" s="228"/>
      <c r="BB74" s="228"/>
      <c r="BC74" s="228"/>
      <c r="BD74" s="228"/>
      <c r="BE74" s="228"/>
      <c r="BF74" s="228"/>
      <c r="BG74" s="228"/>
      <c r="BH74" s="228"/>
      <c r="BI74" s="228"/>
      <c r="BJ74" s="228"/>
      <c r="BK74" s="228"/>
      <c r="BL74" s="228"/>
      <c r="BM74" s="228"/>
      <c r="BN74" s="228"/>
      <c r="BO74" s="228"/>
      <c r="BP74" s="228"/>
      <c r="BQ74" s="228"/>
      <c r="BR74" s="228"/>
      <c r="BS74" s="228"/>
      <c r="BT74" s="228"/>
      <c r="BU74" s="228"/>
      <c r="BV74" s="228"/>
      <c r="BW74" s="228"/>
      <c r="BX74" s="228"/>
      <c r="BY74" s="228"/>
      <c r="BZ74" s="228"/>
      <c r="CA74" s="228"/>
      <c r="CB74" s="228"/>
      <c r="CC74" s="228"/>
      <c r="CD74" s="228"/>
      <c r="CE74" s="228"/>
      <c r="CF74" s="228"/>
      <c r="CG74" s="228"/>
      <c r="CH74" s="228"/>
      <c r="CI74" s="228"/>
      <c r="CJ74" s="228"/>
      <c r="CK74" s="228"/>
      <c r="CL74" s="228"/>
      <c r="CM74" s="228"/>
      <c r="CN74" s="228"/>
      <c r="CO74" s="228"/>
      <c r="CP74" s="228"/>
      <c r="CQ74" s="228"/>
      <c r="CR74" s="228"/>
      <c r="CS74" s="228"/>
      <c r="CT74" s="228"/>
      <c r="CU74" s="228"/>
      <c r="CV74" s="228"/>
      <c r="CW74" s="228"/>
      <c r="CX74" s="228"/>
      <c r="CY74" s="228"/>
      <c r="CZ74" s="228"/>
      <c r="DA74" s="228"/>
      <c r="DB74" s="228"/>
    </row>
    <row r="75" ht="12.0" customHeight="1">
      <c r="A75" s="228"/>
      <c r="B75" s="228"/>
      <c r="C75" s="228"/>
      <c r="D75" s="228"/>
      <c r="E75" s="228"/>
      <c r="F75" s="228"/>
      <c r="G75" s="228"/>
      <c r="H75" s="228"/>
      <c r="I75" s="228"/>
      <c r="J75" s="228"/>
      <c r="K75" s="228"/>
      <c r="L75" s="228"/>
      <c r="M75" s="228"/>
      <c r="N75" s="228"/>
      <c r="O75" s="228"/>
      <c r="P75" s="228"/>
      <c r="Q75" s="228"/>
      <c r="R75" s="228"/>
      <c r="S75" s="228"/>
      <c r="T75" s="228"/>
      <c r="U75" s="228"/>
      <c r="V75" s="228"/>
      <c r="W75" s="228"/>
      <c r="X75" s="228"/>
      <c r="Y75" s="228"/>
      <c r="Z75" s="228"/>
      <c r="AA75" s="228"/>
      <c r="AB75" s="228"/>
      <c r="AC75" s="228"/>
      <c r="AD75" s="228"/>
      <c r="AE75" s="228"/>
      <c r="AF75" s="228"/>
      <c r="AG75" s="228"/>
      <c r="AH75" s="228"/>
      <c r="AI75" s="228"/>
      <c r="AJ75" s="228"/>
      <c r="AK75" s="228"/>
      <c r="AL75" s="228"/>
      <c r="AM75" s="228"/>
      <c r="AN75" s="228"/>
      <c r="AO75" s="228"/>
      <c r="AP75" s="228"/>
      <c r="AQ75" s="228"/>
      <c r="AR75" s="228"/>
      <c r="AS75" s="228"/>
      <c r="AT75" s="228"/>
      <c r="AU75" s="228"/>
      <c r="AV75" s="228"/>
      <c r="AW75" s="228"/>
      <c r="AX75" s="228"/>
      <c r="AY75" s="228"/>
      <c r="AZ75" s="228"/>
      <c r="BA75" s="228"/>
      <c r="BB75" s="228"/>
      <c r="BC75" s="228"/>
      <c r="BD75" s="228"/>
      <c r="BE75" s="228"/>
      <c r="BF75" s="228"/>
      <c r="BG75" s="228"/>
      <c r="BH75" s="228"/>
      <c r="BI75" s="228"/>
      <c r="BJ75" s="228"/>
      <c r="BK75" s="228"/>
      <c r="BL75" s="228"/>
      <c r="BM75" s="228"/>
      <c r="BN75" s="228"/>
      <c r="BO75" s="228"/>
      <c r="BP75" s="228"/>
      <c r="BQ75" s="228"/>
      <c r="BR75" s="228"/>
      <c r="BS75" s="228"/>
      <c r="BT75" s="228"/>
      <c r="BU75" s="228"/>
      <c r="BV75" s="228"/>
      <c r="BW75" s="228"/>
      <c r="BX75" s="228"/>
      <c r="BY75" s="228"/>
      <c r="BZ75" s="228"/>
      <c r="CA75" s="228"/>
      <c r="CB75" s="228"/>
      <c r="CC75" s="228"/>
      <c r="CD75" s="228"/>
      <c r="CE75" s="228"/>
      <c r="CF75" s="228"/>
      <c r="CG75" s="228"/>
      <c r="CH75" s="228"/>
      <c r="CI75" s="228"/>
      <c r="CJ75" s="228"/>
      <c r="CK75" s="228"/>
      <c r="CL75" s="228"/>
      <c r="CM75" s="228"/>
      <c r="CN75" s="228"/>
      <c r="CO75" s="228"/>
      <c r="CP75" s="228"/>
      <c r="CQ75" s="228"/>
      <c r="CR75" s="228"/>
      <c r="CS75" s="228"/>
      <c r="CT75" s="228"/>
      <c r="CU75" s="228"/>
      <c r="CV75" s="228"/>
      <c r="CW75" s="228"/>
      <c r="CX75" s="228"/>
      <c r="CY75" s="228"/>
      <c r="CZ75" s="228"/>
      <c r="DA75" s="228"/>
      <c r="DB75" s="228"/>
    </row>
    <row r="76" ht="12.0" customHeight="1">
      <c r="A76" s="228"/>
      <c r="B76" s="228"/>
      <c r="C76" s="228"/>
      <c r="D76" s="228"/>
      <c r="E76" s="228"/>
      <c r="F76" s="228"/>
      <c r="G76" s="228"/>
      <c r="H76" s="228"/>
      <c r="I76" s="228"/>
      <c r="J76" s="228"/>
      <c r="K76" s="228"/>
      <c r="L76" s="228"/>
      <c r="M76" s="228"/>
      <c r="N76" s="228"/>
      <c r="O76" s="228"/>
      <c r="P76" s="228"/>
      <c r="Q76" s="228"/>
      <c r="R76" s="228"/>
      <c r="S76" s="228"/>
      <c r="T76" s="228"/>
      <c r="U76" s="228"/>
      <c r="V76" s="228"/>
      <c r="W76" s="228"/>
      <c r="X76" s="228"/>
      <c r="Y76" s="228"/>
      <c r="Z76" s="228"/>
      <c r="AA76" s="228"/>
      <c r="AB76" s="228"/>
      <c r="AC76" s="228"/>
      <c r="AD76" s="228"/>
      <c r="AE76" s="228"/>
      <c r="AF76" s="228"/>
      <c r="AG76" s="228"/>
      <c r="AH76" s="228"/>
      <c r="AI76" s="228"/>
      <c r="AJ76" s="228"/>
      <c r="AK76" s="228"/>
      <c r="AL76" s="228"/>
      <c r="AM76" s="228"/>
      <c r="AN76" s="228"/>
      <c r="AO76" s="228"/>
      <c r="AP76" s="228"/>
      <c r="AQ76" s="228"/>
      <c r="AR76" s="228"/>
      <c r="AS76" s="228"/>
      <c r="AT76" s="228"/>
      <c r="AU76" s="228"/>
      <c r="AV76" s="228"/>
      <c r="AW76" s="228"/>
      <c r="AX76" s="228"/>
      <c r="AY76" s="228"/>
      <c r="AZ76" s="228"/>
      <c r="BA76" s="228"/>
      <c r="BB76" s="228"/>
      <c r="BC76" s="228"/>
      <c r="BD76" s="228"/>
      <c r="BE76" s="228"/>
      <c r="BF76" s="228"/>
      <c r="BG76" s="228"/>
      <c r="BH76" s="228"/>
      <c r="BI76" s="228"/>
      <c r="BJ76" s="228"/>
      <c r="BK76" s="228"/>
      <c r="BL76" s="228"/>
      <c r="BM76" s="228"/>
      <c r="BN76" s="228"/>
      <c r="BO76" s="228"/>
      <c r="BP76" s="228"/>
      <c r="BQ76" s="228"/>
      <c r="BR76" s="228"/>
      <c r="BS76" s="228"/>
      <c r="BT76" s="228"/>
      <c r="BU76" s="228"/>
      <c r="BV76" s="228"/>
      <c r="BW76" s="228"/>
      <c r="BX76" s="228"/>
      <c r="BY76" s="228"/>
      <c r="BZ76" s="228"/>
      <c r="CA76" s="228"/>
      <c r="CB76" s="228"/>
      <c r="CC76" s="228"/>
      <c r="CD76" s="228"/>
      <c r="CE76" s="228"/>
      <c r="CF76" s="228"/>
      <c r="CG76" s="228"/>
      <c r="CH76" s="228"/>
      <c r="CI76" s="228"/>
      <c r="CJ76" s="228"/>
      <c r="CK76" s="228"/>
      <c r="CL76" s="228"/>
      <c r="CM76" s="228"/>
      <c r="CN76" s="228"/>
      <c r="CO76" s="228"/>
      <c r="CP76" s="228"/>
      <c r="CQ76" s="228"/>
      <c r="CR76" s="228"/>
      <c r="CS76" s="228"/>
      <c r="CT76" s="228"/>
      <c r="CU76" s="228"/>
      <c r="CV76" s="228"/>
      <c r="CW76" s="228"/>
      <c r="CX76" s="228"/>
      <c r="CY76" s="228"/>
      <c r="CZ76" s="228"/>
      <c r="DA76" s="228"/>
      <c r="DB76" s="228"/>
    </row>
    <row r="77" ht="12.0" customHeight="1">
      <c r="A77" s="228"/>
      <c r="B77" s="228"/>
      <c r="C77" s="228"/>
      <c r="D77" s="228"/>
      <c r="E77" s="228"/>
      <c r="F77" s="228"/>
      <c r="G77" s="228"/>
      <c r="H77" s="228"/>
      <c r="I77" s="228"/>
      <c r="J77" s="228"/>
      <c r="K77" s="228"/>
      <c r="L77" s="228"/>
      <c r="M77" s="228"/>
      <c r="N77" s="228"/>
      <c r="O77" s="228"/>
      <c r="P77" s="228"/>
      <c r="Q77" s="228"/>
      <c r="R77" s="228"/>
      <c r="S77" s="228"/>
      <c r="T77" s="228"/>
      <c r="U77" s="228"/>
      <c r="V77" s="228"/>
      <c r="W77" s="228"/>
      <c r="X77" s="228"/>
      <c r="Y77" s="228"/>
      <c r="Z77" s="228"/>
      <c r="AA77" s="228"/>
      <c r="AB77" s="228"/>
      <c r="AC77" s="228"/>
      <c r="AD77" s="228"/>
      <c r="AE77" s="228"/>
      <c r="AF77" s="228"/>
      <c r="AG77" s="228"/>
      <c r="AH77" s="228"/>
      <c r="AI77" s="228"/>
      <c r="AJ77" s="228"/>
      <c r="AK77" s="228"/>
      <c r="AL77" s="228"/>
      <c r="AM77" s="228"/>
      <c r="AN77" s="228"/>
      <c r="AO77" s="228"/>
      <c r="AP77" s="228"/>
      <c r="AQ77" s="228"/>
      <c r="AR77" s="228"/>
      <c r="AS77" s="228"/>
      <c r="AT77" s="228"/>
      <c r="AU77" s="228"/>
      <c r="AV77" s="228"/>
      <c r="AW77" s="228"/>
      <c r="AX77" s="228"/>
      <c r="AY77" s="228"/>
      <c r="AZ77" s="228"/>
      <c r="BA77" s="228"/>
      <c r="BB77" s="228"/>
      <c r="BC77" s="228"/>
      <c r="BD77" s="228"/>
      <c r="BE77" s="228"/>
      <c r="BF77" s="228"/>
      <c r="BG77" s="228"/>
      <c r="BH77" s="228"/>
      <c r="BI77" s="228"/>
      <c r="BJ77" s="228"/>
      <c r="BK77" s="228"/>
      <c r="BL77" s="228"/>
      <c r="BM77" s="228"/>
      <c r="BN77" s="228"/>
      <c r="BO77" s="228"/>
      <c r="BP77" s="228"/>
      <c r="BQ77" s="228"/>
      <c r="BR77" s="228"/>
      <c r="BS77" s="228"/>
      <c r="BT77" s="228"/>
      <c r="BU77" s="228"/>
      <c r="BV77" s="228"/>
      <c r="BW77" s="228"/>
      <c r="BX77" s="228"/>
      <c r="BY77" s="228"/>
      <c r="BZ77" s="228"/>
      <c r="CA77" s="228"/>
      <c r="CB77" s="228"/>
      <c r="CC77" s="228"/>
      <c r="CD77" s="228"/>
      <c r="CE77" s="228"/>
      <c r="CF77" s="228"/>
      <c r="CG77" s="228"/>
      <c r="CH77" s="228"/>
      <c r="CI77" s="228"/>
      <c r="CJ77" s="228"/>
      <c r="CK77" s="228"/>
      <c r="CL77" s="228"/>
      <c r="CM77" s="228"/>
      <c r="CN77" s="228"/>
      <c r="CO77" s="228"/>
      <c r="CP77" s="228"/>
      <c r="CQ77" s="228"/>
      <c r="CR77" s="228"/>
      <c r="CS77" s="228"/>
      <c r="CT77" s="228"/>
      <c r="CU77" s="228"/>
      <c r="CV77" s="228"/>
      <c r="CW77" s="228"/>
      <c r="CX77" s="228"/>
      <c r="CY77" s="228"/>
      <c r="CZ77" s="228"/>
      <c r="DA77" s="228"/>
      <c r="DB77" s="228"/>
    </row>
    <row r="78" ht="12.0" customHeight="1">
      <c r="A78" s="228"/>
      <c r="B78" s="228"/>
      <c r="C78" s="228"/>
      <c r="D78" s="228"/>
      <c r="E78" s="228"/>
      <c r="F78" s="228"/>
      <c r="G78" s="228"/>
      <c r="H78" s="228"/>
      <c r="I78" s="228"/>
      <c r="J78" s="228"/>
      <c r="K78" s="228"/>
      <c r="L78" s="228"/>
      <c r="M78" s="228"/>
      <c r="N78" s="228"/>
      <c r="O78" s="228"/>
      <c r="P78" s="228"/>
      <c r="Q78" s="228"/>
      <c r="R78" s="228"/>
      <c r="S78" s="228"/>
      <c r="T78" s="228"/>
      <c r="U78" s="228"/>
      <c r="V78" s="228"/>
      <c r="W78" s="228"/>
      <c r="X78" s="228"/>
      <c r="Y78" s="228"/>
      <c r="Z78" s="228"/>
      <c r="AA78" s="228"/>
      <c r="AB78" s="228"/>
      <c r="AC78" s="228"/>
      <c r="AD78" s="228"/>
      <c r="AE78" s="228"/>
      <c r="AF78" s="228"/>
      <c r="AG78" s="228"/>
      <c r="AH78" s="228"/>
      <c r="AI78" s="228"/>
      <c r="AJ78" s="228"/>
      <c r="AK78" s="228"/>
      <c r="AL78" s="228"/>
      <c r="AM78" s="228"/>
      <c r="AN78" s="228"/>
      <c r="AO78" s="228"/>
      <c r="AP78" s="228"/>
      <c r="AQ78" s="228"/>
      <c r="AR78" s="228"/>
      <c r="AS78" s="228"/>
      <c r="AT78" s="228"/>
      <c r="AU78" s="228"/>
      <c r="AV78" s="228"/>
      <c r="AW78" s="228"/>
      <c r="AX78" s="228"/>
      <c r="AY78" s="228"/>
      <c r="AZ78" s="228"/>
      <c r="BA78" s="228"/>
      <c r="BB78" s="228"/>
      <c r="BC78" s="228"/>
      <c r="BD78" s="228"/>
      <c r="BE78" s="228"/>
      <c r="BF78" s="228"/>
      <c r="BG78" s="228"/>
      <c r="BH78" s="228"/>
      <c r="BI78" s="228"/>
      <c r="BJ78" s="228"/>
      <c r="BK78" s="228"/>
      <c r="BL78" s="228"/>
      <c r="BM78" s="228"/>
      <c r="BN78" s="228"/>
      <c r="BO78" s="228"/>
      <c r="BP78" s="228"/>
      <c r="BQ78" s="228"/>
      <c r="BR78" s="228"/>
      <c r="BS78" s="228"/>
      <c r="BT78" s="228"/>
      <c r="BU78" s="228"/>
      <c r="BV78" s="228"/>
      <c r="BW78" s="228"/>
      <c r="BX78" s="228"/>
      <c r="BY78" s="228"/>
      <c r="BZ78" s="228"/>
      <c r="CA78" s="228"/>
      <c r="CB78" s="228"/>
      <c r="CC78" s="228"/>
      <c r="CD78" s="228"/>
      <c r="CE78" s="228"/>
      <c r="CF78" s="228"/>
      <c r="CG78" s="228"/>
      <c r="CH78" s="228"/>
      <c r="CI78" s="228"/>
      <c r="CJ78" s="228"/>
      <c r="CK78" s="228"/>
      <c r="CL78" s="228"/>
      <c r="CM78" s="228"/>
      <c r="CN78" s="228"/>
      <c r="CO78" s="228"/>
      <c r="CP78" s="228"/>
      <c r="CQ78" s="228"/>
      <c r="CR78" s="228"/>
      <c r="CS78" s="228"/>
      <c r="CT78" s="228"/>
      <c r="CU78" s="228"/>
      <c r="CV78" s="228"/>
      <c r="CW78" s="228"/>
      <c r="CX78" s="228"/>
      <c r="CY78" s="228"/>
      <c r="CZ78" s="228"/>
      <c r="DA78" s="228"/>
      <c r="DB78" s="228"/>
    </row>
    <row r="79" ht="12.0" customHeight="1">
      <c r="A79" s="228"/>
      <c r="B79" s="228"/>
      <c r="C79" s="228"/>
      <c r="D79" s="228"/>
      <c r="E79" s="228"/>
      <c r="F79" s="228"/>
      <c r="G79" s="228"/>
      <c r="H79" s="228"/>
      <c r="I79" s="228"/>
      <c r="J79" s="228"/>
      <c r="K79" s="228"/>
      <c r="L79" s="228"/>
      <c r="M79" s="228"/>
      <c r="N79" s="228"/>
      <c r="O79" s="228"/>
      <c r="P79" s="228"/>
      <c r="Q79" s="228"/>
      <c r="R79" s="228"/>
      <c r="S79" s="228"/>
      <c r="T79" s="228"/>
      <c r="U79" s="228"/>
      <c r="V79" s="228"/>
      <c r="W79" s="228"/>
      <c r="X79" s="228"/>
      <c r="Y79" s="228"/>
      <c r="Z79" s="228"/>
      <c r="AA79" s="228"/>
      <c r="AB79" s="228"/>
      <c r="AC79" s="228"/>
      <c r="AD79" s="228"/>
      <c r="AE79" s="228"/>
      <c r="AF79" s="228"/>
      <c r="AG79" s="228"/>
      <c r="AH79" s="228"/>
      <c r="AI79" s="228"/>
      <c r="AJ79" s="228"/>
      <c r="AK79" s="228"/>
      <c r="AL79" s="228"/>
      <c r="AM79" s="228"/>
      <c r="AN79" s="228"/>
      <c r="AO79" s="228"/>
      <c r="AP79" s="228"/>
      <c r="AQ79" s="228"/>
      <c r="AR79" s="228"/>
      <c r="AS79" s="228"/>
      <c r="AT79" s="228"/>
      <c r="AU79" s="228"/>
      <c r="AV79" s="228"/>
      <c r="AW79" s="228"/>
      <c r="AX79" s="228"/>
      <c r="AY79" s="228"/>
      <c r="AZ79" s="228"/>
      <c r="BA79" s="228"/>
      <c r="BB79" s="228"/>
      <c r="BC79" s="228"/>
      <c r="BD79" s="228"/>
      <c r="BE79" s="228"/>
      <c r="BF79" s="228"/>
      <c r="BG79" s="228"/>
      <c r="BH79" s="228"/>
      <c r="BI79" s="228"/>
      <c r="BJ79" s="228"/>
      <c r="BK79" s="228"/>
      <c r="BL79" s="228"/>
      <c r="BM79" s="228"/>
      <c r="BN79" s="228"/>
      <c r="BO79" s="228"/>
      <c r="BP79" s="228"/>
      <c r="BQ79" s="228"/>
      <c r="BR79" s="228"/>
      <c r="BS79" s="228"/>
      <c r="BT79" s="228"/>
      <c r="BU79" s="228"/>
      <c r="BV79" s="228"/>
      <c r="BW79" s="228"/>
      <c r="BX79" s="228"/>
      <c r="BY79" s="228"/>
      <c r="BZ79" s="228"/>
      <c r="CA79" s="228"/>
      <c r="CB79" s="228"/>
      <c r="CC79" s="228"/>
      <c r="CD79" s="228"/>
      <c r="CE79" s="228"/>
      <c r="CF79" s="228"/>
      <c r="CG79" s="228"/>
      <c r="CH79" s="228"/>
      <c r="CI79" s="228"/>
      <c r="CJ79" s="228"/>
      <c r="CK79" s="228"/>
      <c r="CL79" s="228"/>
      <c r="CM79" s="228"/>
      <c r="CN79" s="228"/>
      <c r="CO79" s="228"/>
      <c r="CP79" s="228"/>
      <c r="CQ79" s="228"/>
      <c r="CR79" s="228"/>
      <c r="CS79" s="228"/>
      <c r="CT79" s="228"/>
      <c r="CU79" s="228"/>
      <c r="CV79" s="228"/>
      <c r="CW79" s="228"/>
      <c r="CX79" s="228"/>
      <c r="CY79" s="228"/>
      <c r="CZ79" s="228"/>
      <c r="DA79" s="228"/>
      <c r="DB79" s="228"/>
    </row>
    <row r="80" ht="12.0" customHeight="1">
      <c r="A80" s="228"/>
      <c r="B80" s="228"/>
      <c r="C80" s="228"/>
      <c r="D80" s="228"/>
      <c r="E80" s="228"/>
      <c r="F80" s="228"/>
      <c r="G80" s="228"/>
      <c r="H80" s="228"/>
      <c r="I80" s="228"/>
      <c r="J80" s="228"/>
      <c r="K80" s="228"/>
      <c r="L80" s="228"/>
      <c r="M80" s="228"/>
      <c r="N80" s="228"/>
      <c r="O80" s="228"/>
      <c r="P80" s="228"/>
      <c r="Q80" s="228"/>
      <c r="R80" s="228"/>
      <c r="S80" s="228"/>
      <c r="T80" s="228"/>
      <c r="U80" s="228"/>
      <c r="V80" s="228"/>
      <c r="W80" s="228"/>
      <c r="X80" s="228"/>
      <c r="Y80" s="228"/>
      <c r="Z80" s="228"/>
      <c r="AA80" s="228"/>
      <c r="AB80" s="228"/>
      <c r="AC80" s="228"/>
      <c r="AD80" s="228"/>
      <c r="AE80" s="228"/>
      <c r="AF80" s="228"/>
      <c r="AG80" s="228"/>
      <c r="AH80" s="228"/>
      <c r="AI80" s="228"/>
      <c r="AJ80" s="228"/>
      <c r="AK80" s="228"/>
      <c r="AL80" s="228"/>
      <c r="AM80" s="228"/>
      <c r="AN80" s="228"/>
      <c r="AO80" s="228"/>
      <c r="AP80" s="228"/>
      <c r="AQ80" s="228"/>
      <c r="AR80" s="228"/>
      <c r="AS80" s="228"/>
      <c r="AT80" s="228"/>
      <c r="AU80" s="228"/>
      <c r="AV80" s="228"/>
      <c r="AW80" s="228"/>
      <c r="AX80" s="228"/>
      <c r="AY80" s="228"/>
      <c r="AZ80" s="228"/>
      <c r="BA80" s="228"/>
      <c r="BB80" s="228"/>
      <c r="BC80" s="228"/>
      <c r="BD80" s="228"/>
      <c r="BE80" s="228"/>
      <c r="BF80" s="228"/>
      <c r="BG80" s="228"/>
      <c r="BH80" s="228"/>
      <c r="BI80" s="228"/>
      <c r="BJ80" s="228"/>
      <c r="BK80" s="228"/>
      <c r="BL80" s="228"/>
      <c r="BM80" s="228"/>
      <c r="BN80" s="228"/>
      <c r="BO80" s="228"/>
      <c r="BP80" s="228"/>
      <c r="BQ80" s="228"/>
      <c r="BR80" s="228"/>
      <c r="BS80" s="228"/>
      <c r="BT80" s="228"/>
      <c r="BU80" s="228"/>
      <c r="BV80" s="228"/>
      <c r="BW80" s="228"/>
      <c r="BX80" s="228"/>
      <c r="BY80" s="228"/>
      <c r="BZ80" s="228"/>
      <c r="CA80" s="228"/>
      <c r="CB80" s="228"/>
      <c r="CC80" s="228"/>
      <c r="CD80" s="228"/>
      <c r="CE80" s="228"/>
      <c r="CF80" s="228"/>
      <c r="CG80" s="228"/>
      <c r="CH80" s="228"/>
      <c r="CI80" s="228"/>
      <c r="CJ80" s="228"/>
      <c r="CK80" s="228"/>
      <c r="CL80" s="228"/>
      <c r="CM80" s="228"/>
      <c r="CN80" s="228"/>
      <c r="CO80" s="228"/>
      <c r="CP80" s="228"/>
      <c r="CQ80" s="228"/>
      <c r="CR80" s="228"/>
      <c r="CS80" s="228"/>
      <c r="CT80" s="228"/>
      <c r="CU80" s="228"/>
      <c r="CV80" s="228"/>
      <c r="CW80" s="228"/>
      <c r="CX80" s="228"/>
      <c r="CY80" s="228"/>
      <c r="CZ80" s="228"/>
      <c r="DA80" s="228"/>
      <c r="DB80" s="228"/>
    </row>
    <row r="81" ht="12.0" customHeight="1">
      <c r="A81" s="228"/>
      <c r="B81" s="228"/>
      <c r="C81" s="228"/>
      <c r="D81" s="228"/>
      <c r="E81" s="228"/>
      <c r="F81" s="228"/>
      <c r="G81" s="228"/>
      <c r="H81" s="228"/>
      <c r="I81" s="228"/>
      <c r="J81" s="228"/>
      <c r="K81" s="228"/>
      <c r="L81" s="228"/>
      <c r="M81" s="228"/>
      <c r="N81" s="228"/>
      <c r="O81" s="228"/>
      <c r="P81" s="228"/>
      <c r="Q81" s="228"/>
      <c r="R81" s="228"/>
      <c r="S81" s="228"/>
      <c r="T81" s="228"/>
      <c r="U81" s="228"/>
      <c r="V81" s="228"/>
      <c r="W81" s="228"/>
      <c r="X81" s="228"/>
      <c r="Y81" s="228"/>
      <c r="Z81" s="228"/>
      <c r="AA81" s="228"/>
      <c r="AB81" s="228"/>
      <c r="AC81" s="228"/>
      <c r="AD81" s="228"/>
      <c r="AE81" s="228"/>
      <c r="AF81" s="228"/>
      <c r="AG81" s="228"/>
      <c r="AH81" s="228"/>
      <c r="AI81" s="228"/>
      <c r="AJ81" s="228"/>
      <c r="AK81" s="228"/>
      <c r="AL81" s="228"/>
      <c r="AM81" s="228"/>
      <c r="AN81" s="228"/>
      <c r="AO81" s="228"/>
      <c r="AP81" s="228"/>
      <c r="AQ81" s="228"/>
      <c r="AR81" s="228"/>
      <c r="AS81" s="228"/>
      <c r="AT81" s="228"/>
      <c r="AU81" s="228"/>
      <c r="AV81" s="228"/>
      <c r="AW81" s="228"/>
      <c r="AX81" s="228"/>
      <c r="AY81" s="228"/>
      <c r="AZ81" s="228"/>
      <c r="BA81" s="228"/>
      <c r="BB81" s="228"/>
      <c r="BC81" s="228"/>
      <c r="BD81" s="228"/>
      <c r="BE81" s="228"/>
      <c r="BF81" s="228"/>
      <c r="BG81" s="228"/>
      <c r="BH81" s="228"/>
      <c r="BI81" s="228"/>
      <c r="BJ81" s="228"/>
      <c r="BK81" s="228"/>
      <c r="BL81" s="228"/>
      <c r="BM81" s="228"/>
      <c r="BN81" s="228"/>
      <c r="BO81" s="228"/>
      <c r="BP81" s="228"/>
      <c r="BQ81" s="228"/>
      <c r="BR81" s="228"/>
      <c r="BS81" s="228"/>
      <c r="BT81" s="228"/>
      <c r="BU81" s="228"/>
      <c r="BV81" s="228"/>
      <c r="BW81" s="228"/>
      <c r="BX81" s="228"/>
      <c r="BY81" s="228"/>
      <c r="BZ81" s="228"/>
      <c r="CA81" s="228"/>
      <c r="CB81" s="228"/>
      <c r="CC81" s="228"/>
      <c r="CD81" s="228"/>
      <c r="CE81" s="228"/>
      <c r="CF81" s="228"/>
      <c r="CG81" s="228"/>
      <c r="CH81" s="228"/>
      <c r="CI81" s="228"/>
      <c r="CJ81" s="228"/>
      <c r="CK81" s="228"/>
      <c r="CL81" s="228"/>
      <c r="CM81" s="228"/>
      <c r="CN81" s="228"/>
      <c r="CO81" s="228"/>
      <c r="CP81" s="228"/>
      <c r="CQ81" s="228"/>
      <c r="CR81" s="228"/>
      <c r="CS81" s="228"/>
      <c r="CT81" s="228"/>
      <c r="CU81" s="228"/>
      <c r="CV81" s="228"/>
      <c r="CW81" s="228"/>
      <c r="CX81" s="228"/>
      <c r="CY81" s="228"/>
      <c r="CZ81" s="228"/>
      <c r="DA81" s="228"/>
      <c r="DB81" s="228"/>
    </row>
    <row r="82" ht="12.0" customHeight="1">
      <c r="A82" s="228"/>
      <c r="B82" s="228"/>
      <c r="C82" s="228"/>
      <c r="D82" s="228"/>
      <c r="E82" s="228"/>
      <c r="F82" s="228"/>
      <c r="G82" s="228"/>
      <c r="H82" s="228"/>
      <c r="I82" s="228"/>
      <c r="J82" s="228"/>
      <c r="K82" s="228"/>
      <c r="L82" s="228"/>
      <c r="M82" s="228"/>
      <c r="N82" s="228"/>
      <c r="O82" s="228"/>
      <c r="P82" s="228"/>
      <c r="Q82" s="228"/>
      <c r="R82" s="228"/>
      <c r="S82" s="228"/>
      <c r="T82" s="228"/>
      <c r="U82" s="228"/>
      <c r="V82" s="228"/>
      <c r="W82" s="228"/>
      <c r="X82" s="228"/>
      <c r="Y82" s="228"/>
      <c r="Z82" s="228"/>
      <c r="AA82" s="228"/>
      <c r="AB82" s="228"/>
      <c r="AC82" s="228"/>
      <c r="AD82" s="228"/>
      <c r="AE82" s="228"/>
      <c r="AF82" s="228"/>
      <c r="AG82" s="228"/>
      <c r="AH82" s="228"/>
      <c r="AI82" s="228"/>
      <c r="AJ82" s="228"/>
      <c r="AK82" s="228"/>
      <c r="AL82" s="228"/>
      <c r="AM82" s="228"/>
      <c r="AN82" s="228"/>
      <c r="AO82" s="228"/>
      <c r="AP82" s="228"/>
      <c r="AQ82" s="228"/>
      <c r="AR82" s="228"/>
      <c r="AS82" s="228"/>
      <c r="AT82" s="228"/>
      <c r="AU82" s="228"/>
      <c r="AV82" s="228"/>
      <c r="AW82" s="228"/>
      <c r="AX82" s="228"/>
      <c r="AY82" s="228"/>
      <c r="AZ82" s="228"/>
      <c r="BA82" s="228"/>
      <c r="BB82" s="228"/>
      <c r="BC82" s="228"/>
      <c r="BD82" s="228"/>
      <c r="BE82" s="228"/>
      <c r="BF82" s="228"/>
      <c r="BG82" s="228"/>
      <c r="BH82" s="228"/>
      <c r="BI82" s="228"/>
      <c r="BJ82" s="228"/>
      <c r="BK82" s="228"/>
      <c r="BL82" s="228"/>
      <c r="BM82" s="228"/>
      <c r="BN82" s="228"/>
      <c r="BO82" s="228"/>
      <c r="BP82" s="228"/>
      <c r="BQ82" s="228"/>
      <c r="BR82" s="228"/>
      <c r="BS82" s="228"/>
      <c r="BT82" s="228"/>
      <c r="BU82" s="228"/>
      <c r="BV82" s="228"/>
      <c r="BW82" s="228"/>
      <c r="BX82" s="228"/>
      <c r="BY82" s="228"/>
      <c r="BZ82" s="228"/>
      <c r="CA82" s="228"/>
      <c r="CB82" s="228"/>
      <c r="CC82" s="228"/>
      <c r="CD82" s="228"/>
      <c r="CE82" s="228"/>
      <c r="CF82" s="228"/>
      <c r="CG82" s="228"/>
      <c r="CH82" s="228"/>
      <c r="CI82" s="228"/>
      <c r="CJ82" s="228"/>
      <c r="CK82" s="228"/>
      <c r="CL82" s="228"/>
      <c r="CM82" s="228"/>
      <c r="CN82" s="228"/>
      <c r="CO82" s="228"/>
      <c r="CP82" s="228"/>
      <c r="CQ82" s="228"/>
      <c r="CR82" s="228"/>
      <c r="CS82" s="228"/>
      <c r="CT82" s="228"/>
      <c r="CU82" s="228"/>
      <c r="CV82" s="228"/>
      <c r="CW82" s="228"/>
      <c r="CX82" s="228"/>
      <c r="CY82" s="228"/>
      <c r="CZ82" s="228"/>
      <c r="DA82" s="228"/>
      <c r="DB82" s="228"/>
    </row>
    <row r="83" ht="12.0" customHeight="1">
      <c r="A83" s="228"/>
      <c r="B83" s="228"/>
      <c r="C83" s="228"/>
      <c r="D83" s="228"/>
      <c r="E83" s="228"/>
      <c r="F83" s="228"/>
      <c r="G83" s="228"/>
      <c r="H83" s="228"/>
      <c r="I83" s="228"/>
      <c r="J83" s="228"/>
      <c r="K83" s="228"/>
      <c r="L83" s="228"/>
      <c r="M83" s="228"/>
      <c r="N83" s="228"/>
      <c r="O83" s="228"/>
      <c r="P83" s="228"/>
      <c r="Q83" s="228"/>
      <c r="R83" s="228"/>
      <c r="S83" s="228"/>
      <c r="T83" s="228"/>
      <c r="U83" s="228"/>
      <c r="V83" s="228"/>
      <c r="W83" s="228"/>
      <c r="X83" s="228"/>
      <c r="Y83" s="228"/>
      <c r="Z83" s="228"/>
      <c r="AA83" s="228"/>
      <c r="AB83" s="228"/>
      <c r="AC83" s="228"/>
      <c r="AD83" s="228"/>
      <c r="AE83" s="228"/>
      <c r="AF83" s="228"/>
      <c r="AG83" s="228"/>
      <c r="AH83" s="228"/>
      <c r="AI83" s="228"/>
      <c r="AJ83" s="228"/>
      <c r="AK83" s="228"/>
      <c r="AL83" s="228"/>
      <c r="AM83" s="228"/>
      <c r="AN83" s="228"/>
      <c r="AO83" s="228"/>
      <c r="AP83" s="228"/>
      <c r="AQ83" s="228"/>
      <c r="AR83" s="228"/>
      <c r="AS83" s="228"/>
      <c r="AT83" s="228"/>
      <c r="AU83" s="228"/>
      <c r="AV83" s="228"/>
      <c r="AW83" s="228"/>
      <c r="AX83" s="228"/>
      <c r="AY83" s="228"/>
      <c r="AZ83" s="228"/>
      <c r="BA83" s="228"/>
      <c r="BB83" s="228"/>
      <c r="BC83" s="228"/>
      <c r="BD83" s="228"/>
      <c r="BE83" s="228"/>
      <c r="BF83" s="228"/>
      <c r="BG83" s="228"/>
      <c r="BH83" s="228"/>
      <c r="BI83" s="228"/>
      <c r="BJ83" s="228"/>
      <c r="BK83" s="228"/>
      <c r="BL83" s="228"/>
      <c r="BM83" s="228"/>
      <c r="BN83" s="228"/>
      <c r="BO83" s="228"/>
      <c r="BP83" s="228"/>
      <c r="BQ83" s="228"/>
      <c r="BR83" s="228"/>
      <c r="BS83" s="228"/>
      <c r="BT83" s="228"/>
      <c r="BU83" s="228"/>
      <c r="BV83" s="228"/>
      <c r="BW83" s="228"/>
      <c r="BX83" s="228"/>
      <c r="BY83" s="228"/>
      <c r="BZ83" s="228"/>
      <c r="CA83" s="228"/>
      <c r="CB83" s="228"/>
      <c r="CC83" s="228"/>
      <c r="CD83" s="228"/>
      <c r="CE83" s="228"/>
      <c r="CF83" s="228"/>
      <c r="CG83" s="228"/>
      <c r="CH83" s="228"/>
      <c r="CI83" s="228"/>
      <c r="CJ83" s="228"/>
      <c r="CK83" s="228"/>
      <c r="CL83" s="228"/>
      <c r="CM83" s="228"/>
      <c r="CN83" s="228"/>
      <c r="CO83" s="228"/>
      <c r="CP83" s="228"/>
      <c r="CQ83" s="228"/>
      <c r="CR83" s="228"/>
      <c r="CS83" s="228"/>
      <c r="CT83" s="228"/>
      <c r="CU83" s="228"/>
      <c r="CV83" s="228"/>
      <c r="CW83" s="228"/>
      <c r="CX83" s="228"/>
      <c r="CY83" s="228"/>
      <c r="CZ83" s="228"/>
      <c r="DA83" s="228"/>
      <c r="DB83" s="228"/>
    </row>
    <row r="84" ht="12.0" customHeight="1">
      <c r="A84" s="228"/>
      <c r="B84" s="228"/>
      <c r="C84" s="228"/>
      <c r="D84" s="228"/>
      <c r="E84" s="228"/>
      <c r="F84" s="228"/>
      <c r="G84" s="228"/>
      <c r="H84" s="228"/>
      <c r="I84" s="228"/>
      <c r="J84" s="228"/>
      <c r="K84" s="228"/>
      <c r="L84" s="228"/>
      <c r="M84" s="228"/>
      <c r="N84" s="228"/>
      <c r="O84" s="228"/>
      <c r="P84" s="228"/>
      <c r="Q84" s="228"/>
      <c r="R84" s="228"/>
      <c r="S84" s="228"/>
      <c r="T84" s="228"/>
      <c r="U84" s="228"/>
      <c r="V84" s="228"/>
      <c r="W84" s="228"/>
      <c r="X84" s="228"/>
      <c r="Y84" s="228"/>
      <c r="Z84" s="228"/>
      <c r="AA84" s="228"/>
      <c r="AB84" s="228"/>
      <c r="AC84" s="228"/>
      <c r="AD84" s="228"/>
      <c r="AE84" s="228"/>
      <c r="AF84" s="228"/>
      <c r="AG84" s="228"/>
      <c r="AH84" s="228"/>
      <c r="AI84" s="228"/>
      <c r="AJ84" s="228"/>
      <c r="AK84" s="228"/>
      <c r="AL84" s="228"/>
      <c r="AM84" s="228"/>
      <c r="AN84" s="228"/>
      <c r="AO84" s="228"/>
      <c r="AP84" s="228"/>
      <c r="AQ84" s="228"/>
      <c r="AR84" s="228"/>
      <c r="AS84" s="228"/>
      <c r="AT84" s="228"/>
      <c r="AU84" s="228"/>
      <c r="AV84" s="228"/>
      <c r="AW84" s="228"/>
      <c r="AX84" s="228"/>
      <c r="AY84" s="228"/>
      <c r="AZ84" s="228"/>
      <c r="BA84" s="228"/>
      <c r="BB84" s="228"/>
      <c r="BC84" s="228"/>
      <c r="BD84" s="228"/>
      <c r="BE84" s="228"/>
      <c r="BF84" s="228"/>
      <c r="BG84" s="228"/>
      <c r="BH84" s="228"/>
      <c r="BI84" s="228"/>
      <c r="BJ84" s="228"/>
      <c r="BK84" s="228"/>
      <c r="BL84" s="228"/>
      <c r="BM84" s="228"/>
      <c r="BN84" s="228"/>
      <c r="BO84" s="228"/>
      <c r="BP84" s="228"/>
      <c r="BQ84" s="228"/>
      <c r="BR84" s="228"/>
      <c r="BS84" s="228"/>
      <c r="BT84" s="228"/>
      <c r="BU84" s="228"/>
      <c r="BV84" s="228"/>
      <c r="BW84" s="228"/>
      <c r="BX84" s="228"/>
      <c r="BY84" s="228"/>
      <c r="BZ84" s="228"/>
      <c r="CA84" s="228"/>
      <c r="CB84" s="228"/>
      <c r="CC84" s="228"/>
      <c r="CD84" s="228"/>
      <c r="CE84" s="228"/>
      <c r="CF84" s="228"/>
      <c r="CG84" s="228"/>
      <c r="CH84" s="228"/>
      <c r="CI84" s="228"/>
      <c r="CJ84" s="228"/>
      <c r="CK84" s="228"/>
      <c r="CL84" s="228"/>
      <c r="CM84" s="228"/>
      <c r="CN84" s="228"/>
      <c r="CO84" s="228"/>
      <c r="CP84" s="228"/>
      <c r="CQ84" s="228"/>
      <c r="CR84" s="228"/>
      <c r="CS84" s="228"/>
      <c r="CT84" s="228"/>
      <c r="CU84" s="228"/>
      <c r="CV84" s="228"/>
      <c r="CW84" s="228"/>
      <c r="CX84" s="228"/>
      <c r="CY84" s="228"/>
      <c r="CZ84" s="228"/>
      <c r="DA84" s="228"/>
      <c r="DB84" s="228"/>
    </row>
    <row r="85" ht="12.0" customHeight="1">
      <c r="A85" s="228"/>
      <c r="B85" s="228"/>
      <c r="C85" s="228"/>
      <c r="D85" s="228"/>
      <c r="E85" s="228"/>
      <c r="F85" s="228"/>
      <c r="G85" s="228"/>
      <c r="H85" s="228"/>
      <c r="I85" s="228"/>
      <c r="J85" s="228"/>
      <c r="K85" s="228"/>
      <c r="L85" s="228"/>
      <c r="M85" s="228"/>
      <c r="N85" s="228"/>
      <c r="O85" s="228"/>
      <c r="P85" s="228"/>
      <c r="Q85" s="228"/>
      <c r="R85" s="228"/>
      <c r="S85" s="228"/>
      <c r="T85" s="228"/>
      <c r="U85" s="228"/>
      <c r="V85" s="228"/>
      <c r="W85" s="228"/>
      <c r="X85" s="228"/>
      <c r="Y85" s="228"/>
      <c r="Z85" s="228"/>
      <c r="AA85" s="228"/>
      <c r="AB85" s="228"/>
      <c r="AC85" s="228"/>
      <c r="AD85" s="228"/>
      <c r="AE85" s="228"/>
      <c r="AF85" s="228"/>
      <c r="AG85" s="228"/>
      <c r="AH85" s="228"/>
      <c r="AI85" s="228"/>
      <c r="AJ85" s="228"/>
      <c r="AK85" s="228"/>
      <c r="AL85" s="228"/>
      <c r="AM85" s="228"/>
      <c r="AN85" s="228"/>
      <c r="AO85" s="228"/>
      <c r="AP85" s="228"/>
      <c r="AQ85" s="228"/>
      <c r="AR85" s="228"/>
      <c r="AS85" s="228"/>
      <c r="AT85" s="228"/>
      <c r="AU85" s="228"/>
      <c r="AV85" s="228"/>
      <c r="AW85" s="228"/>
      <c r="AX85" s="228"/>
      <c r="AY85" s="228"/>
      <c r="AZ85" s="228"/>
      <c r="BA85" s="228"/>
      <c r="BB85" s="228"/>
      <c r="BC85" s="228"/>
      <c r="BD85" s="228"/>
      <c r="BE85" s="228"/>
      <c r="BF85" s="228"/>
      <c r="BG85" s="228"/>
      <c r="BH85" s="228"/>
      <c r="BI85" s="228"/>
      <c r="BJ85" s="228"/>
      <c r="BK85" s="228"/>
      <c r="BL85" s="228"/>
      <c r="BM85" s="228"/>
      <c r="BN85" s="228"/>
      <c r="BO85" s="228"/>
      <c r="BP85" s="228"/>
      <c r="BQ85" s="228"/>
      <c r="BR85" s="228"/>
      <c r="BS85" s="228"/>
      <c r="BT85" s="228"/>
      <c r="BU85" s="228"/>
      <c r="BV85" s="228"/>
      <c r="BW85" s="228"/>
      <c r="BX85" s="228"/>
      <c r="BY85" s="228"/>
      <c r="BZ85" s="228"/>
      <c r="CA85" s="228"/>
      <c r="CB85" s="228"/>
      <c r="CC85" s="228"/>
      <c r="CD85" s="228"/>
      <c r="CE85" s="228"/>
      <c r="CF85" s="228"/>
      <c r="CG85" s="228"/>
      <c r="CH85" s="228"/>
      <c r="CI85" s="228"/>
      <c r="CJ85" s="228"/>
      <c r="CK85" s="228"/>
      <c r="CL85" s="228"/>
      <c r="CM85" s="228"/>
      <c r="CN85" s="228"/>
      <c r="CO85" s="228"/>
      <c r="CP85" s="228"/>
      <c r="CQ85" s="228"/>
      <c r="CR85" s="228"/>
      <c r="CS85" s="228"/>
      <c r="CT85" s="228"/>
      <c r="CU85" s="228"/>
      <c r="CV85" s="228"/>
      <c r="CW85" s="228"/>
      <c r="CX85" s="228"/>
      <c r="CY85" s="228"/>
      <c r="CZ85" s="228"/>
      <c r="DA85" s="228"/>
      <c r="DB85" s="228"/>
    </row>
    <row r="86" ht="12.0" customHeight="1">
      <c r="A86" s="228"/>
      <c r="B86" s="228"/>
      <c r="C86" s="228"/>
      <c r="D86" s="228"/>
      <c r="E86" s="228"/>
      <c r="F86" s="228"/>
      <c r="G86" s="228"/>
      <c r="H86" s="228"/>
      <c r="I86" s="228"/>
      <c r="J86" s="228"/>
      <c r="K86" s="228"/>
      <c r="L86" s="228"/>
      <c r="M86" s="228"/>
      <c r="N86" s="228"/>
      <c r="O86" s="228"/>
      <c r="P86" s="228"/>
      <c r="Q86" s="228"/>
      <c r="R86" s="228"/>
      <c r="S86" s="228"/>
      <c r="T86" s="228"/>
      <c r="U86" s="228"/>
      <c r="V86" s="228"/>
      <c r="W86" s="228"/>
      <c r="X86" s="228"/>
      <c r="Y86" s="228"/>
      <c r="Z86" s="228"/>
      <c r="AA86" s="228"/>
      <c r="AB86" s="228"/>
      <c r="AC86" s="228"/>
      <c r="AD86" s="228"/>
      <c r="AE86" s="228"/>
      <c r="AF86" s="228"/>
      <c r="AG86" s="228"/>
      <c r="AH86" s="228"/>
      <c r="AI86" s="228"/>
      <c r="AJ86" s="228"/>
      <c r="AK86" s="228"/>
      <c r="AL86" s="228"/>
      <c r="AM86" s="228"/>
      <c r="AN86" s="228"/>
      <c r="AO86" s="228"/>
      <c r="AP86" s="228"/>
      <c r="AQ86" s="228"/>
      <c r="AR86" s="228"/>
      <c r="AS86" s="228"/>
      <c r="AT86" s="228"/>
      <c r="AU86" s="228"/>
      <c r="AV86" s="228"/>
      <c r="AW86" s="228"/>
      <c r="AX86" s="228"/>
      <c r="AY86" s="228"/>
      <c r="AZ86" s="228"/>
      <c r="BA86" s="228"/>
      <c r="BB86" s="228"/>
      <c r="BC86" s="228"/>
      <c r="BD86" s="228"/>
      <c r="BE86" s="228"/>
      <c r="BF86" s="228"/>
      <c r="BG86" s="228"/>
      <c r="BH86" s="228"/>
      <c r="BI86" s="228"/>
      <c r="BJ86" s="228"/>
      <c r="BK86" s="228"/>
      <c r="BL86" s="228"/>
      <c r="BM86" s="228"/>
      <c r="BN86" s="228"/>
      <c r="BO86" s="228"/>
      <c r="BP86" s="228"/>
      <c r="BQ86" s="228"/>
      <c r="BR86" s="228"/>
      <c r="BS86" s="228"/>
      <c r="BT86" s="228"/>
      <c r="BU86" s="228"/>
      <c r="BV86" s="228"/>
      <c r="BW86" s="228"/>
      <c r="BX86" s="228"/>
      <c r="BY86" s="228"/>
      <c r="BZ86" s="228"/>
      <c r="CA86" s="228"/>
      <c r="CB86" s="228"/>
      <c r="CC86" s="228"/>
      <c r="CD86" s="228"/>
      <c r="CE86" s="228"/>
      <c r="CF86" s="228"/>
      <c r="CG86" s="228"/>
      <c r="CH86" s="228"/>
      <c r="CI86" s="228"/>
      <c r="CJ86" s="228"/>
      <c r="CK86" s="228"/>
      <c r="CL86" s="228"/>
      <c r="CM86" s="228"/>
      <c r="CN86" s="228"/>
      <c r="CO86" s="228"/>
      <c r="CP86" s="228"/>
      <c r="CQ86" s="228"/>
      <c r="CR86" s="228"/>
      <c r="CS86" s="228"/>
      <c r="CT86" s="228"/>
      <c r="CU86" s="228"/>
      <c r="CV86" s="228"/>
      <c r="CW86" s="228"/>
      <c r="CX86" s="228"/>
      <c r="CY86" s="228"/>
      <c r="CZ86" s="228"/>
      <c r="DA86" s="228"/>
      <c r="DB86" s="228"/>
    </row>
    <row r="87" ht="12.0" customHeight="1">
      <c r="A87" s="228"/>
      <c r="B87" s="228"/>
      <c r="C87" s="228"/>
      <c r="D87" s="228"/>
      <c r="E87" s="228"/>
      <c r="F87" s="228"/>
      <c r="G87" s="228"/>
      <c r="H87" s="228"/>
      <c r="I87" s="228"/>
      <c r="J87" s="228"/>
      <c r="K87" s="228"/>
      <c r="L87" s="228"/>
      <c r="M87" s="228"/>
      <c r="N87" s="228"/>
      <c r="O87" s="228"/>
      <c r="P87" s="228"/>
      <c r="Q87" s="228"/>
      <c r="R87" s="228"/>
      <c r="S87" s="228"/>
      <c r="T87" s="228"/>
      <c r="U87" s="228"/>
      <c r="V87" s="228"/>
      <c r="W87" s="228"/>
      <c r="X87" s="228"/>
      <c r="Y87" s="228"/>
      <c r="Z87" s="228"/>
      <c r="AA87" s="228"/>
      <c r="AB87" s="228"/>
      <c r="AC87" s="228"/>
      <c r="AD87" s="228"/>
      <c r="AE87" s="228"/>
      <c r="AF87" s="228"/>
      <c r="AG87" s="228"/>
      <c r="AH87" s="228"/>
      <c r="AI87" s="228"/>
      <c r="AJ87" s="228"/>
      <c r="AK87" s="228"/>
      <c r="AL87" s="228"/>
      <c r="AM87" s="228"/>
      <c r="AN87" s="228"/>
      <c r="AO87" s="228"/>
      <c r="AP87" s="228"/>
      <c r="AQ87" s="228"/>
      <c r="AR87" s="228"/>
      <c r="AS87" s="228"/>
      <c r="AT87" s="228"/>
      <c r="AU87" s="228"/>
      <c r="AV87" s="228"/>
      <c r="AW87" s="228"/>
      <c r="AX87" s="228"/>
      <c r="AY87" s="228"/>
      <c r="AZ87" s="228"/>
      <c r="BA87" s="228"/>
      <c r="BB87" s="228"/>
      <c r="BC87" s="228"/>
      <c r="BD87" s="228"/>
      <c r="BE87" s="228"/>
      <c r="BF87" s="228"/>
      <c r="BG87" s="228"/>
      <c r="BH87" s="228"/>
      <c r="BI87" s="228"/>
      <c r="BJ87" s="228"/>
      <c r="BK87" s="228"/>
      <c r="BL87" s="228"/>
      <c r="BM87" s="228"/>
      <c r="BN87" s="228"/>
      <c r="BO87" s="228"/>
      <c r="BP87" s="228"/>
      <c r="BQ87" s="228"/>
      <c r="BR87" s="228"/>
      <c r="BS87" s="228"/>
      <c r="BT87" s="228"/>
      <c r="BU87" s="228"/>
      <c r="BV87" s="228"/>
      <c r="BW87" s="228"/>
      <c r="BX87" s="228"/>
      <c r="BY87" s="228"/>
      <c r="BZ87" s="228"/>
      <c r="CA87" s="228"/>
      <c r="CB87" s="228"/>
      <c r="CC87" s="228"/>
      <c r="CD87" s="228"/>
      <c r="CE87" s="228"/>
      <c r="CF87" s="228"/>
      <c r="CG87" s="228"/>
      <c r="CH87" s="228"/>
      <c r="CI87" s="228"/>
      <c r="CJ87" s="228"/>
      <c r="CK87" s="228"/>
      <c r="CL87" s="228"/>
      <c r="CM87" s="228"/>
      <c r="CN87" s="228"/>
      <c r="CO87" s="228"/>
      <c r="CP87" s="228"/>
      <c r="CQ87" s="228"/>
      <c r="CR87" s="228"/>
      <c r="CS87" s="228"/>
      <c r="CT87" s="228"/>
      <c r="CU87" s="228"/>
      <c r="CV87" s="228"/>
      <c r="CW87" s="228"/>
      <c r="CX87" s="228"/>
      <c r="CY87" s="228"/>
      <c r="CZ87" s="228"/>
      <c r="DA87" s="228"/>
      <c r="DB87" s="228"/>
    </row>
    <row r="88" ht="12.0" customHeight="1">
      <c r="A88" s="228"/>
      <c r="B88" s="228"/>
      <c r="C88" s="228"/>
      <c r="D88" s="228"/>
      <c r="E88" s="228"/>
      <c r="F88" s="228"/>
      <c r="G88" s="228"/>
      <c r="H88" s="228"/>
      <c r="I88" s="228"/>
      <c r="J88" s="228"/>
      <c r="K88" s="228"/>
      <c r="L88" s="228"/>
      <c r="M88" s="228"/>
      <c r="N88" s="228"/>
      <c r="O88" s="228"/>
      <c r="P88" s="228"/>
      <c r="Q88" s="228"/>
      <c r="R88" s="228"/>
      <c r="S88" s="228"/>
      <c r="T88" s="228"/>
      <c r="U88" s="228"/>
      <c r="V88" s="228"/>
      <c r="W88" s="228"/>
      <c r="X88" s="228"/>
      <c r="Y88" s="228"/>
      <c r="Z88" s="228"/>
      <c r="AA88" s="228"/>
      <c r="AB88" s="228"/>
      <c r="AC88" s="228"/>
      <c r="AD88" s="228"/>
      <c r="AE88" s="228"/>
      <c r="AF88" s="228"/>
      <c r="AG88" s="228"/>
      <c r="AH88" s="228"/>
      <c r="AI88" s="228"/>
      <c r="AJ88" s="228"/>
      <c r="AK88" s="228"/>
      <c r="AL88" s="228"/>
      <c r="AM88" s="228"/>
      <c r="AN88" s="228"/>
      <c r="AO88" s="228"/>
      <c r="AP88" s="228"/>
      <c r="AQ88" s="228"/>
      <c r="AR88" s="228"/>
      <c r="AS88" s="228"/>
      <c r="AT88" s="228"/>
      <c r="AU88" s="228"/>
      <c r="AV88" s="228"/>
      <c r="AW88" s="228"/>
      <c r="AX88" s="228"/>
      <c r="AY88" s="228"/>
      <c r="AZ88" s="228"/>
      <c r="BA88" s="228"/>
      <c r="BB88" s="228"/>
      <c r="BC88" s="228"/>
      <c r="BD88" s="228"/>
      <c r="BE88" s="228"/>
      <c r="BF88" s="228"/>
      <c r="BG88" s="228"/>
      <c r="BH88" s="228"/>
      <c r="BI88" s="228"/>
      <c r="BJ88" s="228"/>
      <c r="BK88" s="228"/>
      <c r="BL88" s="228"/>
      <c r="BM88" s="228"/>
      <c r="BN88" s="228"/>
      <c r="BO88" s="228"/>
      <c r="BP88" s="228"/>
      <c r="BQ88" s="228"/>
      <c r="BR88" s="228"/>
      <c r="BS88" s="228"/>
      <c r="BT88" s="228"/>
      <c r="BU88" s="228"/>
      <c r="BV88" s="228"/>
      <c r="BW88" s="228"/>
      <c r="BX88" s="228"/>
      <c r="BY88" s="228"/>
      <c r="BZ88" s="228"/>
      <c r="CA88" s="228"/>
      <c r="CB88" s="228"/>
      <c r="CC88" s="228"/>
      <c r="CD88" s="228"/>
      <c r="CE88" s="228"/>
      <c r="CF88" s="228"/>
      <c r="CG88" s="228"/>
      <c r="CH88" s="228"/>
      <c r="CI88" s="228"/>
      <c r="CJ88" s="228"/>
      <c r="CK88" s="228"/>
      <c r="CL88" s="228"/>
      <c r="CM88" s="228"/>
      <c r="CN88" s="228"/>
      <c r="CO88" s="228"/>
      <c r="CP88" s="228"/>
      <c r="CQ88" s="228"/>
      <c r="CR88" s="228"/>
      <c r="CS88" s="228"/>
      <c r="CT88" s="228"/>
      <c r="CU88" s="228"/>
      <c r="CV88" s="228"/>
      <c r="CW88" s="228"/>
      <c r="CX88" s="228"/>
      <c r="CY88" s="228"/>
      <c r="CZ88" s="228"/>
      <c r="DA88" s="228"/>
      <c r="DB88" s="228"/>
    </row>
    <row r="89" ht="12.0" customHeight="1">
      <c r="A89" s="228"/>
      <c r="B89" s="228"/>
      <c r="C89" s="228"/>
      <c r="D89" s="228"/>
      <c r="E89" s="228"/>
      <c r="F89" s="228"/>
      <c r="G89" s="228"/>
      <c r="H89" s="228"/>
      <c r="I89" s="228"/>
      <c r="J89" s="228"/>
      <c r="K89" s="228"/>
      <c r="L89" s="228"/>
      <c r="M89" s="228"/>
      <c r="N89" s="228"/>
      <c r="O89" s="228"/>
      <c r="P89" s="228"/>
      <c r="Q89" s="228"/>
      <c r="R89" s="228"/>
      <c r="S89" s="228"/>
      <c r="T89" s="228"/>
      <c r="U89" s="228"/>
      <c r="V89" s="228"/>
      <c r="W89" s="228"/>
      <c r="X89" s="228"/>
      <c r="Y89" s="228"/>
      <c r="Z89" s="228"/>
      <c r="AA89" s="228"/>
      <c r="AB89" s="228"/>
      <c r="AC89" s="228"/>
      <c r="AD89" s="228"/>
      <c r="AE89" s="228"/>
      <c r="AF89" s="228"/>
      <c r="AG89" s="228"/>
      <c r="AH89" s="228"/>
      <c r="AI89" s="228"/>
      <c r="AJ89" s="228"/>
      <c r="AK89" s="228"/>
      <c r="AL89" s="228"/>
      <c r="AM89" s="228"/>
      <c r="AN89" s="228"/>
      <c r="AO89" s="228"/>
      <c r="AP89" s="228"/>
      <c r="AQ89" s="228"/>
      <c r="AR89" s="228"/>
      <c r="AS89" s="228"/>
      <c r="AT89" s="228"/>
      <c r="AU89" s="228"/>
      <c r="AV89" s="228"/>
      <c r="AW89" s="228"/>
      <c r="AX89" s="228"/>
      <c r="AY89" s="228"/>
      <c r="AZ89" s="228"/>
      <c r="BA89" s="228"/>
      <c r="BB89" s="228"/>
      <c r="BC89" s="228"/>
      <c r="BD89" s="228"/>
      <c r="BE89" s="228"/>
      <c r="BF89" s="228"/>
      <c r="BG89" s="228"/>
      <c r="BH89" s="228"/>
      <c r="BI89" s="228"/>
      <c r="BJ89" s="228"/>
      <c r="BK89" s="228"/>
      <c r="BL89" s="228"/>
      <c r="BM89" s="228"/>
      <c r="BN89" s="228"/>
      <c r="BO89" s="228"/>
      <c r="BP89" s="228"/>
      <c r="BQ89" s="228"/>
      <c r="BR89" s="228"/>
      <c r="BS89" s="228"/>
      <c r="BT89" s="228"/>
      <c r="BU89" s="228"/>
      <c r="BV89" s="228"/>
      <c r="BW89" s="228"/>
      <c r="BX89" s="228"/>
      <c r="BY89" s="228"/>
      <c r="BZ89" s="228"/>
      <c r="CA89" s="228"/>
      <c r="CB89" s="228"/>
      <c r="CC89" s="228"/>
      <c r="CD89" s="228"/>
      <c r="CE89" s="228"/>
      <c r="CF89" s="228"/>
      <c r="CG89" s="228"/>
      <c r="CH89" s="228"/>
      <c r="CI89" s="228"/>
      <c r="CJ89" s="228"/>
      <c r="CK89" s="228"/>
      <c r="CL89" s="228"/>
      <c r="CM89" s="228"/>
      <c r="CN89" s="228"/>
      <c r="CO89" s="228"/>
      <c r="CP89" s="228"/>
      <c r="CQ89" s="228"/>
      <c r="CR89" s="228"/>
      <c r="CS89" s="228"/>
      <c r="CT89" s="228"/>
      <c r="CU89" s="228"/>
      <c r="CV89" s="228"/>
      <c r="CW89" s="228"/>
      <c r="CX89" s="228"/>
      <c r="CY89" s="228"/>
      <c r="CZ89" s="228"/>
      <c r="DA89" s="228"/>
      <c r="DB89" s="228"/>
    </row>
    <row r="90" ht="12.0" customHeight="1">
      <c r="A90" s="228"/>
      <c r="B90" s="228"/>
      <c r="C90" s="228"/>
      <c r="D90" s="228"/>
      <c r="E90" s="228"/>
      <c r="F90" s="228"/>
      <c r="G90" s="228"/>
      <c r="H90" s="228"/>
      <c r="I90" s="228"/>
      <c r="J90" s="228"/>
      <c r="K90" s="228"/>
      <c r="L90" s="228"/>
      <c r="M90" s="228"/>
      <c r="N90" s="228"/>
      <c r="O90" s="228"/>
      <c r="P90" s="228"/>
      <c r="Q90" s="228"/>
      <c r="R90" s="228"/>
      <c r="S90" s="228"/>
      <c r="T90" s="228"/>
      <c r="U90" s="228"/>
      <c r="V90" s="228"/>
      <c r="W90" s="228"/>
      <c r="X90" s="228"/>
      <c r="Y90" s="228"/>
      <c r="Z90" s="228"/>
      <c r="AA90" s="228"/>
      <c r="AB90" s="228"/>
      <c r="AC90" s="228"/>
      <c r="AD90" s="228"/>
      <c r="AE90" s="228"/>
      <c r="AF90" s="228"/>
      <c r="AG90" s="228"/>
      <c r="AH90" s="228"/>
      <c r="AI90" s="228"/>
      <c r="AJ90" s="228"/>
      <c r="AK90" s="228"/>
      <c r="AL90" s="228"/>
      <c r="AM90" s="228"/>
      <c r="AN90" s="228"/>
      <c r="AO90" s="228"/>
      <c r="AP90" s="228"/>
      <c r="AQ90" s="228"/>
      <c r="AR90" s="228"/>
      <c r="AS90" s="228"/>
      <c r="AT90" s="228"/>
      <c r="AU90" s="228"/>
      <c r="AV90" s="228"/>
      <c r="AW90" s="228"/>
      <c r="AX90" s="228"/>
      <c r="AY90" s="228"/>
      <c r="AZ90" s="228"/>
      <c r="BA90" s="228"/>
      <c r="BB90" s="228"/>
      <c r="BC90" s="228"/>
      <c r="BD90" s="228"/>
      <c r="BE90" s="228"/>
      <c r="BF90" s="228"/>
      <c r="BG90" s="228"/>
      <c r="BH90" s="228"/>
      <c r="BI90" s="228"/>
      <c r="BJ90" s="228"/>
      <c r="BK90" s="228"/>
      <c r="BL90" s="228"/>
      <c r="BM90" s="228"/>
      <c r="BN90" s="228"/>
      <c r="BO90" s="228"/>
      <c r="BP90" s="228"/>
      <c r="BQ90" s="228"/>
      <c r="BR90" s="228"/>
      <c r="BS90" s="228"/>
      <c r="BT90" s="228"/>
      <c r="BU90" s="228"/>
      <c r="BV90" s="228"/>
      <c r="BW90" s="228"/>
      <c r="BX90" s="228"/>
      <c r="BY90" s="228"/>
      <c r="BZ90" s="228"/>
      <c r="CA90" s="228"/>
      <c r="CB90" s="228"/>
      <c r="CC90" s="228"/>
      <c r="CD90" s="228"/>
      <c r="CE90" s="228"/>
      <c r="CF90" s="228"/>
      <c r="CG90" s="228"/>
      <c r="CH90" s="228"/>
      <c r="CI90" s="228"/>
      <c r="CJ90" s="228"/>
      <c r="CK90" s="228"/>
      <c r="CL90" s="228"/>
      <c r="CM90" s="228"/>
      <c r="CN90" s="228"/>
      <c r="CO90" s="228"/>
      <c r="CP90" s="228"/>
      <c r="CQ90" s="228"/>
      <c r="CR90" s="228"/>
      <c r="CS90" s="228"/>
      <c r="CT90" s="228"/>
      <c r="CU90" s="228"/>
      <c r="CV90" s="228"/>
      <c r="CW90" s="228"/>
      <c r="CX90" s="228"/>
      <c r="CY90" s="228"/>
      <c r="CZ90" s="228"/>
      <c r="DA90" s="228"/>
      <c r="DB90" s="228"/>
    </row>
    <row r="91" ht="12.0" customHeight="1">
      <c r="A91" s="228"/>
      <c r="B91" s="228"/>
      <c r="C91" s="228"/>
      <c r="D91" s="228"/>
      <c r="E91" s="228"/>
      <c r="F91" s="228"/>
      <c r="G91" s="228"/>
      <c r="H91" s="228"/>
      <c r="I91" s="228"/>
      <c r="J91" s="228"/>
      <c r="K91" s="228"/>
      <c r="L91" s="228"/>
      <c r="M91" s="228"/>
      <c r="N91" s="228"/>
      <c r="O91" s="228"/>
      <c r="P91" s="228"/>
      <c r="Q91" s="228"/>
      <c r="R91" s="228"/>
      <c r="S91" s="228"/>
      <c r="T91" s="228"/>
      <c r="U91" s="228"/>
      <c r="V91" s="228"/>
      <c r="W91" s="228"/>
      <c r="X91" s="228"/>
      <c r="Y91" s="228"/>
      <c r="Z91" s="228"/>
      <c r="AA91" s="228"/>
      <c r="AB91" s="228"/>
      <c r="AC91" s="228"/>
      <c r="AD91" s="228"/>
      <c r="AE91" s="228"/>
      <c r="AF91" s="228"/>
      <c r="AG91" s="228"/>
      <c r="AH91" s="228"/>
      <c r="AI91" s="228"/>
      <c r="AJ91" s="228"/>
      <c r="AK91" s="228"/>
      <c r="AL91" s="228"/>
      <c r="AM91" s="228"/>
      <c r="AN91" s="228"/>
      <c r="AO91" s="228"/>
      <c r="AP91" s="228"/>
      <c r="AQ91" s="228"/>
      <c r="AR91" s="228"/>
      <c r="AS91" s="228"/>
      <c r="AT91" s="228"/>
      <c r="AU91" s="228"/>
      <c r="AV91" s="228"/>
      <c r="AW91" s="228"/>
      <c r="AX91" s="228"/>
      <c r="AY91" s="228"/>
      <c r="AZ91" s="228"/>
      <c r="BA91" s="228"/>
      <c r="BB91" s="228"/>
      <c r="BC91" s="228"/>
      <c r="BD91" s="228"/>
      <c r="BE91" s="228"/>
      <c r="BF91" s="228"/>
      <c r="BG91" s="228"/>
      <c r="BH91" s="228"/>
      <c r="BI91" s="228"/>
      <c r="BJ91" s="228"/>
      <c r="BK91" s="228"/>
      <c r="BL91" s="228"/>
      <c r="BM91" s="228"/>
      <c r="BN91" s="228"/>
      <c r="BO91" s="228"/>
      <c r="BP91" s="228"/>
      <c r="BQ91" s="228"/>
      <c r="BR91" s="228"/>
      <c r="BS91" s="228"/>
      <c r="BT91" s="228"/>
      <c r="BU91" s="228"/>
      <c r="BV91" s="228"/>
      <c r="BW91" s="228"/>
      <c r="BX91" s="228"/>
      <c r="BY91" s="228"/>
      <c r="BZ91" s="228"/>
      <c r="CA91" s="228"/>
      <c r="CB91" s="228"/>
      <c r="CC91" s="228"/>
      <c r="CD91" s="228"/>
      <c r="CE91" s="228"/>
      <c r="CF91" s="228"/>
      <c r="CG91" s="228"/>
      <c r="CH91" s="228"/>
      <c r="CI91" s="228"/>
      <c r="CJ91" s="228"/>
      <c r="CK91" s="228"/>
      <c r="CL91" s="228"/>
      <c r="CM91" s="228"/>
      <c r="CN91" s="228"/>
      <c r="CO91" s="228"/>
      <c r="CP91" s="228"/>
      <c r="CQ91" s="228"/>
      <c r="CR91" s="228"/>
      <c r="CS91" s="228"/>
      <c r="CT91" s="228"/>
      <c r="CU91" s="228"/>
      <c r="CV91" s="228"/>
      <c r="CW91" s="228"/>
      <c r="CX91" s="228"/>
      <c r="CY91" s="228"/>
      <c r="CZ91" s="228"/>
      <c r="DA91" s="228"/>
      <c r="DB91" s="228"/>
    </row>
    <row r="92" ht="12.0" customHeight="1">
      <c r="A92" s="228"/>
      <c r="B92" s="228"/>
      <c r="C92" s="228"/>
      <c r="D92" s="228"/>
      <c r="E92" s="228"/>
      <c r="F92" s="228"/>
      <c r="G92" s="228"/>
      <c r="H92" s="228"/>
      <c r="I92" s="228"/>
      <c r="J92" s="228"/>
      <c r="K92" s="228"/>
      <c r="L92" s="228"/>
      <c r="M92" s="228"/>
      <c r="N92" s="228"/>
      <c r="O92" s="228"/>
      <c r="P92" s="228"/>
      <c r="Q92" s="228"/>
      <c r="R92" s="228"/>
      <c r="S92" s="228"/>
      <c r="T92" s="228"/>
      <c r="U92" s="228"/>
      <c r="V92" s="228"/>
      <c r="W92" s="228"/>
      <c r="X92" s="228"/>
      <c r="Y92" s="228"/>
      <c r="Z92" s="228"/>
      <c r="AA92" s="228"/>
      <c r="AB92" s="228"/>
      <c r="AC92" s="228"/>
      <c r="AD92" s="228"/>
      <c r="AE92" s="228"/>
      <c r="AF92" s="228"/>
      <c r="AG92" s="228"/>
      <c r="AH92" s="228"/>
      <c r="AI92" s="228"/>
      <c r="AJ92" s="228"/>
      <c r="AK92" s="228"/>
      <c r="AL92" s="228"/>
      <c r="AM92" s="228"/>
      <c r="AN92" s="228"/>
      <c r="AO92" s="228"/>
      <c r="AP92" s="228"/>
      <c r="AQ92" s="228"/>
      <c r="AR92" s="228"/>
      <c r="AS92" s="228"/>
      <c r="AT92" s="228"/>
      <c r="AU92" s="228"/>
      <c r="AV92" s="228"/>
      <c r="AW92" s="228"/>
      <c r="AX92" s="228"/>
      <c r="AY92" s="228"/>
      <c r="AZ92" s="228"/>
      <c r="BA92" s="228"/>
      <c r="BB92" s="228"/>
      <c r="BC92" s="228"/>
      <c r="BD92" s="228"/>
      <c r="BE92" s="228"/>
      <c r="BF92" s="228"/>
      <c r="BG92" s="228"/>
      <c r="BH92" s="228"/>
      <c r="BI92" s="228"/>
      <c r="BJ92" s="228"/>
      <c r="BK92" s="228"/>
      <c r="BL92" s="228"/>
      <c r="BM92" s="228"/>
      <c r="BN92" s="228"/>
      <c r="BO92" s="228"/>
      <c r="BP92" s="228"/>
      <c r="BQ92" s="228"/>
      <c r="BR92" s="228"/>
      <c r="BS92" s="228"/>
      <c r="BT92" s="228"/>
      <c r="BU92" s="228"/>
      <c r="BV92" s="228"/>
      <c r="BW92" s="228"/>
      <c r="BX92" s="228"/>
      <c r="BY92" s="228"/>
      <c r="BZ92" s="228"/>
      <c r="CA92" s="228"/>
      <c r="CB92" s="228"/>
      <c r="CC92" s="228"/>
      <c r="CD92" s="228"/>
      <c r="CE92" s="228"/>
      <c r="CF92" s="228"/>
      <c r="CG92" s="228"/>
      <c r="CH92" s="228"/>
      <c r="CI92" s="228"/>
      <c r="CJ92" s="228"/>
      <c r="CK92" s="228"/>
      <c r="CL92" s="228"/>
      <c r="CM92" s="228"/>
      <c r="CN92" s="228"/>
      <c r="CO92" s="228"/>
      <c r="CP92" s="228"/>
      <c r="CQ92" s="228"/>
      <c r="CR92" s="228"/>
      <c r="CS92" s="228"/>
      <c r="CT92" s="228"/>
      <c r="CU92" s="228"/>
      <c r="CV92" s="228"/>
      <c r="CW92" s="228"/>
      <c r="CX92" s="228"/>
      <c r="CY92" s="228"/>
      <c r="CZ92" s="228"/>
      <c r="DA92" s="228"/>
      <c r="DB92" s="228"/>
    </row>
    <row r="93" ht="12.0" customHeight="1">
      <c r="A93" s="228"/>
      <c r="B93" s="228"/>
      <c r="C93" s="228"/>
      <c r="D93" s="228"/>
      <c r="E93" s="228"/>
      <c r="F93" s="228"/>
      <c r="G93" s="228"/>
      <c r="H93" s="228"/>
      <c r="I93" s="228"/>
      <c r="J93" s="228"/>
      <c r="K93" s="228"/>
      <c r="L93" s="228"/>
      <c r="M93" s="228"/>
      <c r="N93" s="228"/>
      <c r="O93" s="228"/>
      <c r="P93" s="228"/>
      <c r="Q93" s="228"/>
      <c r="R93" s="228"/>
      <c r="S93" s="228"/>
      <c r="T93" s="228"/>
      <c r="U93" s="228"/>
      <c r="V93" s="228"/>
      <c r="W93" s="228"/>
      <c r="X93" s="228"/>
      <c r="Y93" s="228"/>
      <c r="Z93" s="228"/>
      <c r="AA93" s="228"/>
      <c r="AB93" s="228"/>
      <c r="AC93" s="228"/>
      <c r="AD93" s="228"/>
      <c r="AE93" s="228"/>
      <c r="AF93" s="228"/>
      <c r="AG93" s="228"/>
      <c r="AH93" s="228"/>
      <c r="AI93" s="228"/>
      <c r="AJ93" s="228"/>
      <c r="AK93" s="228"/>
      <c r="AL93" s="228"/>
      <c r="AM93" s="228"/>
      <c r="AN93" s="228"/>
      <c r="AO93" s="228"/>
      <c r="AP93" s="228"/>
      <c r="AQ93" s="228"/>
      <c r="AR93" s="228"/>
      <c r="AS93" s="228"/>
      <c r="AT93" s="228"/>
      <c r="AU93" s="228"/>
      <c r="AV93" s="228"/>
      <c r="AW93" s="228"/>
      <c r="AX93" s="228"/>
      <c r="AY93" s="228"/>
      <c r="AZ93" s="228"/>
      <c r="BA93" s="228"/>
      <c r="BB93" s="228"/>
      <c r="BC93" s="228"/>
      <c r="BD93" s="228"/>
      <c r="BE93" s="228"/>
      <c r="BF93" s="228"/>
      <c r="BG93" s="228"/>
      <c r="BH93" s="228"/>
      <c r="BI93" s="228"/>
      <c r="BJ93" s="228"/>
      <c r="BK93" s="228"/>
      <c r="BL93" s="228"/>
      <c r="BM93" s="228"/>
      <c r="BN93" s="228"/>
      <c r="BO93" s="228"/>
      <c r="BP93" s="228"/>
      <c r="BQ93" s="228"/>
      <c r="BR93" s="228"/>
      <c r="BS93" s="228"/>
      <c r="BT93" s="228"/>
      <c r="BU93" s="228"/>
      <c r="BV93" s="228"/>
      <c r="BW93" s="228"/>
      <c r="BX93" s="228"/>
      <c r="BY93" s="228"/>
      <c r="BZ93" s="228"/>
      <c r="CA93" s="228"/>
      <c r="CB93" s="228"/>
      <c r="CC93" s="228"/>
      <c r="CD93" s="228"/>
      <c r="CE93" s="228"/>
      <c r="CF93" s="228"/>
      <c r="CG93" s="228"/>
      <c r="CH93" s="228"/>
      <c r="CI93" s="228"/>
      <c r="CJ93" s="228"/>
      <c r="CK93" s="228"/>
      <c r="CL93" s="228"/>
      <c r="CM93" s="228"/>
      <c r="CN93" s="228"/>
      <c r="CO93" s="228"/>
      <c r="CP93" s="228"/>
      <c r="CQ93" s="228"/>
      <c r="CR93" s="228"/>
      <c r="CS93" s="228"/>
      <c r="CT93" s="228"/>
      <c r="CU93" s="228"/>
      <c r="CV93" s="228"/>
      <c r="CW93" s="228"/>
      <c r="CX93" s="228"/>
      <c r="CY93" s="228"/>
      <c r="CZ93" s="228"/>
      <c r="DA93" s="228"/>
      <c r="DB93" s="228"/>
    </row>
    <row r="94" ht="12.0" customHeight="1">
      <c r="A94" s="228"/>
      <c r="B94" s="228"/>
      <c r="C94" s="228"/>
      <c r="D94" s="228"/>
      <c r="E94" s="228"/>
      <c r="F94" s="228"/>
      <c r="G94" s="228"/>
      <c r="H94" s="228"/>
      <c r="I94" s="228"/>
      <c r="J94" s="228"/>
      <c r="K94" s="228"/>
      <c r="L94" s="228"/>
      <c r="M94" s="228"/>
      <c r="N94" s="228"/>
      <c r="O94" s="228"/>
      <c r="P94" s="228"/>
      <c r="Q94" s="228"/>
      <c r="R94" s="228"/>
      <c r="S94" s="228"/>
      <c r="T94" s="228"/>
      <c r="U94" s="228"/>
      <c r="V94" s="228"/>
      <c r="W94" s="228"/>
      <c r="X94" s="228"/>
      <c r="Y94" s="228"/>
      <c r="Z94" s="228"/>
      <c r="AA94" s="228"/>
      <c r="AB94" s="228"/>
      <c r="AC94" s="228"/>
      <c r="AD94" s="228"/>
      <c r="AE94" s="228"/>
      <c r="AF94" s="228"/>
      <c r="AG94" s="228"/>
      <c r="AH94" s="228"/>
      <c r="AI94" s="228"/>
      <c r="AJ94" s="228"/>
      <c r="AK94" s="228"/>
      <c r="AL94" s="228"/>
      <c r="AM94" s="228"/>
      <c r="AN94" s="228"/>
      <c r="AO94" s="228"/>
      <c r="AP94" s="228"/>
      <c r="AQ94" s="228"/>
      <c r="AR94" s="228"/>
      <c r="AS94" s="228"/>
      <c r="AT94" s="228"/>
      <c r="AU94" s="228"/>
      <c r="AV94" s="228"/>
      <c r="AW94" s="228"/>
      <c r="AX94" s="228"/>
      <c r="AY94" s="228"/>
      <c r="AZ94" s="228"/>
      <c r="BA94" s="228"/>
      <c r="BB94" s="228"/>
      <c r="BC94" s="228"/>
      <c r="BD94" s="228"/>
      <c r="BE94" s="228"/>
      <c r="BF94" s="228"/>
      <c r="BG94" s="228"/>
      <c r="BH94" s="228"/>
      <c r="BI94" s="228"/>
      <c r="BJ94" s="228"/>
      <c r="BK94" s="228"/>
      <c r="BL94" s="228"/>
      <c r="BM94" s="228"/>
      <c r="BN94" s="228"/>
      <c r="BO94" s="228"/>
      <c r="BP94" s="228"/>
      <c r="BQ94" s="228"/>
      <c r="BR94" s="228"/>
      <c r="BS94" s="228"/>
      <c r="BT94" s="228"/>
      <c r="BU94" s="228"/>
      <c r="BV94" s="228"/>
      <c r="BW94" s="228"/>
      <c r="BX94" s="228"/>
      <c r="BY94" s="228"/>
      <c r="BZ94" s="228"/>
      <c r="CA94" s="228"/>
      <c r="CB94" s="228"/>
      <c r="CC94" s="228"/>
      <c r="CD94" s="228"/>
      <c r="CE94" s="228"/>
      <c r="CF94" s="228"/>
      <c r="CG94" s="228"/>
      <c r="CH94" s="228"/>
      <c r="CI94" s="228"/>
      <c r="CJ94" s="228"/>
      <c r="CK94" s="228"/>
      <c r="CL94" s="228"/>
      <c r="CM94" s="228"/>
      <c r="CN94" s="228"/>
      <c r="CO94" s="228"/>
      <c r="CP94" s="228"/>
      <c r="CQ94" s="228"/>
      <c r="CR94" s="228"/>
      <c r="CS94" s="228"/>
      <c r="CT94" s="228"/>
      <c r="CU94" s="228"/>
      <c r="CV94" s="228"/>
      <c r="CW94" s="228"/>
      <c r="CX94" s="228"/>
      <c r="CY94" s="228"/>
      <c r="CZ94" s="228"/>
      <c r="DA94" s="228"/>
      <c r="DB94" s="228"/>
    </row>
    <row r="95" ht="12.0" customHeight="1">
      <c r="A95" s="228"/>
      <c r="B95" s="228"/>
      <c r="C95" s="228"/>
      <c r="D95" s="228"/>
      <c r="E95" s="228"/>
      <c r="F95" s="228"/>
      <c r="G95" s="228"/>
      <c r="H95" s="228"/>
      <c r="I95" s="228"/>
      <c r="J95" s="228"/>
      <c r="K95" s="228"/>
      <c r="L95" s="228"/>
      <c r="M95" s="228"/>
      <c r="N95" s="228"/>
      <c r="O95" s="228"/>
      <c r="P95" s="228"/>
      <c r="Q95" s="228"/>
      <c r="R95" s="228"/>
      <c r="S95" s="228"/>
      <c r="T95" s="228"/>
      <c r="U95" s="228"/>
      <c r="V95" s="228"/>
      <c r="W95" s="228"/>
      <c r="X95" s="228"/>
      <c r="Y95" s="228"/>
      <c r="Z95" s="228"/>
      <c r="AA95" s="228"/>
      <c r="AB95" s="228"/>
      <c r="AC95" s="228"/>
      <c r="AD95" s="228"/>
      <c r="AE95" s="228"/>
      <c r="AF95" s="228"/>
      <c r="AG95" s="228"/>
      <c r="AH95" s="228"/>
      <c r="AI95" s="228"/>
      <c r="AJ95" s="228"/>
      <c r="AK95" s="228"/>
      <c r="AL95" s="228"/>
      <c r="AM95" s="228"/>
      <c r="AN95" s="228"/>
      <c r="AO95" s="228"/>
      <c r="AP95" s="228"/>
      <c r="AQ95" s="228"/>
      <c r="AR95" s="228"/>
      <c r="AS95" s="228"/>
      <c r="AT95" s="228"/>
      <c r="AU95" s="228"/>
      <c r="AV95" s="228"/>
      <c r="AW95" s="228"/>
      <c r="AX95" s="228"/>
      <c r="AY95" s="228"/>
      <c r="AZ95" s="228"/>
      <c r="BA95" s="228"/>
      <c r="BB95" s="228"/>
      <c r="BC95" s="228"/>
      <c r="BD95" s="228"/>
      <c r="BE95" s="228"/>
      <c r="BF95" s="228"/>
      <c r="BG95" s="228"/>
      <c r="BH95" s="228"/>
      <c r="BI95" s="228"/>
      <c r="BJ95" s="228"/>
      <c r="BK95" s="228"/>
      <c r="BL95" s="228"/>
      <c r="BM95" s="228"/>
      <c r="BN95" s="228"/>
      <c r="BO95" s="228"/>
      <c r="BP95" s="228"/>
      <c r="BQ95" s="228"/>
      <c r="BR95" s="228"/>
      <c r="BS95" s="228"/>
      <c r="BT95" s="228"/>
      <c r="BU95" s="228"/>
      <c r="BV95" s="228"/>
      <c r="BW95" s="228"/>
      <c r="BX95" s="228"/>
      <c r="BY95" s="228"/>
      <c r="BZ95" s="228"/>
      <c r="CA95" s="228"/>
      <c r="CB95" s="228"/>
      <c r="CC95" s="228"/>
      <c r="CD95" s="228"/>
      <c r="CE95" s="228"/>
      <c r="CF95" s="228"/>
      <c r="CG95" s="228"/>
      <c r="CH95" s="228"/>
      <c r="CI95" s="228"/>
      <c r="CJ95" s="228"/>
      <c r="CK95" s="228"/>
      <c r="CL95" s="228"/>
      <c r="CM95" s="228"/>
      <c r="CN95" s="228"/>
      <c r="CO95" s="228"/>
      <c r="CP95" s="228"/>
      <c r="CQ95" s="228"/>
      <c r="CR95" s="228"/>
      <c r="CS95" s="228"/>
      <c r="CT95" s="228"/>
      <c r="CU95" s="228"/>
      <c r="CV95" s="228"/>
      <c r="CW95" s="228"/>
      <c r="CX95" s="228"/>
      <c r="CY95" s="228"/>
      <c r="CZ95" s="228"/>
      <c r="DA95" s="228"/>
      <c r="DB95" s="228"/>
    </row>
    <row r="96" ht="12.0" customHeight="1">
      <c r="A96" s="228"/>
      <c r="B96" s="228"/>
      <c r="C96" s="228"/>
      <c r="D96" s="228"/>
      <c r="E96" s="228"/>
      <c r="F96" s="228"/>
      <c r="G96" s="228"/>
      <c r="H96" s="228"/>
      <c r="I96" s="228"/>
      <c r="J96" s="228"/>
      <c r="K96" s="228"/>
      <c r="L96" s="228"/>
      <c r="M96" s="228"/>
      <c r="N96" s="228"/>
      <c r="O96" s="228"/>
      <c r="P96" s="228"/>
      <c r="Q96" s="228"/>
      <c r="R96" s="228"/>
      <c r="S96" s="228"/>
      <c r="T96" s="228"/>
      <c r="U96" s="228"/>
      <c r="V96" s="228"/>
      <c r="W96" s="228"/>
      <c r="X96" s="228"/>
      <c r="Y96" s="228"/>
      <c r="Z96" s="228"/>
      <c r="AA96" s="228"/>
      <c r="AB96" s="228"/>
      <c r="AC96" s="228"/>
      <c r="AD96" s="228"/>
      <c r="AE96" s="228"/>
      <c r="AF96" s="228"/>
      <c r="AG96" s="228"/>
      <c r="AH96" s="228"/>
      <c r="AI96" s="228"/>
      <c r="AJ96" s="228"/>
      <c r="AK96" s="228"/>
      <c r="AL96" s="228"/>
      <c r="AM96" s="228"/>
      <c r="AN96" s="228"/>
      <c r="AO96" s="228"/>
      <c r="AP96" s="228"/>
      <c r="AQ96" s="228"/>
      <c r="AR96" s="228"/>
      <c r="AS96" s="228"/>
      <c r="AT96" s="228"/>
      <c r="AU96" s="228"/>
      <c r="AV96" s="228"/>
      <c r="AW96" s="228"/>
      <c r="AX96" s="228"/>
      <c r="AY96" s="228"/>
      <c r="AZ96" s="228"/>
      <c r="BA96" s="228"/>
      <c r="BB96" s="228"/>
      <c r="BC96" s="228"/>
      <c r="BD96" s="228"/>
      <c r="BE96" s="228"/>
      <c r="BF96" s="228"/>
      <c r="BG96" s="228"/>
      <c r="BH96" s="228"/>
      <c r="BI96" s="228"/>
      <c r="BJ96" s="228"/>
      <c r="BK96" s="228"/>
      <c r="BL96" s="228"/>
      <c r="BM96" s="228"/>
      <c r="BN96" s="228"/>
      <c r="BO96" s="228"/>
      <c r="BP96" s="228"/>
      <c r="BQ96" s="228"/>
      <c r="BR96" s="228"/>
      <c r="BS96" s="228"/>
      <c r="BT96" s="228"/>
      <c r="BU96" s="228"/>
      <c r="BV96" s="228"/>
      <c r="BW96" s="228"/>
      <c r="BX96" s="228"/>
      <c r="BY96" s="228"/>
      <c r="BZ96" s="228"/>
      <c r="CA96" s="228"/>
      <c r="CB96" s="228"/>
      <c r="CC96" s="228"/>
      <c r="CD96" s="228"/>
      <c r="CE96" s="228"/>
      <c r="CF96" s="228"/>
      <c r="CG96" s="228"/>
      <c r="CH96" s="228"/>
      <c r="CI96" s="228"/>
      <c r="CJ96" s="228"/>
      <c r="CK96" s="228"/>
      <c r="CL96" s="228"/>
      <c r="CM96" s="228"/>
      <c r="CN96" s="228"/>
      <c r="CO96" s="228"/>
      <c r="CP96" s="228"/>
      <c r="CQ96" s="228"/>
      <c r="CR96" s="228"/>
      <c r="CS96" s="228"/>
      <c r="CT96" s="228"/>
      <c r="CU96" s="228"/>
      <c r="CV96" s="228"/>
      <c r="CW96" s="228"/>
      <c r="CX96" s="228"/>
      <c r="CY96" s="228"/>
      <c r="CZ96" s="228"/>
      <c r="DA96" s="228"/>
      <c r="DB96" s="228"/>
    </row>
    <row r="97" ht="12.0" customHeight="1">
      <c r="A97" s="228"/>
      <c r="B97" s="228"/>
      <c r="C97" s="228"/>
      <c r="D97" s="228"/>
      <c r="E97" s="228"/>
      <c r="F97" s="228"/>
      <c r="G97" s="228"/>
      <c r="H97" s="228"/>
      <c r="I97" s="228"/>
      <c r="J97" s="228"/>
      <c r="K97" s="228"/>
      <c r="L97" s="228"/>
      <c r="M97" s="228"/>
      <c r="N97" s="228"/>
      <c r="O97" s="228"/>
      <c r="P97" s="228"/>
      <c r="Q97" s="228"/>
      <c r="R97" s="228"/>
      <c r="S97" s="228"/>
      <c r="T97" s="228"/>
      <c r="U97" s="228"/>
      <c r="V97" s="228"/>
      <c r="W97" s="228"/>
      <c r="X97" s="228"/>
      <c r="Y97" s="228"/>
      <c r="Z97" s="228"/>
      <c r="AA97" s="228"/>
      <c r="AB97" s="228"/>
      <c r="AC97" s="228"/>
      <c r="AD97" s="228"/>
      <c r="AE97" s="228"/>
      <c r="AF97" s="228"/>
      <c r="AG97" s="228"/>
      <c r="AH97" s="228"/>
      <c r="AI97" s="228"/>
      <c r="AJ97" s="228"/>
      <c r="AK97" s="228"/>
      <c r="AL97" s="228"/>
      <c r="AM97" s="228"/>
      <c r="AN97" s="228"/>
      <c r="AO97" s="228"/>
      <c r="AP97" s="228"/>
      <c r="AQ97" s="228"/>
      <c r="AR97" s="228"/>
      <c r="AS97" s="228"/>
      <c r="AT97" s="228"/>
      <c r="AU97" s="228"/>
      <c r="AV97" s="228"/>
      <c r="AW97" s="228"/>
      <c r="AX97" s="228"/>
      <c r="AY97" s="228"/>
      <c r="AZ97" s="228"/>
      <c r="BA97" s="228"/>
      <c r="BB97" s="228"/>
      <c r="BC97" s="228"/>
      <c r="BD97" s="228"/>
      <c r="BE97" s="228"/>
      <c r="BF97" s="228"/>
      <c r="BG97" s="228"/>
      <c r="BH97" s="228"/>
      <c r="BI97" s="228"/>
      <c r="BJ97" s="228"/>
      <c r="BK97" s="228"/>
      <c r="BL97" s="228"/>
      <c r="BM97" s="228"/>
      <c r="BN97" s="228"/>
      <c r="BO97" s="228"/>
      <c r="BP97" s="228"/>
      <c r="BQ97" s="228"/>
      <c r="BR97" s="228"/>
      <c r="BS97" s="228"/>
      <c r="BT97" s="228"/>
      <c r="BU97" s="228"/>
      <c r="BV97" s="228"/>
      <c r="BW97" s="228"/>
      <c r="BX97" s="228"/>
      <c r="BY97" s="228"/>
      <c r="BZ97" s="228"/>
      <c r="CA97" s="228"/>
      <c r="CB97" s="228"/>
      <c r="CC97" s="228"/>
      <c r="CD97" s="228"/>
      <c r="CE97" s="228"/>
      <c r="CF97" s="228"/>
      <c r="CG97" s="228"/>
      <c r="CH97" s="228"/>
      <c r="CI97" s="228"/>
      <c r="CJ97" s="228"/>
      <c r="CK97" s="228"/>
      <c r="CL97" s="228"/>
      <c r="CM97" s="228"/>
      <c r="CN97" s="228"/>
      <c r="CO97" s="228"/>
      <c r="CP97" s="228"/>
      <c r="CQ97" s="228"/>
      <c r="CR97" s="228"/>
      <c r="CS97" s="228"/>
      <c r="CT97" s="228"/>
      <c r="CU97" s="228"/>
      <c r="CV97" s="228"/>
      <c r="CW97" s="228"/>
      <c r="CX97" s="228"/>
      <c r="CY97" s="228"/>
      <c r="CZ97" s="228"/>
      <c r="DA97" s="228"/>
      <c r="DB97" s="228"/>
    </row>
    <row r="98" ht="12.0" customHeight="1">
      <c r="A98" s="228"/>
      <c r="B98" s="228"/>
      <c r="C98" s="228"/>
      <c r="D98" s="228"/>
      <c r="E98" s="228"/>
      <c r="F98" s="228"/>
      <c r="G98" s="228"/>
      <c r="H98" s="228"/>
      <c r="I98" s="228"/>
      <c r="J98" s="228"/>
      <c r="K98" s="228"/>
      <c r="L98" s="228"/>
      <c r="M98" s="228"/>
      <c r="N98" s="228"/>
      <c r="O98" s="228"/>
      <c r="P98" s="228"/>
      <c r="Q98" s="228"/>
      <c r="R98" s="228"/>
      <c r="S98" s="228"/>
      <c r="T98" s="228"/>
      <c r="U98" s="228"/>
      <c r="V98" s="228"/>
      <c r="W98" s="228"/>
      <c r="X98" s="228"/>
      <c r="Y98" s="228"/>
      <c r="Z98" s="228"/>
      <c r="AA98" s="228"/>
      <c r="AB98" s="228"/>
      <c r="AC98" s="228"/>
      <c r="AD98" s="228"/>
      <c r="AE98" s="228"/>
      <c r="AF98" s="228"/>
      <c r="AG98" s="228"/>
      <c r="AH98" s="228"/>
      <c r="AI98" s="228"/>
      <c r="AJ98" s="228"/>
      <c r="AK98" s="228"/>
      <c r="AL98" s="228"/>
      <c r="AM98" s="228"/>
      <c r="AN98" s="228"/>
      <c r="AO98" s="228"/>
      <c r="AP98" s="228"/>
      <c r="AQ98" s="228"/>
      <c r="AR98" s="228"/>
      <c r="AS98" s="228"/>
      <c r="AT98" s="228"/>
      <c r="AU98" s="228"/>
      <c r="AV98" s="228"/>
      <c r="AW98" s="228"/>
      <c r="AX98" s="228"/>
      <c r="AY98" s="228"/>
      <c r="AZ98" s="228"/>
      <c r="BA98" s="228"/>
      <c r="BB98" s="228"/>
      <c r="BC98" s="228"/>
      <c r="BD98" s="228"/>
      <c r="BE98" s="228"/>
      <c r="BF98" s="228"/>
      <c r="BG98" s="228"/>
      <c r="BH98" s="228"/>
      <c r="BI98" s="228"/>
      <c r="BJ98" s="228"/>
      <c r="BK98" s="228"/>
      <c r="BL98" s="228"/>
      <c r="BM98" s="228"/>
      <c r="BN98" s="228"/>
      <c r="BO98" s="228"/>
      <c r="BP98" s="228"/>
      <c r="BQ98" s="228"/>
      <c r="BR98" s="228"/>
      <c r="BS98" s="228"/>
      <c r="BT98" s="228"/>
      <c r="BU98" s="228"/>
      <c r="BV98" s="228"/>
      <c r="BW98" s="228"/>
      <c r="BX98" s="228"/>
      <c r="BY98" s="228"/>
      <c r="BZ98" s="228"/>
      <c r="CA98" s="228"/>
      <c r="CB98" s="228"/>
      <c r="CC98" s="228"/>
      <c r="CD98" s="228"/>
      <c r="CE98" s="228"/>
      <c r="CF98" s="228"/>
      <c r="CG98" s="228"/>
      <c r="CH98" s="228"/>
      <c r="CI98" s="228"/>
      <c r="CJ98" s="228"/>
      <c r="CK98" s="228"/>
      <c r="CL98" s="228"/>
      <c r="CM98" s="228"/>
      <c r="CN98" s="228"/>
      <c r="CO98" s="228"/>
      <c r="CP98" s="228"/>
      <c r="CQ98" s="228"/>
      <c r="CR98" s="228"/>
      <c r="CS98" s="228"/>
      <c r="CT98" s="228"/>
      <c r="CU98" s="228"/>
      <c r="CV98" s="228"/>
      <c r="CW98" s="228"/>
      <c r="CX98" s="228"/>
      <c r="CY98" s="228"/>
      <c r="CZ98" s="228"/>
      <c r="DA98" s="228"/>
      <c r="DB98" s="228"/>
    </row>
    <row r="99" ht="12.0" customHeight="1">
      <c r="A99" s="228"/>
      <c r="B99" s="228"/>
      <c r="C99" s="228"/>
      <c r="D99" s="228"/>
      <c r="E99" s="228"/>
      <c r="F99" s="228"/>
      <c r="G99" s="228"/>
      <c r="H99" s="228"/>
      <c r="I99" s="228"/>
      <c r="J99" s="228"/>
      <c r="K99" s="228"/>
      <c r="L99" s="228"/>
      <c r="M99" s="228"/>
      <c r="N99" s="228"/>
      <c r="O99" s="228"/>
      <c r="P99" s="228"/>
      <c r="Q99" s="228"/>
      <c r="R99" s="228"/>
      <c r="S99" s="228"/>
      <c r="T99" s="228"/>
      <c r="U99" s="228"/>
      <c r="V99" s="228"/>
      <c r="W99" s="228"/>
      <c r="X99" s="228"/>
      <c r="Y99" s="228"/>
      <c r="Z99" s="228"/>
      <c r="AA99" s="228"/>
      <c r="AB99" s="228"/>
      <c r="AC99" s="228"/>
      <c r="AD99" s="228"/>
      <c r="AE99" s="228"/>
      <c r="AF99" s="228"/>
      <c r="AG99" s="228"/>
      <c r="AH99" s="228"/>
      <c r="AI99" s="228"/>
      <c r="AJ99" s="228"/>
      <c r="AK99" s="228"/>
      <c r="AL99" s="228"/>
      <c r="AM99" s="228"/>
      <c r="AN99" s="228"/>
      <c r="AO99" s="228"/>
      <c r="AP99" s="228"/>
      <c r="AQ99" s="228"/>
      <c r="AR99" s="228"/>
      <c r="AS99" s="228"/>
      <c r="AT99" s="228"/>
      <c r="AU99" s="228"/>
      <c r="AV99" s="228"/>
      <c r="AW99" s="228"/>
      <c r="AX99" s="228"/>
      <c r="AY99" s="228"/>
      <c r="AZ99" s="228"/>
      <c r="BA99" s="228"/>
      <c r="BB99" s="228"/>
      <c r="BC99" s="228"/>
      <c r="BD99" s="228"/>
      <c r="BE99" s="228"/>
      <c r="BF99" s="228"/>
      <c r="BG99" s="228"/>
      <c r="BH99" s="228"/>
      <c r="BI99" s="228"/>
      <c r="BJ99" s="228"/>
      <c r="BK99" s="228"/>
      <c r="BL99" s="228"/>
      <c r="BM99" s="228"/>
      <c r="BN99" s="228"/>
      <c r="BO99" s="228"/>
      <c r="BP99" s="228"/>
      <c r="BQ99" s="228"/>
      <c r="BR99" s="228"/>
      <c r="BS99" s="228"/>
      <c r="BT99" s="228"/>
      <c r="BU99" s="228"/>
      <c r="BV99" s="228"/>
      <c r="BW99" s="228"/>
      <c r="BX99" s="228"/>
      <c r="BY99" s="228"/>
      <c r="BZ99" s="228"/>
      <c r="CA99" s="228"/>
      <c r="CB99" s="228"/>
      <c r="CC99" s="228"/>
      <c r="CD99" s="228"/>
      <c r="CE99" s="228"/>
      <c r="CF99" s="228"/>
      <c r="CG99" s="228"/>
      <c r="CH99" s="228"/>
      <c r="CI99" s="228"/>
      <c r="CJ99" s="228"/>
      <c r="CK99" s="228"/>
      <c r="CL99" s="228"/>
      <c r="CM99" s="228"/>
      <c r="CN99" s="228"/>
      <c r="CO99" s="228"/>
      <c r="CP99" s="228"/>
      <c r="CQ99" s="228"/>
      <c r="CR99" s="228"/>
      <c r="CS99" s="228"/>
      <c r="CT99" s="228"/>
      <c r="CU99" s="228"/>
      <c r="CV99" s="228"/>
      <c r="CW99" s="228"/>
      <c r="CX99" s="228"/>
      <c r="CY99" s="228"/>
      <c r="CZ99" s="228"/>
      <c r="DA99" s="228"/>
      <c r="DB99" s="228"/>
    </row>
    <row r="100" ht="12.0" customHeight="1">
      <c r="A100" s="228"/>
      <c r="B100" s="228"/>
      <c r="C100" s="228"/>
      <c r="D100" s="228"/>
      <c r="E100" s="228"/>
      <c r="F100" s="228"/>
      <c r="G100" s="228"/>
      <c r="H100" s="228"/>
      <c r="I100" s="228"/>
      <c r="J100" s="228"/>
      <c r="K100" s="228"/>
      <c r="L100" s="228"/>
      <c r="M100" s="228"/>
      <c r="N100" s="228"/>
      <c r="O100" s="228"/>
      <c r="P100" s="228"/>
      <c r="Q100" s="228"/>
      <c r="R100" s="228"/>
      <c r="S100" s="228"/>
      <c r="T100" s="228"/>
      <c r="U100" s="228"/>
      <c r="V100" s="228"/>
      <c r="W100" s="228"/>
      <c r="X100" s="228"/>
      <c r="Y100" s="228"/>
      <c r="Z100" s="228"/>
      <c r="AA100" s="228"/>
      <c r="AB100" s="228"/>
      <c r="AC100" s="228"/>
      <c r="AD100" s="228"/>
      <c r="AE100" s="228"/>
      <c r="AF100" s="228"/>
      <c r="AG100" s="228"/>
      <c r="AH100" s="228"/>
      <c r="AI100" s="228"/>
      <c r="AJ100" s="228"/>
      <c r="AK100" s="228"/>
      <c r="AL100" s="228"/>
      <c r="AM100" s="228"/>
      <c r="AN100" s="228"/>
      <c r="AO100" s="228"/>
      <c r="AP100" s="228"/>
      <c r="AQ100" s="228"/>
      <c r="AR100" s="228"/>
      <c r="AS100" s="228"/>
      <c r="AT100" s="228"/>
      <c r="AU100" s="228"/>
      <c r="AV100" s="228"/>
      <c r="AW100" s="228"/>
      <c r="AX100" s="228"/>
      <c r="AY100" s="228"/>
      <c r="AZ100" s="228"/>
      <c r="BA100" s="228"/>
      <c r="BB100" s="228"/>
      <c r="BC100" s="228"/>
      <c r="BD100" s="228"/>
      <c r="BE100" s="228"/>
      <c r="BF100" s="228"/>
      <c r="BG100" s="228"/>
      <c r="BH100" s="228"/>
      <c r="BI100" s="228"/>
      <c r="BJ100" s="228"/>
      <c r="BK100" s="228"/>
      <c r="BL100" s="228"/>
      <c r="BM100" s="228"/>
      <c r="BN100" s="228"/>
      <c r="BO100" s="228"/>
      <c r="BP100" s="228"/>
      <c r="BQ100" s="228"/>
      <c r="BR100" s="228"/>
      <c r="BS100" s="228"/>
      <c r="BT100" s="228"/>
      <c r="BU100" s="228"/>
      <c r="BV100" s="228"/>
      <c r="BW100" s="228"/>
      <c r="BX100" s="228"/>
      <c r="BY100" s="228"/>
      <c r="BZ100" s="228"/>
      <c r="CA100" s="228"/>
      <c r="CB100" s="228"/>
      <c r="CC100" s="228"/>
      <c r="CD100" s="228"/>
      <c r="CE100" s="228"/>
      <c r="CF100" s="228"/>
      <c r="CG100" s="228"/>
      <c r="CH100" s="228"/>
      <c r="CI100" s="228"/>
      <c r="CJ100" s="228"/>
      <c r="CK100" s="228"/>
      <c r="CL100" s="228"/>
      <c r="CM100" s="228"/>
      <c r="CN100" s="228"/>
      <c r="CO100" s="228"/>
      <c r="CP100" s="228"/>
      <c r="CQ100" s="228"/>
      <c r="CR100" s="228"/>
      <c r="CS100" s="228"/>
      <c r="CT100" s="228"/>
      <c r="CU100" s="228"/>
      <c r="CV100" s="228"/>
      <c r="CW100" s="228"/>
      <c r="CX100" s="228"/>
      <c r="CY100" s="228"/>
      <c r="CZ100" s="228"/>
      <c r="DA100" s="228"/>
      <c r="DB100" s="228"/>
    </row>
    <row r="101" ht="12.0" customHeight="1">
      <c r="A101" s="228"/>
      <c r="B101" s="228"/>
      <c r="C101" s="228"/>
      <c r="D101" s="228"/>
      <c r="E101" s="228"/>
      <c r="F101" s="228"/>
      <c r="G101" s="228"/>
      <c r="H101" s="228"/>
      <c r="I101" s="228"/>
      <c r="J101" s="228"/>
      <c r="K101" s="228"/>
      <c r="L101" s="228"/>
      <c r="M101" s="228"/>
      <c r="N101" s="228"/>
      <c r="O101" s="228"/>
      <c r="P101" s="228"/>
      <c r="Q101" s="228"/>
      <c r="R101" s="228"/>
      <c r="S101" s="228"/>
      <c r="T101" s="228"/>
      <c r="U101" s="228"/>
      <c r="V101" s="228"/>
      <c r="W101" s="228"/>
      <c r="X101" s="228"/>
      <c r="Y101" s="228"/>
      <c r="Z101" s="228"/>
      <c r="AA101" s="228"/>
      <c r="AB101" s="228"/>
      <c r="AC101" s="228"/>
      <c r="AD101" s="228"/>
      <c r="AE101" s="228"/>
      <c r="AF101" s="228"/>
      <c r="AG101" s="228"/>
      <c r="AH101" s="228"/>
      <c r="AI101" s="228"/>
      <c r="AJ101" s="228"/>
      <c r="AK101" s="228"/>
      <c r="AL101" s="228"/>
      <c r="AM101" s="228"/>
      <c r="AN101" s="228"/>
      <c r="AO101" s="228"/>
      <c r="AP101" s="228"/>
      <c r="AQ101" s="228"/>
      <c r="AR101" s="228"/>
      <c r="AS101" s="228"/>
      <c r="AT101" s="228"/>
      <c r="AU101" s="228"/>
      <c r="AV101" s="228"/>
      <c r="AW101" s="228"/>
      <c r="AX101" s="228"/>
      <c r="AY101" s="228"/>
      <c r="AZ101" s="228"/>
      <c r="BA101" s="228"/>
      <c r="BB101" s="228"/>
      <c r="BC101" s="228"/>
      <c r="BD101" s="228"/>
      <c r="BE101" s="228"/>
      <c r="BF101" s="228"/>
      <c r="BG101" s="228"/>
      <c r="BH101" s="228"/>
      <c r="BI101" s="228"/>
      <c r="BJ101" s="228"/>
      <c r="BK101" s="228"/>
      <c r="BL101" s="228"/>
      <c r="BM101" s="228"/>
      <c r="BN101" s="228"/>
      <c r="BO101" s="228"/>
      <c r="BP101" s="228"/>
      <c r="BQ101" s="228"/>
      <c r="BR101" s="228"/>
      <c r="BS101" s="228"/>
      <c r="BT101" s="228"/>
      <c r="BU101" s="228"/>
      <c r="BV101" s="228"/>
      <c r="BW101" s="228"/>
      <c r="BX101" s="228"/>
      <c r="BY101" s="228"/>
      <c r="BZ101" s="228"/>
      <c r="CA101" s="228"/>
      <c r="CB101" s="228"/>
      <c r="CC101" s="228"/>
      <c r="CD101" s="228"/>
      <c r="CE101" s="228"/>
      <c r="CF101" s="228"/>
      <c r="CG101" s="228"/>
      <c r="CH101" s="228"/>
      <c r="CI101" s="228"/>
      <c r="CJ101" s="228"/>
      <c r="CK101" s="228"/>
      <c r="CL101" s="228"/>
      <c r="CM101" s="228"/>
      <c r="CN101" s="228"/>
      <c r="CO101" s="228"/>
      <c r="CP101" s="228"/>
      <c r="CQ101" s="228"/>
      <c r="CR101" s="228"/>
      <c r="CS101" s="228"/>
      <c r="CT101" s="228"/>
      <c r="CU101" s="228"/>
      <c r="CV101" s="228"/>
      <c r="CW101" s="228"/>
      <c r="CX101" s="228"/>
      <c r="CY101" s="228"/>
      <c r="CZ101" s="228"/>
      <c r="DA101" s="228"/>
      <c r="DB101" s="228"/>
    </row>
    <row r="102" ht="12.0" customHeight="1">
      <c r="A102" s="228"/>
      <c r="B102" s="228"/>
      <c r="C102" s="228"/>
      <c r="D102" s="228"/>
      <c r="E102" s="228"/>
      <c r="F102" s="228"/>
      <c r="G102" s="228"/>
      <c r="H102" s="228"/>
      <c r="I102" s="228"/>
      <c r="J102" s="228"/>
      <c r="K102" s="228"/>
      <c r="L102" s="228"/>
      <c r="M102" s="228"/>
      <c r="N102" s="228"/>
      <c r="O102" s="228"/>
      <c r="P102" s="228"/>
      <c r="Q102" s="228"/>
      <c r="R102" s="228"/>
      <c r="S102" s="228"/>
      <c r="T102" s="228"/>
      <c r="U102" s="228"/>
      <c r="V102" s="228"/>
      <c r="W102" s="228"/>
      <c r="X102" s="228"/>
      <c r="Y102" s="228"/>
      <c r="Z102" s="228"/>
      <c r="AA102" s="228"/>
      <c r="AB102" s="228"/>
      <c r="AC102" s="228"/>
      <c r="AD102" s="228"/>
      <c r="AE102" s="228"/>
      <c r="AF102" s="228"/>
      <c r="AG102" s="228"/>
      <c r="AH102" s="228"/>
      <c r="AI102" s="228"/>
      <c r="AJ102" s="228"/>
      <c r="AK102" s="228"/>
      <c r="AL102" s="228"/>
      <c r="AM102" s="228"/>
      <c r="AN102" s="228"/>
      <c r="AO102" s="228"/>
      <c r="AP102" s="228"/>
      <c r="AQ102" s="228"/>
      <c r="AR102" s="228"/>
      <c r="AS102" s="228"/>
      <c r="AT102" s="228"/>
      <c r="AU102" s="228"/>
      <c r="AV102" s="228"/>
      <c r="AW102" s="228"/>
      <c r="AX102" s="228"/>
      <c r="AY102" s="228"/>
      <c r="AZ102" s="228"/>
      <c r="BA102" s="228"/>
      <c r="BB102" s="228"/>
      <c r="BC102" s="228"/>
      <c r="BD102" s="228"/>
      <c r="BE102" s="228"/>
      <c r="BF102" s="228"/>
      <c r="BG102" s="228"/>
      <c r="BH102" s="228"/>
      <c r="BI102" s="228"/>
      <c r="BJ102" s="228"/>
      <c r="BK102" s="228"/>
      <c r="BL102" s="228"/>
      <c r="BM102" s="228"/>
      <c r="BN102" s="228"/>
      <c r="BO102" s="228"/>
      <c r="BP102" s="228"/>
      <c r="BQ102" s="228"/>
      <c r="BR102" s="228"/>
      <c r="BS102" s="228"/>
      <c r="BT102" s="228"/>
      <c r="BU102" s="228"/>
      <c r="BV102" s="228"/>
      <c r="BW102" s="228"/>
      <c r="BX102" s="228"/>
      <c r="BY102" s="228"/>
      <c r="BZ102" s="228"/>
      <c r="CA102" s="228"/>
      <c r="CB102" s="228"/>
      <c r="CC102" s="228"/>
      <c r="CD102" s="228"/>
      <c r="CE102" s="228"/>
      <c r="CF102" s="228"/>
      <c r="CG102" s="228"/>
      <c r="CH102" s="228"/>
      <c r="CI102" s="228"/>
      <c r="CJ102" s="228"/>
      <c r="CK102" s="228"/>
      <c r="CL102" s="228"/>
      <c r="CM102" s="228"/>
      <c r="CN102" s="228"/>
      <c r="CO102" s="228"/>
      <c r="CP102" s="228"/>
      <c r="CQ102" s="228"/>
      <c r="CR102" s="228"/>
      <c r="CS102" s="228"/>
      <c r="CT102" s="228"/>
      <c r="CU102" s="228"/>
      <c r="CV102" s="228"/>
      <c r="CW102" s="228"/>
      <c r="CX102" s="228"/>
      <c r="CY102" s="228"/>
      <c r="CZ102" s="228"/>
      <c r="DA102" s="228"/>
      <c r="DB102" s="228"/>
    </row>
    <row r="103" ht="12.0" customHeight="1">
      <c r="A103" s="228"/>
      <c r="B103" s="228"/>
      <c r="C103" s="228"/>
      <c r="D103" s="228"/>
      <c r="E103" s="228"/>
      <c r="F103" s="228"/>
      <c r="G103" s="228"/>
      <c r="H103" s="228"/>
      <c r="I103" s="228"/>
      <c r="J103" s="228"/>
      <c r="K103" s="228"/>
      <c r="L103" s="228"/>
      <c r="M103" s="228"/>
      <c r="N103" s="228"/>
      <c r="O103" s="228"/>
      <c r="P103" s="228"/>
      <c r="Q103" s="228"/>
      <c r="R103" s="228"/>
      <c r="S103" s="228"/>
      <c r="T103" s="228"/>
      <c r="U103" s="228"/>
      <c r="V103" s="228"/>
      <c r="W103" s="228"/>
      <c r="X103" s="228"/>
      <c r="Y103" s="228"/>
      <c r="Z103" s="228"/>
      <c r="AA103" s="228"/>
      <c r="AB103" s="228"/>
      <c r="AC103" s="228"/>
      <c r="AD103" s="228"/>
      <c r="AE103" s="228"/>
      <c r="AF103" s="228"/>
      <c r="AG103" s="228"/>
      <c r="AH103" s="228"/>
      <c r="AI103" s="228"/>
      <c r="AJ103" s="228"/>
      <c r="AK103" s="228"/>
      <c r="AL103" s="228"/>
      <c r="AM103" s="228"/>
      <c r="AN103" s="228"/>
      <c r="AO103" s="228"/>
      <c r="AP103" s="228"/>
      <c r="AQ103" s="228"/>
      <c r="AR103" s="228"/>
      <c r="AS103" s="228"/>
      <c r="AT103" s="228"/>
      <c r="AU103" s="228"/>
      <c r="AV103" s="228"/>
      <c r="AW103" s="228"/>
      <c r="AX103" s="228"/>
      <c r="AY103" s="228"/>
      <c r="AZ103" s="228"/>
      <c r="BA103" s="228"/>
      <c r="BB103" s="228"/>
      <c r="BC103" s="228"/>
      <c r="BD103" s="228"/>
      <c r="BE103" s="228"/>
      <c r="BF103" s="228"/>
      <c r="BG103" s="228"/>
      <c r="BH103" s="228"/>
      <c r="BI103" s="228"/>
      <c r="BJ103" s="228"/>
      <c r="BK103" s="228"/>
      <c r="BL103" s="228"/>
      <c r="BM103" s="228"/>
      <c r="BN103" s="228"/>
      <c r="BO103" s="228"/>
      <c r="BP103" s="228"/>
      <c r="BQ103" s="228"/>
      <c r="BR103" s="228"/>
      <c r="BS103" s="228"/>
      <c r="BT103" s="228"/>
      <c r="BU103" s="228"/>
      <c r="BV103" s="228"/>
      <c r="BW103" s="228"/>
      <c r="BX103" s="228"/>
      <c r="BY103" s="228"/>
      <c r="BZ103" s="228"/>
      <c r="CA103" s="228"/>
      <c r="CB103" s="228"/>
      <c r="CC103" s="228"/>
      <c r="CD103" s="228"/>
      <c r="CE103" s="228"/>
      <c r="CF103" s="228"/>
      <c r="CG103" s="228"/>
      <c r="CH103" s="228"/>
      <c r="CI103" s="228"/>
      <c r="CJ103" s="228"/>
      <c r="CK103" s="228"/>
      <c r="CL103" s="228"/>
      <c r="CM103" s="228"/>
      <c r="CN103" s="228"/>
      <c r="CO103" s="228"/>
      <c r="CP103" s="228"/>
      <c r="CQ103" s="228"/>
      <c r="CR103" s="228"/>
      <c r="CS103" s="228"/>
      <c r="CT103" s="228"/>
      <c r="CU103" s="228"/>
      <c r="CV103" s="228"/>
      <c r="CW103" s="228"/>
      <c r="CX103" s="228"/>
      <c r="CY103" s="228"/>
      <c r="CZ103" s="228"/>
      <c r="DA103" s="228"/>
      <c r="DB103" s="228"/>
    </row>
    <row r="104" ht="12.0" customHeight="1">
      <c r="A104" s="228"/>
      <c r="B104" s="228"/>
      <c r="C104" s="228"/>
      <c r="D104" s="228"/>
      <c r="E104" s="228"/>
      <c r="F104" s="228"/>
      <c r="G104" s="228"/>
      <c r="H104" s="228"/>
      <c r="I104" s="228"/>
      <c r="J104" s="228"/>
      <c r="K104" s="228"/>
      <c r="L104" s="228"/>
      <c r="M104" s="228"/>
      <c r="N104" s="228"/>
      <c r="O104" s="228"/>
      <c r="P104" s="228"/>
      <c r="Q104" s="228"/>
      <c r="R104" s="228"/>
      <c r="S104" s="228"/>
      <c r="T104" s="228"/>
      <c r="U104" s="228"/>
      <c r="V104" s="228"/>
      <c r="W104" s="228"/>
      <c r="X104" s="228"/>
      <c r="Y104" s="228"/>
      <c r="Z104" s="228"/>
      <c r="AA104" s="228"/>
      <c r="AB104" s="228"/>
      <c r="AC104" s="228"/>
      <c r="AD104" s="228"/>
      <c r="AE104" s="228"/>
      <c r="AF104" s="228"/>
      <c r="AG104" s="228"/>
      <c r="AH104" s="228"/>
      <c r="AI104" s="228"/>
      <c r="AJ104" s="228"/>
      <c r="AK104" s="228"/>
      <c r="AL104" s="228"/>
      <c r="AM104" s="228"/>
      <c r="AN104" s="228"/>
      <c r="AO104" s="228"/>
      <c r="AP104" s="228"/>
      <c r="AQ104" s="228"/>
      <c r="AR104" s="228"/>
      <c r="AS104" s="228"/>
      <c r="AT104" s="228"/>
      <c r="AU104" s="228"/>
      <c r="AV104" s="228"/>
      <c r="AW104" s="228"/>
      <c r="AX104" s="228"/>
      <c r="AY104" s="228"/>
      <c r="AZ104" s="228"/>
      <c r="BA104" s="228"/>
      <c r="BB104" s="228"/>
      <c r="BC104" s="228"/>
      <c r="BD104" s="228"/>
      <c r="BE104" s="228"/>
      <c r="BF104" s="228"/>
      <c r="BG104" s="228"/>
      <c r="BH104" s="228"/>
      <c r="BI104" s="228"/>
      <c r="BJ104" s="228"/>
      <c r="BK104" s="228"/>
      <c r="BL104" s="228"/>
      <c r="BM104" s="228"/>
      <c r="BN104" s="228"/>
      <c r="BO104" s="228"/>
      <c r="BP104" s="228"/>
      <c r="BQ104" s="228"/>
      <c r="BR104" s="228"/>
      <c r="BS104" s="228"/>
      <c r="BT104" s="228"/>
      <c r="BU104" s="228"/>
      <c r="BV104" s="228"/>
      <c r="BW104" s="228"/>
      <c r="BX104" s="228"/>
      <c r="BY104" s="228"/>
      <c r="BZ104" s="228"/>
      <c r="CA104" s="228"/>
      <c r="CB104" s="228"/>
      <c r="CC104" s="228"/>
      <c r="CD104" s="228"/>
      <c r="CE104" s="228"/>
      <c r="CF104" s="228"/>
      <c r="CG104" s="228"/>
      <c r="CH104" s="228"/>
      <c r="CI104" s="228"/>
      <c r="CJ104" s="228"/>
      <c r="CK104" s="228"/>
      <c r="CL104" s="228"/>
      <c r="CM104" s="228"/>
      <c r="CN104" s="228"/>
      <c r="CO104" s="228"/>
      <c r="CP104" s="228"/>
      <c r="CQ104" s="228"/>
      <c r="CR104" s="228"/>
      <c r="CS104" s="228"/>
      <c r="CT104" s="228"/>
      <c r="CU104" s="228"/>
      <c r="CV104" s="228"/>
      <c r="CW104" s="228"/>
      <c r="CX104" s="228"/>
      <c r="CY104" s="228"/>
      <c r="CZ104" s="228"/>
      <c r="DA104" s="228"/>
      <c r="DB104" s="228"/>
    </row>
    <row r="105" ht="12.0" customHeight="1">
      <c r="A105" s="228"/>
      <c r="B105" s="228"/>
      <c r="C105" s="228"/>
      <c r="D105" s="228"/>
      <c r="E105" s="228"/>
      <c r="F105" s="228"/>
      <c r="G105" s="228"/>
      <c r="H105" s="228"/>
      <c r="I105" s="228"/>
      <c r="J105" s="228"/>
      <c r="K105" s="228"/>
      <c r="L105" s="228"/>
      <c r="M105" s="228"/>
      <c r="N105" s="228"/>
      <c r="O105" s="228"/>
      <c r="P105" s="228"/>
      <c r="Q105" s="228"/>
      <c r="R105" s="228"/>
      <c r="S105" s="228"/>
      <c r="T105" s="228"/>
      <c r="U105" s="228"/>
      <c r="V105" s="228"/>
      <c r="W105" s="228"/>
      <c r="X105" s="228"/>
      <c r="Y105" s="228"/>
      <c r="Z105" s="228"/>
      <c r="AA105" s="228"/>
      <c r="AB105" s="228"/>
      <c r="AC105" s="228"/>
      <c r="AD105" s="228"/>
      <c r="AE105" s="228"/>
      <c r="AF105" s="228"/>
      <c r="AG105" s="228"/>
      <c r="AH105" s="228"/>
      <c r="AI105" s="228"/>
      <c r="AJ105" s="228"/>
      <c r="AK105" s="228"/>
      <c r="AL105" s="228"/>
      <c r="AM105" s="228"/>
      <c r="AN105" s="228"/>
      <c r="AO105" s="228"/>
      <c r="AP105" s="228"/>
      <c r="AQ105" s="228"/>
      <c r="AR105" s="228"/>
      <c r="AS105" s="228"/>
      <c r="AT105" s="228"/>
      <c r="AU105" s="228"/>
      <c r="AV105" s="228"/>
      <c r="AW105" s="228"/>
      <c r="AX105" s="228"/>
      <c r="AY105" s="228"/>
      <c r="AZ105" s="228"/>
      <c r="BA105" s="228"/>
      <c r="BB105" s="228"/>
      <c r="BC105" s="228"/>
      <c r="BD105" s="228"/>
      <c r="BE105" s="228"/>
      <c r="BF105" s="228"/>
      <c r="BG105" s="228"/>
      <c r="BH105" s="228"/>
      <c r="BI105" s="228"/>
      <c r="BJ105" s="228"/>
      <c r="BK105" s="228"/>
      <c r="BL105" s="228"/>
      <c r="BM105" s="228"/>
      <c r="BN105" s="228"/>
      <c r="BO105" s="228"/>
      <c r="BP105" s="228"/>
      <c r="BQ105" s="228"/>
      <c r="BR105" s="228"/>
      <c r="BS105" s="228"/>
      <c r="BT105" s="228"/>
      <c r="BU105" s="228"/>
      <c r="BV105" s="228"/>
      <c r="BW105" s="228"/>
      <c r="BX105" s="228"/>
      <c r="BY105" s="228"/>
      <c r="BZ105" s="228"/>
      <c r="CA105" s="228"/>
      <c r="CB105" s="228"/>
      <c r="CC105" s="228"/>
      <c r="CD105" s="228"/>
      <c r="CE105" s="228"/>
      <c r="CF105" s="228"/>
      <c r="CG105" s="228"/>
      <c r="CH105" s="228"/>
      <c r="CI105" s="228"/>
      <c r="CJ105" s="228"/>
      <c r="CK105" s="228"/>
      <c r="CL105" s="228"/>
      <c r="CM105" s="228"/>
      <c r="CN105" s="228"/>
      <c r="CO105" s="228"/>
      <c r="CP105" s="228"/>
      <c r="CQ105" s="228"/>
      <c r="CR105" s="228"/>
      <c r="CS105" s="228"/>
      <c r="CT105" s="228"/>
      <c r="CU105" s="228"/>
      <c r="CV105" s="228"/>
      <c r="CW105" s="228"/>
      <c r="CX105" s="228"/>
      <c r="CY105" s="228"/>
      <c r="CZ105" s="228"/>
      <c r="DA105" s="228"/>
      <c r="DB105" s="228"/>
    </row>
    <row r="106" ht="12.0" customHeight="1">
      <c r="A106" s="228"/>
      <c r="B106" s="228"/>
      <c r="C106" s="228"/>
      <c r="D106" s="228"/>
      <c r="E106" s="228"/>
      <c r="F106" s="228"/>
      <c r="G106" s="228"/>
      <c r="H106" s="228"/>
      <c r="I106" s="228"/>
      <c r="J106" s="228"/>
      <c r="K106" s="228"/>
      <c r="L106" s="228"/>
      <c r="M106" s="228"/>
      <c r="N106" s="228"/>
      <c r="O106" s="228"/>
      <c r="P106" s="228"/>
      <c r="Q106" s="228"/>
      <c r="R106" s="228"/>
      <c r="S106" s="228"/>
      <c r="T106" s="228"/>
      <c r="U106" s="228"/>
      <c r="V106" s="228"/>
      <c r="W106" s="228"/>
      <c r="X106" s="228"/>
      <c r="Y106" s="228"/>
      <c r="Z106" s="228"/>
      <c r="AA106" s="228"/>
      <c r="AB106" s="228"/>
      <c r="AC106" s="228"/>
      <c r="AD106" s="228"/>
      <c r="AE106" s="228"/>
      <c r="AF106" s="228"/>
      <c r="AG106" s="228"/>
      <c r="AH106" s="228"/>
      <c r="AI106" s="228"/>
      <c r="AJ106" s="228"/>
      <c r="AK106" s="228"/>
      <c r="AL106" s="228"/>
      <c r="AM106" s="228"/>
      <c r="AN106" s="228"/>
      <c r="AO106" s="228"/>
      <c r="AP106" s="228"/>
      <c r="AQ106" s="228"/>
      <c r="AR106" s="228"/>
      <c r="AS106" s="228"/>
      <c r="AT106" s="228"/>
      <c r="AU106" s="228"/>
      <c r="AV106" s="228"/>
      <c r="AW106" s="228"/>
      <c r="AX106" s="228"/>
      <c r="AY106" s="228"/>
      <c r="AZ106" s="228"/>
      <c r="BA106" s="228"/>
      <c r="BB106" s="228"/>
      <c r="BC106" s="228"/>
      <c r="BD106" s="228"/>
      <c r="BE106" s="228"/>
      <c r="BF106" s="228"/>
      <c r="BG106" s="228"/>
      <c r="BH106" s="228"/>
      <c r="BI106" s="228"/>
      <c r="BJ106" s="228"/>
      <c r="BK106" s="228"/>
      <c r="BL106" s="228"/>
      <c r="BM106" s="228"/>
      <c r="BN106" s="228"/>
      <c r="BO106" s="228"/>
      <c r="BP106" s="228"/>
      <c r="BQ106" s="228"/>
      <c r="BR106" s="228"/>
      <c r="BS106" s="228"/>
      <c r="BT106" s="228"/>
      <c r="BU106" s="228"/>
      <c r="BV106" s="228"/>
      <c r="BW106" s="228"/>
      <c r="BX106" s="228"/>
      <c r="BY106" s="228"/>
      <c r="BZ106" s="228"/>
      <c r="CA106" s="228"/>
      <c r="CB106" s="228"/>
      <c r="CC106" s="228"/>
      <c r="CD106" s="228"/>
      <c r="CE106" s="228"/>
      <c r="CF106" s="228"/>
      <c r="CG106" s="228"/>
      <c r="CH106" s="228"/>
      <c r="CI106" s="228"/>
      <c r="CJ106" s="228"/>
      <c r="CK106" s="228"/>
      <c r="CL106" s="228"/>
      <c r="CM106" s="228"/>
      <c r="CN106" s="228"/>
      <c r="CO106" s="228"/>
      <c r="CP106" s="228"/>
      <c r="CQ106" s="228"/>
      <c r="CR106" s="228"/>
      <c r="CS106" s="228"/>
      <c r="CT106" s="228"/>
      <c r="CU106" s="228"/>
      <c r="CV106" s="228"/>
      <c r="CW106" s="228"/>
      <c r="CX106" s="228"/>
      <c r="CY106" s="228"/>
      <c r="CZ106" s="228"/>
      <c r="DA106" s="228"/>
      <c r="DB106" s="228"/>
    </row>
    <row r="107" ht="12.0" customHeight="1">
      <c r="A107" s="228"/>
      <c r="B107" s="228"/>
      <c r="C107" s="228"/>
      <c r="D107" s="228"/>
      <c r="E107" s="228"/>
      <c r="F107" s="228"/>
      <c r="G107" s="228"/>
      <c r="H107" s="228"/>
      <c r="I107" s="228"/>
      <c r="J107" s="228"/>
      <c r="K107" s="228"/>
      <c r="L107" s="228"/>
      <c r="M107" s="228"/>
      <c r="N107" s="228"/>
      <c r="O107" s="228"/>
      <c r="P107" s="228"/>
      <c r="Q107" s="228"/>
      <c r="R107" s="228"/>
      <c r="S107" s="228"/>
      <c r="T107" s="228"/>
      <c r="U107" s="228"/>
      <c r="V107" s="228"/>
      <c r="W107" s="228"/>
      <c r="X107" s="228"/>
      <c r="Y107" s="228"/>
      <c r="Z107" s="228"/>
      <c r="AA107" s="228"/>
      <c r="AB107" s="228"/>
      <c r="AC107" s="228"/>
      <c r="AD107" s="228"/>
      <c r="AE107" s="228"/>
      <c r="AF107" s="228"/>
      <c r="AG107" s="228"/>
      <c r="AH107" s="228"/>
      <c r="AI107" s="228"/>
      <c r="AJ107" s="228"/>
      <c r="AK107" s="228"/>
      <c r="AL107" s="228"/>
      <c r="AM107" s="228"/>
      <c r="AN107" s="228"/>
      <c r="AO107" s="228"/>
      <c r="AP107" s="228"/>
      <c r="AQ107" s="228"/>
      <c r="AR107" s="228"/>
      <c r="AS107" s="228"/>
      <c r="AT107" s="228"/>
      <c r="AU107" s="228"/>
      <c r="AV107" s="228"/>
      <c r="AW107" s="228"/>
      <c r="AX107" s="228"/>
      <c r="AY107" s="228"/>
      <c r="AZ107" s="228"/>
      <c r="BA107" s="228"/>
      <c r="BB107" s="228"/>
      <c r="BC107" s="228"/>
      <c r="BD107" s="228"/>
      <c r="BE107" s="228"/>
      <c r="BF107" s="228"/>
      <c r="BG107" s="228"/>
      <c r="BH107" s="228"/>
      <c r="BI107" s="228"/>
      <c r="BJ107" s="228"/>
      <c r="BK107" s="228"/>
      <c r="BL107" s="228"/>
      <c r="BM107" s="228"/>
      <c r="BN107" s="228"/>
      <c r="BO107" s="228"/>
      <c r="BP107" s="228"/>
      <c r="BQ107" s="228"/>
      <c r="BR107" s="228"/>
      <c r="BS107" s="228"/>
      <c r="BT107" s="228"/>
      <c r="BU107" s="228"/>
      <c r="BV107" s="228"/>
      <c r="BW107" s="228"/>
      <c r="BX107" s="228"/>
      <c r="BY107" s="228"/>
      <c r="BZ107" s="228"/>
      <c r="CA107" s="228"/>
      <c r="CB107" s="228"/>
      <c r="CC107" s="228"/>
      <c r="CD107" s="228"/>
      <c r="CE107" s="228"/>
      <c r="CF107" s="228"/>
      <c r="CG107" s="228"/>
      <c r="CH107" s="228"/>
      <c r="CI107" s="228"/>
      <c r="CJ107" s="228"/>
      <c r="CK107" s="228"/>
      <c r="CL107" s="228"/>
      <c r="CM107" s="228"/>
      <c r="CN107" s="228"/>
      <c r="CO107" s="228"/>
      <c r="CP107" s="228"/>
      <c r="CQ107" s="228"/>
      <c r="CR107" s="228"/>
      <c r="CS107" s="228"/>
      <c r="CT107" s="228"/>
      <c r="CU107" s="228"/>
      <c r="CV107" s="228"/>
      <c r="CW107" s="228"/>
      <c r="CX107" s="228"/>
      <c r="CY107" s="228"/>
      <c r="CZ107" s="228"/>
      <c r="DA107" s="228"/>
      <c r="DB107" s="228"/>
    </row>
    <row r="108" ht="12.0" customHeight="1">
      <c r="A108" s="228"/>
      <c r="B108" s="228"/>
      <c r="C108" s="228"/>
      <c r="D108" s="228"/>
      <c r="E108" s="228"/>
      <c r="F108" s="228"/>
      <c r="G108" s="228"/>
      <c r="H108" s="228"/>
      <c r="I108" s="228"/>
      <c r="J108" s="228"/>
      <c r="K108" s="228"/>
      <c r="L108" s="228"/>
      <c r="M108" s="228"/>
      <c r="N108" s="228"/>
      <c r="O108" s="228"/>
      <c r="P108" s="228"/>
      <c r="Q108" s="228"/>
      <c r="R108" s="228"/>
      <c r="S108" s="228"/>
      <c r="T108" s="228"/>
      <c r="U108" s="228"/>
      <c r="V108" s="228"/>
      <c r="W108" s="228"/>
      <c r="X108" s="228"/>
      <c r="Y108" s="228"/>
      <c r="Z108" s="228"/>
      <c r="AA108" s="228"/>
      <c r="AB108" s="228"/>
      <c r="AC108" s="228"/>
      <c r="AD108" s="228"/>
      <c r="AE108" s="228"/>
      <c r="AF108" s="228"/>
      <c r="AG108" s="228"/>
      <c r="AH108" s="228"/>
      <c r="AI108" s="228"/>
      <c r="AJ108" s="228"/>
      <c r="AK108" s="228"/>
      <c r="AL108" s="228"/>
      <c r="AM108" s="228"/>
      <c r="AN108" s="228"/>
      <c r="AO108" s="228"/>
      <c r="AP108" s="228"/>
      <c r="AQ108" s="228"/>
      <c r="AR108" s="228"/>
      <c r="AS108" s="228"/>
      <c r="AT108" s="228"/>
      <c r="AU108" s="228"/>
      <c r="AV108" s="228"/>
      <c r="AW108" s="228"/>
      <c r="AX108" s="228"/>
      <c r="AY108" s="228"/>
      <c r="AZ108" s="228"/>
      <c r="BA108" s="228"/>
      <c r="BB108" s="228"/>
      <c r="BC108" s="228"/>
      <c r="BD108" s="228"/>
      <c r="BE108" s="228"/>
      <c r="BF108" s="228"/>
      <c r="BG108" s="228"/>
      <c r="BH108" s="228"/>
      <c r="BI108" s="228"/>
      <c r="BJ108" s="228"/>
      <c r="BK108" s="228"/>
      <c r="BL108" s="228"/>
      <c r="BM108" s="228"/>
      <c r="BN108" s="228"/>
      <c r="BO108" s="228"/>
      <c r="BP108" s="228"/>
      <c r="BQ108" s="228"/>
      <c r="BR108" s="228"/>
      <c r="BS108" s="228"/>
      <c r="BT108" s="228"/>
      <c r="BU108" s="228"/>
      <c r="BV108" s="228"/>
      <c r="BW108" s="228"/>
      <c r="BX108" s="228"/>
      <c r="BY108" s="228"/>
      <c r="BZ108" s="228"/>
      <c r="CA108" s="228"/>
      <c r="CB108" s="228"/>
      <c r="CC108" s="228"/>
      <c r="CD108" s="228"/>
      <c r="CE108" s="228"/>
      <c r="CF108" s="228"/>
      <c r="CG108" s="228"/>
      <c r="CH108" s="228"/>
      <c r="CI108" s="228"/>
      <c r="CJ108" s="228"/>
      <c r="CK108" s="228"/>
      <c r="CL108" s="228"/>
      <c r="CM108" s="228"/>
      <c r="CN108" s="228"/>
      <c r="CO108" s="228"/>
      <c r="CP108" s="228"/>
      <c r="CQ108" s="228"/>
      <c r="CR108" s="228"/>
      <c r="CS108" s="228"/>
      <c r="CT108" s="228"/>
      <c r="CU108" s="228"/>
      <c r="CV108" s="228"/>
      <c r="CW108" s="228"/>
      <c r="CX108" s="228"/>
      <c r="CY108" s="228"/>
      <c r="CZ108" s="228"/>
      <c r="DA108" s="228"/>
      <c r="DB108" s="228"/>
    </row>
    <row r="109" ht="12.0" customHeight="1">
      <c r="A109" s="228"/>
      <c r="B109" s="228"/>
      <c r="C109" s="228"/>
      <c r="D109" s="228"/>
      <c r="E109" s="228"/>
      <c r="F109" s="228"/>
      <c r="G109" s="228"/>
      <c r="H109" s="228"/>
      <c r="I109" s="228"/>
      <c r="J109" s="228"/>
      <c r="K109" s="228"/>
      <c r="L109" s="228"/>
      <c r="M109" s="228"/>
      <c r="N109" s="228"/>
      <c r="O109" s="228"/>
      <c r="P109" s="228"/>
      <c r="Q109" s="228"/>
      <c r="R109" s="228"/>
      <c r="S109" s="228"/>
      <c r="T109" s="228"/>
      <c r="U109" s="228"/>
      <c r="V109" s="228"/>
      <c r="W109" s="228"/>
      <c r="X109" s="228"/>
      <c r="Y109" s="228"/>
      <c r="Z109" s="228"/>
      <c r="AA109" s="228"/>
      <c r="AB109" s="228"/>
      <c r="AC109" s="228"/>
      <c r="AD109" s="228"/>
      <c r="AE109" s="228"/>
      <c r="AF109" s="228"/>
      <c r="AG109" s="228"/>
      <c r="AH109" s="228"/>
      <c r="AI109" s="228"/>
      <c r="AJ109" s="228"/>
      <c r="AK109" s="228"/>
      <c r="AL109" s="228"/>
      <c r="AM109" s="228"/>
      <c r="AN109" s="228"/>
      <c r="AO109" s="228"/>
      <c r="AP109" s="228"/>
      <c r="AQ109" s="228"/>
      <c r="AR109" s="228"/>
      <c r="AS109" s="228"/>
      <c r="AT109" s="228"/>
      <c r="AU109" s="228"/>
      <c r="AV109" s="228"/>
      <c r="AW109" s="228"/>
      <c r="AX109" s="228"/>
      <c r="AY109" s="228"/>
      <c r="AZ109" s="228"/>
      <c r="BA109" s="228"/>
      <c r="BB109" s="228"/>
      <c r="BC109" s="228"/>
      <c r="BD109" s="228"/>
      <c r="BE109" s="228"/>
      <c r="BF109" s="228"/>
      <c r="BG109" s="228"/>
      <c r="BH109" s="228"/>
      <c r="BI109" s="228"/>
      <c r="BJ109" s="228"/>
      <c r="BK109" s="228"/>
      <c r="BL109" s="228"/>
      <c r="BM109" s="228"/>
      <c r="BN109" s="228"/>
      <c r="BO109" s="228"/>
      <c r="BP109" s="228"/>
      <c r="BQ109" s="228"/>
      <c r="BR109" s="228"/>
      <c r="BS109" s="228"/>
      <c r="BT109" s="228"/>
      <c r="BU109" s="228"/>
      <c r="BV109" s="228"/>
      <c r="BW109" s="228"/>
      <c r="BX109" s="228"/>
      <c r="BY109" s="228"/>
      <c r="BZ109" s="228"/>
      <c r="CA109" s="228"/>
      <c r="CB109" s="228"/>
      <c r="CC109" s="228"/>
      <c r="CD109" s="228"/>
      <c r="CE109" s="228"/>
      <c r="CF109" s="228"/>
      <c r="CG109" s="228"/>
      <c r="CH109" s="228"/>
      <c r="CI109" s="228"/>
      <c r="CJ109" s="228"/>
      <c r="CK109" s="228"/>
      <c r="CL109" s="228"/>
      <c r="CM109" s="228"/>
      <c r="CN109" s="228"/>
      <c r="CO109" s="228"/>
      <c r="CP109" s="228"/>
      <c r="CQ109" s="228"/>
      <c r="CR109" s="228"/>
      <c r="CS109" s="228"/>
      <c r="CT109" s="228"/>
      <c r="CU109" s="228"/>
      <c r="CV109" s="228"/>
      <c r="CW109" s="228"/>
      <c r="CX109" s="228"/>
      <c r="CY109" s="228"/>
      <c r="CZ109" s="228"/>
      <c r="DA109" s="228"/>
      <c r="DB109" s="228"/>
    </row>
    <row r="110" ht="12.0" customHeight="1">
      <c r="A110" s="228"/>
      <c r="B110" s="228"/>
      <c r="C110" s="228"/>
      <c r="D110" s="228"/>
      <c r="E110" s="228"/>
      <c r="F110" s="228"/>
      <c r="G110" s="228"/>
      <c r="H110" s="228"/>
      <c r="I110" s="228"/>
      <c r="J110" s="228"/>
      <c r="K110" s="228"/>
      <c r="L110" s="228"/>
      <c r="M110" s="228"/>
      <c r="N110" s="228"/>
      <c r="O110" s="228"/>
      <c r="P110" s="228"/>
      <c r="Q110" s="228"/>
      <c r="R110" s="228"/>
      <c r="S110" s="228"/>
      <c r="T110" s="228"/>
      <c r="U110" s="228"/>
      <c r="V110" s="228"/>
      <c r="W110" s="228"/>
      <c r="X110" s="228"/>
      <c r="Y110" s="228"/>
      <c r="Z110" s="228"/>
      <c r="AA110" s="228"/>
      <c r="AB110" s="228"/>
      <c r="AC110" s="228"/>
      <c r="AD110" s="228"/>
      <c r="AE110" s="228"/>
      <c r="AF110" s="228"/>
      <c r="AG110" s="228"/>
      <c r="AH110" s="228"/>
      <c r="AI110" s="228"/>
      <c r="AJ110" s="228"/>
      <c r="AK110" s="228"/>
      <c r="AL110" s="228"/>
      <c r="AM110" s="228"/>
      <c r="AN110" s="228"/>
      <c r="AO110" s="228"/>
      <c r="AP110" s="228"/>
      <c r="AQ110" s="228"/>
      <c r="AR110" s="228"/>
      <c r="AS110" s="228"/>
      <c r="AT110" s="228"/>
      <c r="AU110" s="228"/>
      <c r="AV110" s="228"/>
      <c r="AW110" s="228"/>
      <c r="AX110" s="228"/>
      <c r="AY110" s="228"/>
      <c r="AZ110" s="228"/>
      <c r="BA110" s="228"/>
      <c r="BB110" s="228"/>
      <c r="BC110" s="228"/>
      <c r="BD110" s="228"/>
      <c r="BE110" s="228"/>
      <c r="BF110" s="228"/>
      <c r="BG110" s="228"/>
      <c r="BH110" s="228"/>
      <c r="BI110" s="228"/>
      <c r="BJ110" s="228"/>
      <c r="BK110" s="228"/>
      <c r="BL110" s="228"/>
      <c r="BM110" s="228"/>
      <c r="BN110" s="228"/>
      <c r="BO110" s="228"/>
      <c r="BP110" s="228"/>
      <c r="BQ110" s="228"/>
      <c r="BR110" s="228"/>
      <c r="BS110" s="228"/>
      <c r="BT110" s="228"/>
      <c r="BU110" s="228"/>
      <c r="BV110" s="228"/>
      <c r="BW110" s="228"/>
      <c r="BX110" s="228"/>
      <c r="BY110" s="228"/>
      <c r="BZ110" s="228"/>
      <c r="CA110" s="228"/>
      <c r="CB110" s="228"/>
      <c r="CC110" s="228"/>
      <c r="CD110" s="228"/>
      <c r="CE110" s="228"/>
      <c r="CF110" s="228"/>
      <c r="CG110" s="228"/>
      <c r="CH110" s="228"/>
      <c r="CI110" s="228"/>
      <c r="CJ110" s="228"/>
      <c r="CK110" s="228"/>
      <c r="CL110" s="228"/>
      <c r="CM110" s="228"/>
      <c r="CN110" s="228"/>
      <c r="CO110" s="228"/>
      <c r="CP110" s="228"/>
      <c r="CQ110" s="228"/>
      <c r="CR110" s="228"/>
      <c r="CS110" s="228"/>
      <c r="CT110" s="228"/>
      <c r="CU110" s="228"/>
      <c r="CV110" s="228"/>
      <c r="CW110" s="228"/>
      <c r="CX110" s="228"/>
      <c r="CY110" s="228"/>
      <c r="CZ110" s="228"/>
      <c r="DA110" s="228"/>
      <c r="DB110" s="228"/>
    </row>
    <row r="111" ht="12.0" customHeight="1">
      <c r="A111" s="228"/>
      <c r="B111" s="228"/>
      <c r="C111" s="228"/>
      <c r="D111" s="228"/>
      <c r="E111" s="228"/>
      <c r="F111" s="228"/>
      <c r="G111" s="228"/>
      <c r="H111" s="228"/>
      <c r="I111" s="228"/>
      <c r="J111" s="228"/>
      <c r="K111" s="228"/>
      <c r="L111" s="228"/>
      <c r="M111" s="228"/>
      <c r="N111" s="228"/>
      <c r="O111" s="228"/>
      <c r="P111" s="228"/>
      <c r="Q111" s="228"/>
      <c r="R111" s="228"/>
      <c r="S111" s="228"/>
      <c r="T111" s="228"/>
      <c r="U111" s="228"/>
      <c r="V111" s="228"/>
      <c r="W111" s="228"/>
      <c r="X111" s="228"/>
      <c r="Y111" s="228"/>
      <c r="Z111" s="228"/>
      <c r="AA111" s="228"/>
      <c r="AB111" s="228"/>
      <c r="AC111" s="228"/>
      <c r="AD111" s="228"/>
      <c r="AE111" s="228"/>
      <c r="AF111" s="228"/>
      <c r="AG111" s="228"/>
      <c r="AH111" s="228"/>
      <c r="AI111" s="228"/>
      <c r="AJ111" s="228"/>
      <c r="AK111" s="228"/>
      <c r="AL111" s="228"/>
      <c r="AM111" s="228"/>
      <c r="AN111" s="228"/>
      <c r="AO111" s="228"/>
      <c r="AP111" s="228"/>
      <c r="AQ111" s="228"/>
      <c r="AR111" s="228"/>
      <c r="AS111" s="228"/>
      <c r="AT111" s="228"/>
      <c r="AU111" s="228"/>
      <c r="AV111" s="228"/>
      <c r="AW111" s="228"/>
      <c r="AX111" s="228"/>
      <c r="AY111" s="228"/>
      <c r="AZ111" s="228"/>
      <c r="BA111" s="228"/>
      <c r="BB111" s="228"/>
      <c r="BC111" s="228"/>
      <c r="BD111" s="228"/>
      <c r="BE111" s="228"/>
      <c r="BF111" s="228"/>
      <c r="BG111" s="228"/>
      <c r="BH111" s="228"/>
      <c r="BI111" s="228"/>
      <c r="BJ111" s="228"/>
      <c r="BK111" s="228"/>
      <c r="BL111" s="228"/>
      <c r="BM111" s="228"/>
      <c r="BN111" s="228"/>
      <c r="BO111" s="228"/>
      <c r="BP111" s="228"/>
      <c r="BQ111" s="228"/>
      <c r="BR111" s="228"/>
      <c r="BS111" s="228"/>
      <c r="BT111" s="228"/>
      <c r="BU111" s="228"/>
      <c r="BV111" s="228"/>
      <c r="BW111" s="228"/>
      <c r="BX111" s="228"/>
      <c r="BY111" s="228"/>
      <c r="BZ111" s="228"/>
      <c r="CA111" s="228"/>
      <c r="CB111" s="228"/>
      <c r="CC111" s="228"/>
      <c r="CD111" s="228"/>
      <c r="CE111" s="228"/>
      <c r="CF111" s="228"/>
      <c r="CG111" s="228"/>
      <c r="CH111" s="228"/>
      <c r="CI111" s="228"/>
      <c r="CJ111" s="228"/>
      <c r="CK111" s="228"/>
      <c r="CL111" s="228"/>
      <c r="CM111" s="228"/>
      <c r="CN111" s="228"/>
      <c r="CO111" s="228"/>
      <c r="CP111" s="228"/>
      <c r="CQ111" s="228"/>
      <c r="CR111" s="228"/>
      <c r="CS111" s="228"/>
      <c r="CT111" s="228"/>
      <c r="CU111" s="228"/>
      <c r="CV111" s="228"/>
      <c r="CW111" s="228"/>
      <c r="CX111" s="228"/>
      <c r="CY111" s="228"/>
      <c r="CZ111" s="228"/>
      <c r="DA111" s="228"/>
      <c r="DB111" s="228"/>
    </row>
    <row r="112" ht="12.0" customHeight="1">
      <c r="A112" s="228"/>
      <c r="B112" s="228"/>
      <c r="C112" s="228"/>
      <c r="D112" s="228"/>
      <c r="E112" s="228"/>
      <c r="F112" s="228"/>
      <c r="G112" s="228"/>
      <c r="H112" s="228"/>
      <c r="I112" s="228"/>
      <c r="J112" s="228"/>
      <c r="K112" s="228"/>
      <c r="L112" s="228"/>
      <c r="M112" s="228"/>
      <c r="N112" s="228"/>
      <c r="O112" s="228"/>
      <c r="P112" s="228"/>
      <c r="Q112" s="228"/>
      <c r="R112" s="228"/>
      <c r="S112" s="228"/>
      <c r="T112" s="228"/>
      <c r="U112" s="228"/>
      <c r="V112" s="228"/>
      <c r="W112" s="228"/>
      <c r="X112" s="228"/>
      <c r="Y112" s="228"/>
      <c r="Z112" s="228"/>
      <c r="AA112" s="228"/>
      <c r="AB112" s="228"/>
      <c r="AC112" s="228"/>
      <c r="AD112" s="228"/>
      <c r="AE112" s="228"/>
      <c r="AF112" s="228"/>
      <c r="AG112" s="228"/>
      <c r="AH112" s="228"/>
      <c r="AI112" s="228"/>
      <c r="AJ112" s="228"/>
      <c r="AK112" s="228"/>
      <c r="AL112" s="228"/>
      <c r="AM112" s="228"/>
      <c r="AN112" s="228"/>
      <c r="AO112" s="228"/>
      <c r="AP112" s="228"/>
      <c r="AQ112" s="228"/>
      <c r="AR112" s="228"/>
      <c r="AS112" s="228"/>
      <c r="AT112" s="228"/>
      <c r="AU112" s="228"/>
      <c r="AV112" s="228"/>
      <c r="AW112" s="228"/>
      <c r="AX112" s="228"/>
      <c r="AY112" s="228"/>
      <c r="AZ112" s="228"/>
      <c r="BA112" s="228"/>
      <c r="BB112" s="228"/>
      <c r="BC112" s="228"/>
      <c r="BD112" s="228"/>
      <c r="BE112" s="228"/>
      <c r="BF112" s="228"/>
      <c r="BG112" s="228"/>
      <c r="BH112" s="228"/>
      <c r="BI112" s="228"/>
      <c r="BJ112" s="228"/>
      <c r="BK112" s="228"/>
      <c r="BL112" s="228"/>
      <c r="BM112" s="228"/>
      <c r="BN112" s="228"/>
      <c r="BO112" s="228"/>
      <c r="BP112" s="228"/>
      <c r="BQ112" s="228"/>
      <c r="BR112" s="228"/>
      <c r="BS112" s="228"/>
      <c r="BT112" s="228"/>
      <c r="BU112" s="228"/>
      <c r="BV112" s="228"/>
      <c r="BW112" s="228"/>
      <c r="BX112" s="228"/>
      <c r="BY112" s="228"/>
      <c r="BZ112" s="228"/>
      <c r="CA112" s="228"/>
      <c r="CB112" s="228"/>
      <c r="CC112" s="228"/>
      <c r="CD112" s="228"/>
      <c r="CE112" s="228"/>
      <c r="CF112" s="228"/>
      <c r="CG112" s="228"/>
      <c r="CH112" s="228"/>
      <c r="CI112" s="228"/>
      <c r="CJ112" s="228"/>
      <c r="CK112" s="228"/>
      <c r="CL112" s="228"/>
      <c r="CM112" s="228"/>
      <c r="CN112" s="228"/>
      <c r="CO112" s="228"/>
      <c r="CP112" s="228"/>
      <c r="CQ112" s="228"/>
      <c r="CR112" s="228"/>
      <c r="CS112" s="228"/>
      <c r="CT112" s="228"/>
      <c r="CU112" s="228"/>
      <c r="CV112" s="228"/>
      <c r="CW112" s="228"/>
      <c r="CX112" s="228"/>
      <c r="CY112" s="228"/>
      <c r="CZ112" s="228"/>
      <c r="DA112" s="228"/>
      <c r="DB112" s="228"/>
    </row>
    <row r="113" ht="12.0" customHeight="1">
      <c r="A113" s="228"/>
      <c r="B113" s="228"/>
      <c r="C113" s="228"/>
      <c r="D113" s="228"/>
      <c r="E113" s="228"/>
      <c r="F113" s="228"/>
      <c r="G113" s="228"/>
      <c r="H113" s="228"/>
      <c r="I113" s="228"/>
      <c r="J113" s="228"/>
      <c r="K113" s="228"/>
      <c r="L113" s="228"/>
      <c r="M113" s="228"/>
      <c r="N113" s="228"/>
      <c r="O113" s="228"/>
      <c r="P113" s="228"/>
      <c r="Q113" s="228"/>
      <c r="R113" s="228"/>
      <c r="S113" s="228"/>
      <c r="T113" s="228"/>
      <c r="U113" s="228"/>
      <c r="V113" s="228"/>
      <c r="W113" s="228"/>
      <c r="X113" s="228"/>
      <c r="Y113" s="228"/>
      <c r="Z113" s="228"/>
      <c r="AA113" s="228"/>
      <c r="AB113" s="228"/>
      <c r="AC113" s="228"/>
      <c r="AD113" s="228"/>
      <c r="AE113" s="228"/>
      <c r="AF113" s="228"/>
      <c r="AG113" s="228"/>
      <c r="AH113" s="228"/>
      <c r="AI113" s="228"/>
      <c r="AJ113" s="228"/>
      <c r="AK113" s="228"/>
      <c r="AL113" s="228"/>
      <c r="AM113" s="228"/>
      <c r="AN113" s="228"/>
      <c r="AO113" s="228"/>
      <c r="AP113" s="228"/>
      <c r="AQ113" s="228"/>
      <c r="AR113" s="228"/>
      <c r="AS113" s="228"/>
      <c r="AT113" s="228"/>
      <c r="AU113" s="228"/>
      <c r="AV113" s="228"/>
      <c r="AW113" s="228"/>
      <c r="AX113" s="228"/>
      <c r="AY113" s="228"/>
      <c r="AZ113" s="228"/>
      <c r="BA113" s="228"/>
      <c r="BB113" s="228"/>
      <c r="BC113" s="228"/>
      <c r="BD113" s="228"/>
      <c r="BE113" s="228"/>
      <c r="BF113" s="228"/>
      <c r="BG113" s="228"/>
      <c r="BH113" s="228"/>
      <c r="BI113" s="228"/>
      <c r="BJ113" s="228"/>
      <c r="BK113" s="228"/>
      <c r="BL113" s="228"/>
      <c r="BM113" s="228"/>
      <c r="BN113" s="228"/>
      <c r="BO113" s="228"/>
      <c r="BP113" s="228"/>
      <c r="BQ113" s="228"/>
      <c r="BR113" s="228"/>
      <c r="BS113" s="228"/>
      <c r="BT113" s="228"/>
      <c r="BU113" s="228"/>
      <c r="BV113" s="228"/>
      <c r="BW113" s="228"/>
      <c r="BX113" s="228"/>
      <c r="BY113" s="228"/>
      <c r="BZ113" s="228"/>
      <c r="CA113" s="228"/>
      <c r="CB113" s="228"/>
      <c r="CC113" s="228"/>
      <c r="CD113" s="228"/>
      <c r="CE113" s="228"/>
      <c r="CF113" s="228"/>
      <c r="CG113" s="228"/>
      <c r="CH113" s="228"/>
      <c r="CI113" s="228"/>
      <c r="CJ113" s="228"/>
      <c r="CK113" s="228"/>
      <c r="CL113" s="228"/>
      <c r="CM113" s="228"/>
      <c r="CN113" s="228"/>
      <c r="CO113" s="228"/>
      <c r="CP113" s="228"/>
      <c r="CQ113" s="228"/>
      <c r="CR113" s="228"/>
      <c r="CS113" s="228"/>
      <c r="CT113" s="228"/>
      <c r="CU113" s="228"/>
      <c r="CV113" s="228"/>
      <c r="CW113" s="228"/>
      <c r="CX113" s="228"/>
      <c r="CY113" s="228"/>
      <c r="CZ113" s="228"/>
      <c r="DA113" s="228"/>
      <c r="DB113" s="228"/>
    </row>
    <row r="114" ht="12.0" customHeight="1">
      <c r="A114" s="228"/>
      <c r="B114" s="228"/>
      <c r="C114" s="228"/>
      <c r="D114" s="228"/>
      <c r="E114" s="228"/>
      <c r="F114" s="228"/>
      <c r="G114" s="228"/>
      <c r="H114" s="228"/>
      <c r="I114" s="228"/>
      <c r="J114" s="228"/>
      <c r="K114" s="228"/>
      <c r="L114" s="228"/>
      <c r="M114" s="228"/>
      <c r="N114" s="228"/>
      <c r="O114" s="228"/>
      <c r="P114" s="228"/>
      <c r="Q114" s="228"/>
      <c r="R114" s="228"/>
      <c r="S114" s="228"/>
      <c r="T114" s="228"/>
      <c r="U114" s="228"/>
      <c r="V114" s="228"/>
      <c r="W114" s="228"/>
      <c r="X114" s="228"/>
      <c r="Y114" s="228"/>
      <c r="Z114" s="228"/>
      <c r="AA114" s="228"/>
      <c r="AB114" s="228"/>
      <c r="AC114" s="228"/>
      <c r="AD114" s="228"/>
      <c r="AE114" s="228"/>
      <c r="AF114" s="228"/>
      <c r="AG114" s="228"/>
      <c r="AH114" s="228"/>
      <c r="AI114" s="228"/>
      <c r="AJ114" s="228"/>
      <c r="AK114" s="228"/>
      <c r="AL114" s="228"/>
      <c r="AM114" s="228"/>
      <c r="AN114" s="228"/>
      <c r="AO114" s="228"/>
      <c r="AP114" s="228"/>
      <c r="AQ114" s="228"/>
      <c r="AR114" s="228"/>
      <c r="AS114" s="228"/>
      <c r="AT114" s="228"/>
      <c r="AU114" s="228"/>
      <c r="AV114" s="228"/>
      <c r="AW114" s="228"/>
      <c r="AX114" s="228"/>
      <c r="AY114" s="228"/>
      <c r="AZ114" s="228"/>
      <c r="BA114" s="228"/>
      <c r="BB114" s="228"/>
      <c r="BC114" s="228"/>
      <c r="BD114" s="228"/>
      <c r="BE114" s="228"/>
      <c r="BF114" s="228"/>
      <c r="BG114" s="228"/>
      <c r="BH114" s="228"/>
      <c r="BI114" s="228"/>
      <c r="BJ114" s="228"/>
      <c r="BK114" s="228"/>
      <c r="BL114" s="228"/>
      <c r="BM114" s="228"/>
      <c r="BN114" s="228"/>
      <c r="BO114" s="228"/>
      <c r="BP114" s="228"/>
      <c r="BQ114" s="228"/>
      <c r="BR114" s="228"/>
      <c r="BS114" s="228"/>
      <c r="BT114" s="228"/>
      <c r="BU114" s="228"/>
      <c r="BV114" s="228"/>
      <c r="BW114" s="228"/>
      <c r="BX114" s="228"/>
      <c r="BY114" s="228"/>
      <c r="BZ114" s="228"/>
      <c r="CA114" s="228"/>
      <c r="CB114" s="228"/>
      <c r="CC114" s="228"/>
      <c r="CD114" s="228"/>
      <c r="CE114" s="228"/>
      <c r="CF114" s="228"/>
      <c r="CG114" s="228"/>
      <c r="CH114" s="228"/>
      <c r="CI114" s="228"/>
      <c r="CJ114" s="228"/>
      <c r="CK114" s="228"/>
      <c r="CL114" s="228"/>
      <c r="CM114" s="228"/>
      <c r="CN114" s="228"/>
      <c r="CO114" s="228"/>
      <c r="CP114" s="228"/>
      <c r="CQ114" s="228"/>
      <c r="CR114" s="228"/>
      <c r="CS114" s="228"/>
      <c r="CT114" s="228"/>
      <c r="CU114" s="228"/>
      <c r="CV114" s="228"/>
      <c r="CW114" s="228"/>
      <c r="CX114" s="228"/>
      <c r="CY114" s="228"/>
      <c r="CZ114" s="228"/>
      <c r="DA114" s="228"/>
      <c r="DB114" s="228"/>
    </row>
    <row r="115" ht="12.0" customHeight="1">
      <c r="A115" s="228"/>
      <c r="B115" s="228"/>
      <c r="C115" s="228"/>
      <c r="D115" s="228"/>
      <c r="E115" s="228"/>
      <c r="F115" s="228"/>
      <c r="G115" s="228"/>
      <c r="H115" s="228"/>
      <c r="I115" s="228"/>
      <c r="J115" s="228"/>
      <c r="K115" s="228"/>
      <c r="L115" s="228"/>
      <c r="M115" s="228"/>
      <c r="N115" s="228"/>
      <c r="O115" s="228"/>
      <c r="P115" s="228"/>
      <c r="Q115" s="228"/>
      <c r="R115" s="228"/>
      <c r="S115" s="228"/>
      <c r="T115" s="228"/>
      <c r="U115" s="228"/>
      <c r="V115" s="228"/>
      <c r="W115" s="228"/>
      <c r="X115" s="228"/>
      <c r="Y115" s="228"/>
      <c r="Z115" s="228"/>
      <c r="AA115" s="228"/>
      <c r="AB115" s="228"/>
      <c r="AC115" s="228"/>
      <c r="AD115" s="228"/>
      <c r="AE115" s="228"/>
      <c r="AF115" s="228"/>
      <c r="AG115" s="228"/>
      <c r="AH115" s="228"/>
      <c r="AI115" s="228"/>
      <c r="AJ115" s="228"/>
      <c r="AK115" s="228"/>
      <c r="AL115" s="228"/>
      <c r="AM115" s="228"/>
      <c r="AN115" s="228"/>
      <c r="AO115" s="228"/>
      <c r="AP115" s="228"/>
      <c r="AQ115" s="228"/>
      <c r="AR115" s="228"/>
      <c r="AS115" s="228"/>
      <c r="AT115" s="228"/>
      <c r="AU115" s="228"/>
      <c r="AV115" s="228"/>
      <c r="AW115" s="228"/>
      <c r="AX115" s="228"/>
      <c r="AY115" s="228"/>
      <c r="AZ115" s="228"/>
      <c r="BA115" s="228"/>
      <c r="BB115" s="228"/>
      <c r="BC115" s="228"/>
      <c r="BD115" s="228"/>
      <c r="BE115" s="228"/>
      <c r="BF115" s="228"/>
      <c r="BG115" s="228"/>
      <c r="BH115" s="228"/>
      <c r="BI115" s="228"/>
      <c r="BJ115" s="228"/>
      <c r="BK115" s="228"/>
      <c r="BL115" s="228"/>
      <c r="BM115" s="228"/>
      <c r="BN115" s="228"/>
      <c r="BO115" s="228"/>
      <c r="BP115" s="228"/>
      <c r="BQ115" s="228"/>
      <c r="BR115" s="228"/>
      <c r="BS115" s="228"/>
      <c r="BT115" s="228"/>
      <c r="BU115" s="228"/>
      <c r="BV115" s="228"/>
      <c r="BW115" s="228"/>
      <c r="BX115" s="228"/>
      <c r="BY115" s="228"/>
      <c r="BZ115" s="228"/>
      <c r="CA115" s="228"/>
      <c r="CB115" s="228"/>
      <c r="CC115" s="228"/>
      <c r="CD115" s="228"/>
      <c r="CE115" s="228"/>
      <c r="CF115" s="228"/>
      <c r="CG115" s="228"/>
      <c r="CH115" s="228"/>
      <c r="CI115" s="228"/>
      <c r="CJ115" s="228"/>
      <c r="CK115" s="228"/>
      <c r="CL115" s="228"/>
      <c r="CM115" s="228"/>
      <c r="CN115" s="228"/>
      <c r="CO115" s="228"/>
      <c r="CP115" s="228"/>
      <c r="CQ115" s="228"/>
      <c r="CR115" s="228"/>
      <c r="CS115" s="228"/>
      <c r="CT115" s="228"/>
      <c r="CU115" s="228"/>
      <c r="CV115" s="228"/>
      <c r="CW115" s="228"/>
      <c r="CX115" s="228"/>
      <c r="CY115" s="228"/>
      <c r="CZ115" s="228"/>
      <c r="DA115" s="228"/>
      <c r="DB115" s="228"/>
    </row>
    <row r="116" ht="12.0" customHeight="1">
      <c r="A116" s="228"/>
      <c r="B116" s="228"/>
      <c r="C116" s="228"/>
      <c r="D116" s="228"/>
      <c r="E116" s="228"/>
      <c r="F116" s="228"/>
      <c r="G116" s="228"/>
      <c r="H116" s="228"/>
      <c r="I116" s="228"/>
      <c r="J116" s="228"/>
      <c r="K116" s="228"/>
      <c r="L116" s="228"/>
      <c r="M116" s="228"/>
      <c r="N116" s="228"/>
      <c r="O116" s="228"/>
      <c r="P116" s="228"/>
      <c r="Q116" s="228"/>
      <c r="R116" s="228"/>
      <c r="S116" s="228"/>
      <c r="T116" s="228"/>
      <c r="U116" s="228"/>
      <c r="V116" s="228"/>
      <c r="W116" s="228"/>
      <c r="X116" s="228"/>
      <c r="Y116" s="228"/>
      <c r="Z116" s="228"/>
      <c r="AA116" s="228"/>
      <c r="AB116" s="228"/>
      <c r="AC116" s="228"/>
      <c r="AD116" s="228"/>
      <c r="AE116" s="228"/>
      <c r="AF116" s="228"/>
      <c r="AG116" s="228"/>
      <c r="AH116" s="228"/>
      <c r="AI116" s="228"/>
      <c r="AJ116" s="228"/>
      <c r="AK116" s="228"/>
      <c r="AL116" s="228"/>
      <c r="AM116" s="228"/>
      <c r="AN116" s="228"/>
      <c r="AO116" s="228"/>
      <c r="AP116" s="228"/>
      <c r="AQ116" s="228"/>
      <c r="AR116" s="228"/>
      <c r="AS116" s="228"/>
      <c r="AT116" s="228"/>
      <c r="AU116" s="228"/>
      <c r="AV116" s="228"/>
      <c r="AW116" s="228"/>
      <c r="AX116" s="228"/>
      <c r="AY116" s="228"/>
      <c r="AZ116" s="228"/>
      <c r="BA116" s="228"/>
      <c r="BB116" s="228"/>
      <c r="BC116" s="228"/>
      <c r="BD116" s="228"/>
      <c r="BE116" s="228"/>
      <c r="BF116" s="228"/>
      <c r="BG116" s="228"/>
      <c r="BH116" s="228"/>
      <c r="BI116" s="228"/>
      <c r="BJ116" s="228"/>
      <c r="BK116" s="228"/>
      <c r="BL116" s="228"/>
      <c r="BM116" s="228"/>
      <c r="BN116" s="228"/>
      <c r="BO116" s="228"/>
      <c r="BP116" s="228"/>
      <c r="BQ116" s="228"/>
      <c r="BR116" s="228"/>
      <c r="BS116" s="228"/>
      <c r="BT116" s="228"/>
      <c r="BU116" s="228"/>
      <c r="BV116" s="228"/>
      <c r="BW116" s="228"/>
      <c r="BX116" s="228"/>
      <c r="BY116" s="228"/>
      <c r="BZ116" s="228"/>
      <c r="CA116" s="228"/>
      <c r="CB116" s="228"/>
      <c r="CC116" s="228"/>
      <c r="CD116" s="228"/>
      <c r="CE116" s="228"/>
      <c r="CF116" s="228"/>
      <c r="CG116" s="228"/>
      <c r="CH116" s="228"/>
      <c r="CI116" s="228"/>
      <c r="CJ116" s="228"/>
      <c r="CK116" s="228"/>
      <c r="CL116" s="228"/>
      <c r="CM116" s="228"/>
      <c r="CN116" s="228"/>
      <c r="CO116" s="228"/>
      <c r="CP116" s="228"/>
      <c r="CQ116" s="228"/>
      <c r="CR116" s="228"/>
      <c r="CS116" s="228"/>
      <c r="CT116" s="228"/>
      <c r="CU116" s="228"/>
      <c r="CV116" s="228"/>
      <c r="CW116" s="228"/>
      <c r="CX116" s="228"/>
      <c r="CY116" s="228"/>
      <c r="CZ116" s="228"/>
      <c r="DA116" s="228"/>
      <c r="DB116" s="228"/>
    </row>
    <row r="117" ht="12.0" customHeight="1">
      <c r="A117" s="228"/>
      <c r="B117" s="228"/>
      <c r="C117" s="228"/>
      <c r="D117" s="228"/>
      <c r="E117" s="228"/>
      <c r="F117" s="228"/>
      <c r="G117" s="228"/>
      <c r="H117" s="228"/>
      <c r="I117" s="228"/>
      <c r="J117" s="228"/>
      <c r="K117" s="228"/>
      <c r="L117" s="228"/>
      <c r="M117" s="228"/>
      <c r="N117" s="228"/>
      <c r="O117" s="228"/>
      <c r="P117" s="228"/>
      <c r="Q117" s="228"/>
      <c r="R117" s="228"/>
      <c r="S117" s="228"/>
      <c r="T117" s="228"/>
      <c r="U117" s="228"/>
      <c r="V117" s="228"/>
      <c r="W117" s="228"/>
      <c r="X117" s="228"/>
      <c r="Y117" s="228"/>
      <c r="Z117" s="228"/>
      <c r="AA117" s="228"/>
      <c r="AB117" s="228"/>
      <c r="AC117" s="228"/>
      <c r="AD117" s="228"/>
      <c r="AE117" s="228"/>
      <c r="AF117" s="228"/>
      <c r="AG117" s="228"/>
      <c r="AH117" s="228"/>
      <c r="AI117" s="228"/>
      <c r="AJ117" s="228"/>
      <c r="AK117" s="228"/>
      <c r="AL117" s="228"/>
      <c r="AM117" s="228"/>
      <c r="AN117" s="228"/>
      <c r="AO117" s="228"/>
      <c r="AP117" s="228"/>
      <c r="AQ117" s="228"/>
      <c r="AR117" s="228"/>
      <c r="AS117" s="228"/>
      <c r="AT117" s="228"/>
      <c r="AU117" s="228"/>
      <c r="AV117" s="228"/>
      <c r="AW117" s="228"/>
      <c r="AX117" s="228"/>
      <c r="AY117" s="228"/>
      <c r="AZ117" s="228"/>
      <c r="BA117" s="228"/>
      <c r="BB117" s="228"/>
      <c r="BC117" s="228"/>
      <c r="BD117" s="228"/>
      <c r="BE117" s="228"/>
      <c r="BF117" s="228"/>
      <c r="BG117" s="228"/>
      <c r="BH117" s="228"/>
      <c r="BI117" s="228"/>
      <c r="BJ117" s="228"/>
      <c r="BK117" s="228"/>
      <c r="BL117" s="228"/>
      <c r="BM117" s="228"/>
      <c r="BN117" s="228"/>
      <c r="BO117" s="228"/>
      <c r="BP117" s="228"/>
      <c r="BQ117" s="228"/>
      <c r="BR117" s="228"/>
      <c r="BS117" s="228"/>
      <c r="BT117" s="228"/>
      <c r="BU117" s="228"/>
      <c r="BV117" s="228"/>
      <c r="BW117" s="228"/>
      <c r="BX117" s="228"/>
      <c r="BY117" s="228"/>
      <c r="BZ117" s="228"/>
      <c r="CA117" s="228"/>
      <c r="CB117" s="228"/>
      <c r="CC117" s="228"/>
      <c r="CD117" s="228"/>
      <c r="CE117" s="228"/>
      <c r="CF117" s="228"/>
      <c r="CG117" s="228"/>
      <c r="CH117" s="228"/>
      <c r="CI117" s="228"/>
      <c r="CJ117" s="228"/>
      <c r="CK117" s="228"/>
      <c r="CL117" s="228"/>
      <c r="CM117" s="228"/>
      <c r="CN117" s="228"/>
      <c r="CO117" s="228"/>
      <c r="CP117" s="228"/>
      <c r="CQ117" s="228"/>
      <c r="CR117" s="228"/>
      <c r="CS117" s="228"/>
      <c r="CT117" s="228"/>
      <c r="CU117" s="228"/>
      <c r="CV117" s="228"/>
      <c r="CW117" s="228"/>
      <c r="CX117" s="228"/>
      <c r="CY117" s="228"/>
      <c r="CZ117" s="228"/>
      <c r="DA117" s="228"/>
      <c r="DB117" s="228"/>
    </row>
    <row r="118" ht="12.0" customHeight="1">
      <c r="A118" s="228"/>
      <c r="B118" s="228"/>
      <c r="C118" s="228"/>
      <c r="D118" s="228"/>
      <c r="E118" s="228"/>
      <c r="F118" s="228"/>
      <c r="G118" s="228"/>
      <c r="H118" s="228"/>
      <c r="I118" s="228"/>
      <c r="J118" s="228"/>
      <c r="K118" s="228"/>
      <c r="L118" s="228"/>
      <c r="M118" s="228"/>
      <c r="N118" s="228"/>
      <c r="O118" s="228"/>
      <c r="P118" s="228"/>
      <c r="Q118" s="228"/>
      <c r="R118" s="228"/>
      <c r="S118" s="228"/>
      <c r="T118" s="228"/>
      <c r="U118" s="228"/>
      <c r="V118" s="228"/>
      <c r="W118" s="228"/>
      <c r="X118" s="228"/>
      <c r="Y118" s="228"/>
      <c r="Z118" s="228"/>
      <c r="AA118" s="228"/>
      <c r="AB118" s="228"/>
      <c r="AC118" s="228"/>
      <c r="AD118" s="228"/>
      <c r="AE118" s="228"/>
      <c r="AF118" s="228"/>
      <c r="AG118" s="228"/>
      <c r="AH118" s="228"/>
      <c r="AI118" s="228"/>
      <c r="AJ118" s="228"/>
      <c r="AK118" s="228"/>
      <c r="AL118" s="228"/>
      <c r="AM118" s="228"/>
      <c r="AN118" s="228"/>
      <c r="AO118" s="228"/>
      <c r="AP118" s="228"/>
      <c r="AQ118" s="228"/>
      <c r="AR118" s="228"/>
      <c r="AS118" s="228"/>
      <c r="AT118" s="228"/>
      <c r="AU118" s="228"/>
      <c r="AV118" s="228"/>
      <c r="AW118" s="228"/>
      <c r="AX118" s="228"/>
      <c r="AY118" s="228"/>
      <c r="AZ118" s="228"/>
      <c r="BA118" s="228"/>
      <c r="BB118" s="228"/>
      <c r="BC118" s="228"/>
      <c r="BD118" s="228"/>
      <c r="BE118" s="228"/>
      <c r="BF118" s="228"/>
      <c r="BG118" s="228"/>
      <c r="BH118" s="228"/>
      <c r="BI118" s="228"/>
      <c r="BJ118" s="228"/>
      <c r="BK118" s="228"/>
      <c r="BL118" s="228"/>
      <c r="BM118" s="228"/>
      <c r="BN118" s="228"/>
      <c r="BO118" s="228"/>
      <c r="BP118" s="228"/>
      <c r="BQ118" s="228"/>
      <c r="BR118" s="228"/>
      <c r="BS118" s="228"/>
      <c r="BT118" s="228"/>
      <c r="BU118" s="228"/>
      <c r="BV118" s="228"/>
      <c r="BW118" s="228"/>
      <c r="BX118" s="228"/>
      <c r="BY118" s="228"/>
      <c r="BZ118" s="228"/>
      <c r="CA118" s="228"/>
      <c r="CB118" s="228"/>
      <c r="CC118" s="228"/>
      <c r="CD118" s="228"/>
      <c r="CE118" s="228"/>
      <c r="CF118" s="228"/>
      <c r="CG118" s="228"/>
      <c r="CH118" s="228"/>
      <c r="CI118" s="228"/>
      <c r="CJ118" s="228"/>
      <c r="CK118" s="228"/>
      <c r="CL118" s="228"/>
      <c r="CM118" s="228"/>
      <c r="CN118" s="228"/>
      <c r="CO118" s="228"/>
      <c r="CP118" s="228"/>
      <c r="CQ118" s="228"/>
      <c r="CR118" s="228"/>
      <c r="CS118" s="228"/>
      <c r="CT118" s="228"/>
      <c r="CU118" s="228"/>
      <c r="CV118" s="228"/>
      <c r="CW118" s="228"/>
      <c r="CX118" s="228"/>
      <c r="CY118" s="228"/>
      <c r="CZ118" s="228"/>
      <c r="DA118" s="228"/>
      <c r="DB118" s="228"/>
    </row>
    <row r="119" ht="12.0" customHeight="1">
      <c r="A119" s="228"/>
      <c r="B119" s="228"/>
      <c r="C119" s="228"/>
      <c r="D119" s="228"/>
      <c r="E119" s="228"/>
      <c r="F119" s="228"/>
      <c r="G119" s="228"/>
      <c r="H119" s="228"/>
      <c r="I119" s="228"/>
      <c r="J119" s="228"/>
      <c r="K119" s="228"/>
      <c r="L119" s="228"/>
      <c r="M119" s="228"/>
      <c r="N119" s="228"/>
      <c r="O119" s="228"/>
      <c r="P119" s="228"/>
      <c r="Q119" s="228"/>
      <c r="R119" s="228"/>
      <c r="S119" s="228"/>
      <c r="T119" s="228"/>
      <c r="U119" s="228"/>
      <c r="V119" s="228"/>
      <c r="W119" s="228"/>
      <c r="X119" s="228"/>
      <c r="Y119" s="228"/>
      <c r="Z119" s="228"/>
      <c r="AA119" s="228"/>
      <c r="AB119" s="228"/>
      <c r="AC119" s="228"/>
      <c r="AD119" s="228"/>
      <c r="AE119" s="228"/>
      <c r="AF119" s="228"/>
      <c r="AG119" s="228"/>
      <c r="AH119" s="228"/>
      <c r="AI119" s="228"/>
      <c r="AJ119" s="228"/>
      <c r="AK119" s="228"/>
      <c r="AL119" s="228"/>
      <c r="AM119" s="228"/>
      <c r="AN119" s="228"/>
      <c r="AO119" s="228"/>
      <c r="AP119" s="228"/>
      <c r="AQ119" s="228"/>
      <c r="AR119" s="228"/>
      <c r="AS119" s="228"/>
      <c r="AT119" s="228"/>
      <c r="AU119" s="228"/>
      <c r="AV119" s="228"/>
      <c r="AW119" s="228"/>
      <c r="AX119" s="228"/>
      <c r="AY119" s="228"/>
      <c r="AZ119" s="228"/>
      <c r="BA119" s="228"/>
      <c r="BB119" s="228"/>
      <c r="BC119" s="228"/>
      <c r="BD119" s="228"/>
      <c r="BE119" s="228"/>
      <c r="BF119" s="228"/>
      <c r="BG119" s="228"/>
      <c r="BH119" s="228"/>
      <c r="BI119" s="228"/>
      <c r="BJ119" s="228"/>
      <c r="BK119" s="228"/>
      <c r="BL119" s="228"/>
      <c r="BM119" s="228"/>
      <c r="BN119" s="228"/>
      <c r="BO119" s="228"/>
      <c r="BP119" s="228"/>
      <c r="BQ119" s="228"/>
      <c r="BR119" s="228"/>
      <c r="BS119" s="228"/>
      <c r="BT119" s="228"/>
      <c r="BU119" s="228"/>
      <c r="BV119" s="228"/>
      <c r="BW119" s="228"/>
      <c r="BX119" s="228"/>
      <c r="BY119" s="228"/>
      <c r="BZ119" s="228"/>
      <c r="CA119" s="228"/>
      <c r="CB119" s="228"/>
      <c r="CC119" s="228"/>
      <c r="CD119" s="228"/>
      <c r="CE119" s="228"/>
      <c r="CF119" s="228"/>
      <c r="CG119" s="228"/>
      <c r="CH119" s="228"/>
      <c r="CI119" s="228"/>
      <c r="CJ119" s="228"/>
      <c r="CK119" s="228"/>
      <c r="CL119" s="228"/>
      <c r="CM119" s="228"/>
      <c r="CN119" s="228"/>
      <c r="CO119" s="228"/>
      <c r="CP119" s="228"/>
      <c r="CQ119" s="228"/>
      <c r="CR119" s="228"/>
      <c r="CS119" s="228"/>
      <c r="CT119" s="228"/>
      <c r="CU119" s="228"/>
      <c r="CV119" s="228"/>
      <c r="CW119" s="228"/>
      <c r="CX119" s="228"/>
      <c r="CY119" s="228"/>
      <c r="CZ119" s="228"/>
      <c r="DA119" s="228"/>
      <c r="DB119" s="228"/>
    </row>
    <row r="120" ht="12.0" customHeight="1">
      <c r="A120" s="228"/>
      <c r="B120" s="228"/>
      <c r="C120" s="228"/>
      <c r="D120" s="228"/>
      <c r="E120" s="228"/>
      <c r="F120" s="228"/>
      <c r="G120" s="228"/>
      <c r="H120" s="228"/>
      <c r="I120" s="228"/>
      <c r="J120" s="228"/>
      <c r="K120" s="228"/>
      <c r="L120" s="228"/>
      <c r="M120" s="228"/>
      <c r="N120" s="228"/>
      <c r="O120" s="228"/>
      <c r="P120" s="228"/>
      <c r="Q120" s="228"/>
      <c r="R120" s="228"/>
      <c r="S120" s="228"/>
      <c r="T120" s="228"/>
      <c r="U120" s="228"/>
      <c r="V120" s="228"/>
      <c r="W120" s="228"/>
      <c r="X120" s="228"/>
      <c r="Y120" s="228"/>
      <c r="Z120" s="228"/>
      <c r="AA120" s="228"/>
      <c r="AB120" s="228"/>
      <c r="AC120" s="228"/>
      <c r="AD120" s="228"/>
      <c r="AE120" s="228"/>
      <c r="AF120" s="228"/>
      <c r="AG120" s="228"/>
      <c r="AH120" s="228"/>
      <c r="AI120" s="228"/>
      <c r="AJ120" s="228"/>
      <c r="AK120" s="228"/>
      <c r="AL120" s="228"/>
      <c r="AM120" s="228"/>
      <c r="AN120" s="228"/>
      <c r="AO120" s="228"/>
      <c r="AP120" s="228"/>
      <c r="AQ120" s="228"/>
      <c r="AR120" s="228"/>
      <c r="AS120" s="228"/>
      <c r="AT120" s="228"/>
      <c r="AU120" s="228"/>
      <c r="AV120" s="228"/>
      <c r="AW120" s="228"/>
      <c r="AX120" s="228"/>
      <c r="AY120" s="228"/>
      <c r="AZ120" s="228"/>
      <c r="BA120" s="228"/>
      <c r="BB120" s="228"/>
      <c r="BC120" s="228"/>
      <c r="BD120" s="228"/>
      <c r="BE120" s="228"/>
      <c r="BF120" s="228"/>
      <c r="BG120" s="228"/>
      <c r="BH120" s="228"/>
      <c r="BI120" s="228"/>
      <c r="BJ120" s="228"/>
      <c r="BK120" s="228"/>
      <c r="BL120" s="228"/>
      <c r="BM120" s="228"/>
      <c r="BN120" s="228"/>
      <c r="BO120" s="228"/>
      <c r="BP120" s="228"/>
      <c r="BQ120" s="228"/>
      <c r="BR120" s="228"/>
      <c r="BS120" s="228"/>
      <c r="BT120" s="228"/>
      <c r="BU120" s="228"/>
      <c r="BV120" s="228"/>
      <c r="BW120" s="228"/>
      <c r="BX120" s="228"/>
      <c r="BY120" s="228"/>
      <c r="BZ120" s="228"/>
      <c r="CA120" s="228"/>
      <c r="CB120" s="228"/>
      <c r="CC120" s="228"/>
      <c r="CD120" s="228"/>
      <c r="CE120" s="228"/>
      <c r="CF120" s="228"/>
      <c r="CG120" s="228"/>
      <c r="CH120" s="228"/>
      <c r="CI120" s="228"/>
      <c r="CJ120" s="228"/>
      <c r="CK120" s="228"/>
      <c r="CL120" s="228"/>
      <c r="CM120" s="228"/>
      <c r="CN120" s="228"/>
      <c r="CO120" s="228"/>
      <c r="CP120" s="228"/>
      <c r="CQ120" s="228"/>
      <c r="CR120" s="228"/>
      <c r="CS120" s="228"/>
      <c r="CT120" s="228"/>
      <c r="CU120" s="228"/>
      <c r="CV120" s="228"/>
      <c r="CW120" s="228"/>
      <c r="CX120" s="228"/>
      <c r="CY120" s="228"/>
      <c r="CZ120" s="228"/>
      <c r="DA120" s="228"/>
      <c r="DB120" s="228"/>
    </row>
    <row r="121" ht="12.0" customHeight="1">
      <c r="A121" s="228"/>
      <c r="B121" s="228"/>
      <c r="C121" s="228"/>
      <c r="D121" s="228"/>
      <c r="E121" s="228"/>
      <c r="F121" s="228"/>
      <c r="G121" s="228"/>
      <c r="H121" s="228"/>
      <c r="I121" s="228"/>
      <c r="J121" s="228"/>
      <c r="K121" s="228"/>
      <c r="L121" s="228"/>
      <c r="M121" s="228"/>
      <c r="N121" s="228"/>
      <c r="O121" s="228"/>
      <c r="P121" s="228"/>
      <c r="Q121" s="228"/>
      <c r="R121" s="228"/>
      <c r="S121" s="228"/>
      <c r="T121" s="228"/>
      <c r="U121" s="228"/>
      <c r="V121" s="228"/>
      <c r="W121" s="228"/>
      <c r="X121" s="228"/>
      <c r="Y121" s="228"/>
      <c r="Z121" s="228"/>
      <c r="AA121" s="228"/>
      <c r="AB121" s="228"/>
      <c r="AC121" s="228"/>
      <c r="AD121" s="228"/>
      <c r="AE121" s="228"/>
      <c r="AF121" s="228"/>
      <c r="AG121" s="228"/>
      <c r="AH121" s="228"/>
      <c r="AI121" s="228"/>
      <c r="AJ121" s="228"/>
      <c r="AK121" s="228"/>
      <c r="AL121" s="228"/>
      <c r="AM121" s="228"/>
      <c r="AN121" s="228"/>
      <c r="AO121" s="228"/>
      <c r="AP121" s="228"/>
      <c r="AQ121" s="228"/>
      <c r="AR121" s="228"/>
      <c r="AS121" s="228"/>
      <c r="AT121" s="228"/>
      <c r="AU121" s="228"/>
      <c r="AV121" s="228"/>
      <c r="AW121" s="228"/>
      <c r="AX121" s="228"/>
      <c r="AY121" s="228"/>
      <c r="AZ121" s="228"/>
      <c r="BA121" s="228"/>
      <c r="BB121" s="228"/>
      <c r="BC121" s="228"/>
      <c r="BD121" s="228"/>
      <c r="BE121" s="228"/>
      <c r="BF121" s="228"/>
      <c r="BG121" s="228"/>
      <c r="BH121" s="228"/>
      <c r="BI121" s="228"/>
      <c r="BJ121" s="228"/>
      <c r="BK121" s="228"/>
      <c r="BL121" s="228"/>
      <c r="BM121" s="228"/>
      <c r="BN121" s="228"/>
      <c r="BO121" s="228"/>
      <c r="BP121" s="228"/>
      <c r="BQ121" s="228"/>
      <c r="BR121" s="228"/>
      <c r="BS121" s="228"/>
      <c r="BT121" s="228"/>
      <c r="BU121" s="228"/>
      <c r="BV121" s="228"/>
      <c r="BW121" s="228"/>
      <c r="BX121" s="228"/>
      <c r="BY121" s="228"/>
      <c r="BZ121" s="228"/>
      <c r="CA121" s="228"/>
      <c r="CB121" s="228"/>
      <c r="CC121" s="228"/>
      <c r="CD121" s="228"/>
      <c r="CE121" s="228"/>
      <c r="CF121" s="228"/>
      <c r="CG121" s="228"/>
      <c r="CH121" s="228"/>
      <c r="CI121" s="228"/>
      <c r="CJ121" s="228"/>
      <c r="CK121" s="228"/>
      <c r="CL121" s="228"/>
      <c r="CM121" s="228"/>
      <c r="CN121" s="228"/>
      <c r="CO121" s="228"/>
      <c r="CP121" s="228"/>
      <c r="CQ121" s="228"/>
      <c r="CR121" s="228"/>
      <c r="CS121" s="228"/>
      <c r="CT121" s="228"/>
      <c r="CU121" s="228"/>
      <c r="CV121" s="228"/>
      <c r="CW121" s="228"/>
      <c r="CX121" s="228"/>
      <c r="CY121" s="228"/>
      <c r="CZ121" s="228"/>
      <c r="DA121" s="228"/>
      <c r="DB121" s="228"/>
    </row>
    <row r="122" ht="12.0" customHeight="1">
      <c r="A122" s="228"/>
      <c r="B122" s="228"/>
      <c r="C122" s="228"/>
      <c r="D122" s="228"/>
      <c r="E122" s="228"/>
      <c r="F122" s="228"/>
      <c r="G122" s="228"/>
      <c r="H122" s="228"/>
      <c r="I122" s="228"/>
      <c r="J122" s="228"/>
      <c r="K122" s="228"/>
      <c r="L122" s="228"/>
      <c r="M122" s="228"/>
      <c r="N122" s="228"/>
      <c r="O122" s="228"/>
      <c r="P122" s="228"/>
      <c r="Q122" s="228"/>
      <c r="R122" s="228"/>
      <c r="S122" s="228"/>
      <c r="T122" s="228"/>
      <c r="U122" s="228"/>
      <c r="V122" s="228"/>
      <c r="W122" s="228"/>
      <c r="X122" s="228"/>
      <c r="Y122" s="228"/>
      <c r="Z122" s="228"/>
      <c r="AA122" s="228"/>
      <c r="AB122" s="228"/>
      <c r="AC122" s="228"/>
      <c r="AD122" s="228"/>
      <c r="AE122" s="228"/>
      <c r="AF122" s="228"/>
      <c r="AG122" s="228"/>
      <c r="AH122" s="228"/>
      <c r="AI122" s="228"/>
      <c r="AJ122" s="228"/>
      <c r="AK122" s="228"/>
      <c r="AL122" s="228"/>
      <c r="AM122" s="228"/>
      <c r="AN122" s="228"/>
      <c r="AO122" s="228"/>
      <c r="AP122" s="228"/>
      <c r="AQ122" s="228"/>
      <c r="AR122" s="228"/>
      <c r="AS122" s="228"/>
      <c r="AT122" s="228"/>
      <c r="AU122" s="228"/>
      <c r="AV122" s="228"/>
      <c r="AW122" s="228"/>
      <c r="AX122" s="228"/>
      <c r="AY122" s="228"/>
      <c r="AZ122" s="228"/>
      <c r="BA122" s="228"/>
      <c r="BB122" s="228"/>
      <c r="BC122" s="228"/>
      <c r="BD122" s="228"/>
      <c r="BE122" s="228"/>
      <c r="BF122" s="228"/>
      <c r="BG122" s="228"/>
      <c r="BH122" s="228"/>
      <c r="BI122" s="228"/>
      <c r="BJ122" s="228"/>
      <c r="BK122" s="228"/>
      <c r="BL122" s="228"/>
      <c r="BM122" s="228"/>
      <c r="BN122" s="228"/>
      <c r="BO122" s="228"/>
      <c r="BP122" s="228"/>
      <c r="BQ122" s="228"/>
      <c r="BR122" s="228"/>
      <c r="BS122" s="228"/>
      <c r="BT122" s="228"/>
      <c r="BU122" s="228"/>
      <c r="BV122" s="228"/>
      <c r="BW122" s="228"/>
      <c r="BX122" s="228"/>
      <c r="BY122" s="228"/>
      <c r="BZ122" s="228"/>
      <c r="CA122" s="228"/>
      <c r="CB122" s="228"/>
      <c r="CC122" s="228"/>
      <c r="CD122" s="228"/>
      <c r="CE122" s="228"/>
      <c r="CF122" s="228"/>
      <c r="CG122" s="228"/>
      <c r="CH122" s="228"/>
      <c r="CI122" s="228"/>
      <c r="CJ122" s="228"/>
      <c r="CK122" s="228"/>
      <c r="CL122" s="228"/>
      <c r="CM122" s="228"/>
      <c r="CN122" s="228"/>
      <c r="CO122" s="228"/>
      <c r="CP122" s="228"/>
      <c r="CQ122" s="228"/>
      <c r="CR122" s="228"/>
      <c r="CS122" s="228"/>
      <c r="CT122" s="228"/>
      <c r="CU122" s="228"/>
      <c r="CV122" s="228"/>
      <c r="CW122" s="228"/>
      <c r="CX122" s="228"/>
      <c r="CY122" s="228"/>
      <c r="CZ122" s="228"/>
      <c r="DA122" s="228"/>
      <c r="DB122" s="228"/>
    </row>
    <row r="123" ht="12.0" customHeight="1">
      <c r="A123" s="228"/>
      <c r="B123" s="228"/>
      <c r="C123" s="228"/>
      <c r="D123" s="228"/>
      <c r="E123" s="228"/>
      <c r="F123" s="228"/>
      <c r="G123" s="228"/>
      <c r="H123" s="228"/>
      <c r="I123" s="228"/>
      <c r="J123" s="228"/>
      <c r="K123" s="228"/>
      <c r="L123" s="228"/>
      <c r="M123" s="228"/>
      <c r="N123" s="228"/>
      <c r="O123" s="228"/>
      <c r="P123" s="228"/>
      <c r="Q123" s="228"/>
      <c r="R123" s="228"/>
      <c r="S123" s="228"/>
      <c r="T123" s="228"/>
      <c r="U123" s="228"/>
      <c r="V123" s="228"/>
      <c r="W123" s="228"/>
      <c r="X123" s="228"/>
      <c r="Y123" s="228"/>
      <c r="Z123" s="228"/>
      <c r="AA123" s="228"/>
      <c r="AB123" s="228"/>
      <c r="AC123" s="228"/>
      <c r="AD123" s="228"/>
      <c r="AE123" s="228"/>
      <c r="AF123" s="228"/>
      <c r="AG123" s="228"/>
      <c r="AH123" s="228"/>
      <c r="AI123" s="228"/>
      <c r="AJ123" s="228"/>
      <c r="AK123" s="228"/>
      <c r="AL123" s="228"/>
      <c r="AM123" s="228"/>
      <c r="AN123" s="228"/>
      <c r="AO123" s="228"/>
      <c r="AP123" s="228"/>
      <c r="AQ123" s="228"/>
      <c r="AR123" s="228"/>
      <c r="AS123" s="228"/>
      <c r="AT123" s="228"/>
      <c r="AU123" s="228"/>
      <c r="AV123" s="228"/>
      <c r="AW123" s="228"/>
      <c r="AX123" s="228"/>
      <c r="AY123" s="228"/>
      <c r="AZ123" s="228"/>
      <c r="BA123" s="228"/>
      <c r="BB123" s="228"/>
      <c r="BC123" s="228"/>
      <c r="BD123" s="228"/>
      <c r="BE123" s="228"/>
      <c r="BF123" s="228"/>
      <c r="BG123" s="228"/>
      <c r="BH123" s="228"/>
      <c r="BI123" s="228"/>
      <c r="BJ123" s="228"/>
      <c r="BK123" s="228"/>
      <c r="BL123" s="228"/>
      <c r="BM123" s="228"/>
      <c r="BN123" s="228"/>
      <c r="BO123" s="228"/>
      <c r="BP123" s="228"/>
      <c r="BQ123" s="228"/>
      <c r="BR123" s="228"/>
      <c r="BS123" s="228"/>
      <c r="BT123" s="228"/>
      <c r="BU123" s="228"/>
      <c r="BV123" s="228"/>
      <c r="BW123" s="228"/>
      <c r="BX123" s="228"/>
      <c r="BY123" s="228"/>
      <c r="BZ123" s="228"/>
      <c r="CA123" s="228"/>
      <c r="CB123" s="228"/>
      <c r="CC123" s="228"/>
      <c r="CD123" s="228"/>
      <c r="CE123" s="228"/>
      <c r="CF123" s="228"/>
      <c r="CG123" s="228"/>
      <c r="CH123" s="228"/>
      <c r="CI123" s="228"/>
      <c r="CJ123" s="228"/>
      <c r="CK123" s="228"/>
      <c r="CL123" s="228"/>
      <c r="CM123" s="228"/>
      <c r="CN123" s="228"/>
      <c r="CO123" s="228"/>
      <c r="CP123" s="228"/>
      <c r="CQ123" s="228"/>
      <c r="CR123" s="228"/>
      <c r="CS123" s="228"/>
      <c r="CT123" s="228"/>
      <c r="CU123" s="228"/>
      <c r="CV123" s="228"/>
      <c r="CW123" s="228"/>
      <c r="CX123" s="228"/>
      <c r="CY123" s="228"/>
      <c r="CZ123" s="228"/>
      <c r="DA123" s="228"/>
      <c r="DB123" s="228"/>
    </row>
    <row r="124" ht="12.0" customHeight="1">
      <c r="A124" s="228"/>
      <c r="B124" s="228"/>
      <c r="C124" s="228"/>
      <c r="D124" s="228"/>
      <c r="E124" s="228"/>
      <c r="F124" s="228"/>
      <c r="G124" s="228"/>
      <c r="H124" s="228"/>
      <c r="I124" s="228"/>
      <c r="J124" s="228"/>
      <c r="K124" s="228"/>
      <c r="L124" s="228"/>
      <c r="M124" s="228"/>
      <c r="N124" s="228"/>
      <c r="O124" s="228"/>
      <c r="P124" s="228"/>
      <c r="Q124" s="228"/>
      <c r="R124" s="228"/>
      <c r="S124" s="228"/>
      <c r="T124" s="228"/>
      <c r="U124" s="228"/>
      <c r="V124" s="228"/>
      <c r="W124" s="228"/>
      <c r="X124" s="228"/>
      <c r="Y124" s="228"/>
      <c r="Z124" s="228"/>
      <c r="AA124" s="228"/>
      <c r="AB124" s="228"/>
      <c r="AC124" s="228"/>
      <c r="AD124" s="228"/>
      <c r="AE124" s="228"/>
      <c r="AF124" s="228"/>
      <c r="AG124" s="228"/>
      <c r="AH124" s="228"/>
      <c r="AI124" s="228"/>
      <c r="AJ124" s="228"/>
      <c r="AK124" s="228"/>
      <c r="AL124" s="228"/>
      <c r="AM124" s="228"/>
      <c r="AN124" s="228"/>
      <c r="AO124" s="228"/>
      <c r="AP124" s="228"/>
      <c r="AQ124" s="228"/>
      <c r="AR124" s="228"/>
      <c r="AS124" s="228"/>
      <c r="AT124" s="228"/>
      <c r="AU124" s="228"/>
      <c r="AV124" s="228"/>
      <c r="AW124" s="228"/>
      <c r="AX124" s="228"/>
      <c r="AY124" s="228"/>
      <c r="AZ124" s="228"/>
      <c r="BA124" s="228"/>
      <c r="BB124" s="228"/>
      <c r="BC124" s="228"/>
      <c r="BD124" s="228"/>
      <c r="BE124" s="228"/>
      <c r="BF124" s="228"/>
      <c r="BG124" s="228"/>
      <c r="BH124" s="228"/>
      <c r="BI124" s="228"/>
      <c r="BJ124" s="228"/>
      <c r="BK124" s="228"/>
      <c r="BL124" s="228"/>
      <c r="BM124" s="228"/>
      <c r="BN124" s="228"/>
      <c r="BO124" s="228"/>
      <c r="BP124" s="228"/>
      <c r="BQ124" s="228"/>
      <c r="BR124" s="228"/>
      <c r="BS124" s="228"/>
      <c r="BT124" s="228"/>
      <c r="BU124" s="228"/>
      <c r="BV124" s="228"/>
      <c r="BW124" s="228"/>
      <c r="BX124" s="228"/>
      <c r="BY124" s="228"/>
      <c r="BZ124" s="228"/>
      <c r="CA124" s="228"/>
      <c r="CB124" s="228"/>
      <c r="CC124" s="228"/>
      <c r="CD124" s="228"/>
      <c r="CE124" s="228"/>
      <c r="CF124" s="228"/>
      <c r="CG124" s="228"/>
      <c r="CH124" s="228"/>
      <c r="CI124" s="228"/>
      <c r="CJ124" s="228"/>
      <c r="CK124" s="228"/>
      <c r="CL124" s="228"/>
      <c r="CM124" s="228"/>
      <c r="CN124" s="228"/>
      <c r="CO124" s="228"/>
      <c r="CP124" s="228"/>
      <c r="CQ124" s="228"/>
      <c r="CR124" s="228"/>
      <c r="CS124" s="228"/>
      <c r="CT124" s="228"/>
      <c r="CU124" s="228"/>
      <c r="CV124" s="228"/>
      <c r="CW124" s="228"/>
      <c r="CX124" s="228"/>
      <c r="CY124" s="228"/>
      <c r="CZ124" s="228"/>
      <c r="DA124" s="228"/>
      <c r="DB124" s="228"/>
    </row>
    <row r="125" ht="12.0" customHeight="1">
      <c r="A125" s="228"/>
      <c r="B125" s="228"/>
      <c r="C125" s="228"/>
      <c r="D125" s="228"/>
      <c r="E125" s="228"/>
      <c r="F125" s="228"/>
      <c r="G125" s="228"/>
      <c r="H125" s="228"/>
      <c r="I125" s="228"/>
      <c r="J125" s="228"/>
      <c r="K125" s="228"/>
      <c r="L125" s="228"/>
      <c r="M125" s="228"/>
      <c r="N125" s="228"/>
      <c r="O125" s="228"/>
      <c r="P125" s="228"/>
      <c r="Q125" s="228"/>
      <c r="R125" s="228"/>
      <c r="S125" s="228"/>
      <c r="T125" s="228"/>
      <c r="U125" s="228"/>
      <c r="V125" s="228"/>
      <c r="W125" s="228"/>
      <c r="X125" s="228"/>
      <c r="Y125" s="228"/>
      <c r="Z125" s="228"/>
      <c r="AA125" s="228"/>
      <c r="AB125" s="228"/>
      <c r="AC125" s="228"/>
      <c r="AD125" s="228"/>
      <c r="AE125" s="228"/>
      <c r="AF125" s="228"/>
      <c r="AG125" s="228"/>
      <c r="AH125" s="228"/>
      <c r="AI125" s="228"/>
      <c r="AJ125" s="228"/>
      <c r="AK125" s="228"/>
      <c r="AL125" s="228"/>
      <c r="AM125" s="228"/>
      <c r="AN125" s="228"/>
      <c r="AO125" s="228"/>
      <c r="AP125" s="228"/>
      <c r="AQ125" s="228"/>
      <c r="AR125" s="228"/>
      <c r="AS125" s="228"/>
      <c r="AT125" s="228"/>
      <c r="AU125" s="228"/>
      <c r="AV125" s="228"/>
      <c r="AW125" s="228"/>
      <c r="AX125" s="228"/>
      <c r="AY125" s="228"/>
      <c r="AZ125" s="228"/>
      <c r="BA125" s="228"/>
      <c r="BB125" s="228"/>
      <c r="BC125" s="228"/>
      <c r="BD125" s="228"/>
      <c r="BE125" s="228"/>
      <c r="BF125" s="228"/>
      <c r="BG125" s="228"/>
      <c r="BH125" s="228"/>
      <c r="BI125" s="228"/>
      <c r="BJ125" s="228"/>
      <c r="BK125" s="228"/>
      <c r="BL125" s="228"/>
      <c r="BM125" s="228"/>
      <c r="BN125" s="228"/>
      <c r="BO125" s="228"/>
      <c r="BP125" s="228"/>
      <c r="BQ125" s="228"/>
      <c r="BR125" s="228"/>
      <c r="BS125" s="228"/>
      <c r="BT125" s="228"/>
      <c r="BU125" s="228"/>
      <c r="BV125" s="228"/>
      <c r="BW125" s="228"/>
      <c r="BX125" s="228"/>
      <c r="BY125" s="228"/>
      <c r="BZ125" s="228"/>
      <c r="CA125" s="228"/>
      <c r="CB125" s="228"/>
      <c r="CC125" s="228"/>
      <c r="CD125" s="228"/>
      <c r="CE125" s="228"/>
      <c r="CF125" s="228"/>
      <c r="CG125" s="228"/>
      <c r="CH125" s="228"/>
      <c r="CI125" s="228"/>
      <c r="CJ125" s="228"/>
      <c r="CK125" s="228"/>
      <c r="CL125" s="228"/>
      <c r="CM125" s="228"/>
      <c r="CN125" s="228"/>
      <c r="CO125" s="228"/>
      <c r="CP125" s="228"/>
      <c r="CQ125" s="228"/>
      <c r="CR125" s="228"/>
      <c r="CS125" s="228"/>
      <c r="CT125" s="228"/>
      <c r="CU125" s="228"/>
      <c r="CV125" s="228"/>
      <c r="CW125" s="228"/>
      <c r="CX125" s="228"/>
      <c r="CY125" s="228"/>
      <c r="CZ125" s="228"/>
      <c r="DA125" s="228"/>
      <c r="DB125" s="228"/>
    </row>
    <row r="126" ht="12.0" customHeight="1">
      <c r="A126" s="228"/>
      <c r="B126" s="228"/>
      <c r="C126" s="228"/>
      <c r="D126" s="228"/>
      <c r="E126" s="228"/>
      <c r="F126" s="228"/>
      <c r="G126" s="228"/>
      <c r="H126" s="228"/>
      <c r="I126" s="228"/>
      <c r="J126" s="228"/>
      <c r="K126" s="228"/>
      <c r="L126" s="228"/>
      <c r="M126" s="228"/>
      <c r="N126" s="228"/>
      <c r="O126" s="228"/>
      <c r="P126" s="228"/>
      <c r="Q126" s="228"/>
      <c r="R126" s="228"/>
      <c r="S126" s="228"/>
      <c r="T126" s="228"/>
      <c r="U126" s="228"/>
      <c r="V126" s="228"/>
      <c r="W126" s="228"/>
      <c r="X126" s="228"/>
      <c r="Y126" s="228"/>
      <c r="Z126" s="228"/>
      <c r="AA126" s="228"/>
      <c r="AB126" s="228"/>
      <c r="AC126" s="228"/>
      <c r="AD126" s="228"/>
      <c r="AE126" s="228"/>
      <c r="AF126" s="228"/>
      <c r="AG126" s="228"/>
      <c r="AH126" s="228"/>
      <c r="AI126" s="228"/>
      <c r="AJ126" s="228"/>
      <c r="AK126" s="228"/>
      <c r="AL126" s="228"/>
      <c r="AM126" s="228"/>
      <c r="AN126" s="228"/>
      <c r="AO126" s="228"/>
      <c r="AP126" s="228"/>
      <c r="AQ126" s="228"/>
      <c r="AR126" s="228"/>
      <c r="AS126" s="228"/>
      <c r="AT126" s="228"/>
      <c r="AU126" s="228"/>
      <c r="AV126" s="228"/>
      <c r="AW126" s="228"/>
      <c r="AX126" s="228"/>
      <c r="AY126" s="228"/>
      <c r="AZ126" s="228"/>
      <c r="BA126" s="228"/>
      <c r="BB126" s="228"/>
      <c r="BC126" s="228"/>
      <c r="BD126" s="228"/>
      <c r="BE126" s="228"/>
      <c r="BF126" s="228"/>
      <c r="BG126" s="228"/>
      <c r="BH126" s="228"/>
      <c r="BI126" s="228"/>
      <c r="BJ126" s="228"/>
      <c r="BK126" s="228"/>
      <c r="BL126" s="228"/>
      <c r="BM126" s="228"/>
      <c r="BN126" s="228"/>
      <c r="BO126" s="228"/>
      <c r="BP126" s="228"/>
      <c r="BQ126" s="228"/>
      <c r="BR126" s="228"/>
      <c r="BS126" s="228"/>
      <c r="BT126" s="228"/>
      <c r="BU126" s="228"/>
      <c r="BV126" s="228"/>
      <c r="BW126" s="228"/>
      <c r="BX126" s="228"/>
      <c r="BY126" s="228"/>
      <c r="BZ126" s="228"/>
      <c r="CA126" s="228"/>
      <c r="CB126" s="228"/>
      <c r="CC126" s="228"/>
      <c r="CD126" s="228"/>
      <c r="CE126" s="228"/>
      <c r="CF126" s="228"/>
      <c r="CG126" s="228"/>
      <c r="CH126" s="228"/>
      <c r="CI126" s="228"/>
      <c r="CJ126" s="228"/>
      <c r="CK126" s="228"/>
      <c r="CL126" s="228"/>
      <c r="CM126" s="228"/>
      <c r="CN126" s="228"/>
      <c r="CO126" s="228"/>
      <c r="CP126" s="228"/>
      <c r="CQ126" s="228"/>
      <c r="CR126" s="228"/>
      <c r="CS126" s="228"/>
      <c r="CT126" s="228"/>
      <c r="CU126" s="228"/>
      <c r="CV126" s="228"/>
      <c r="CW126" s="228"/>
      <c r="CX126" s="228"/>
      <c r="CY126" s="228"/>
      <c r="CZ126" s="228"/>
      <c r="DA126" s="228"/>
      <c r="DB126" s="228"/>
    </row>
    <row r="127" ht="12.0" customHeight="1">
      <c r="A127" s="228"/>
      <c r="B127" s="228"/>
      <c r="C127" s="228"/>
      <c r="D127" s="228"/>
      <c r="E127" s="228"/>
      <c r="F127" s="228"/>
      <c r="G127" s="228"/>
      <c r="H127" s="228"/>
      <c r="I127" s="228"/>
      <c r="J127" s="228"/>
      <c r="K127" s="228"/>
      <c r="L127" s="228"/>
      <c r="M127" s="228"/>
      <c r="N127" s="228"/>
      <c r="O127" s="228"/>
      <c r="P127" s="228"/>
      <c r="Q127" s="228"/>
      <c r="R127" s="228"/>
      <c r="S127" s="228"/>
      <c r="T127" s="228"/>
      <c r="U127" s="228"/>
      <c r="V127" s="228"/>
      <c r="W127" s="228"/>
      <c r="X127" s="228"/>
      <c r="Y127" s="228"/>
      <c r="Z127" s="228"/>
      <c r="AA127" s="228"/>
      <c r="AB127" s="228"/>
      <c r="AC127" s="228"/>
      <c r="AD127" s="228"/>
      <c r="AE127" s="228"/>
      <c r="AF127" s="228"/>
      <c r="AG127" s="228"/>
      <c r="AH127" s="228"/>
      <c r="AI127" s="228"/>
      <c r="AJ127" s="228"/>
      <c r="AK127" s="228"/>
      <c r="AL127" s="228"/>
      <c r="AM127" s="228"/>
      <c r="AN127" s="228"/>
      <c r="AO127" s="228"/>
      <c r="AP127" s="228"/>
      <c r="AQ127" s="228"/>
      <c r="AR127" s="228"/>
      <c r="AS127" s="228"/>
      <c r="AT127" s="228"/>
      <c r="AU127" s="228"/>
      <c r="AV127" s="228"/>
      <c r="AW127" s="228"/>
      <c r="AX127" s="228"/>
      <c r="AY127" s="228"/>
      <c r="AZ127" s="228"/>
      <c r="BA127" s="228"/>
      <c r="BB127" s="228"/>
      <c r="BC127" s="228"/>
      <c r="BD127" s="228"/>
      <c r="BE127" s="228"/>
      <c r="BF127" s="228"/>
      <c r="BG127" s="228"/>
      <c r="BH127" s="228"/>
      <c r="BI127" s="228"/>
      <c r="BJ127" s="228"/>
      <c r="BK127" s="228"/>
      <c r="BL127" s="228"/>
      <c r="BM127" s="228"/>
      <c r="BN127" s="228"/>
      <c r="BO127" s="228"/>
      <c r="BP127" s="228"/>
      <c r="BQ127" s="228"/>
      <c r="BR127" s="228"/>
      <c r="BS127" s="228"/>
      <c r="BT127" s="228"/>
      <c r="BU127" s="228"/>
      <c r="BV127" s="228"/>
      <c r="BW127" s="228"/>
      <c r="BX127" s="228"/>
      <c r="BY127" s="228"/>
      <c r="BZ127" s="228"/>
      <c r="CA127" s="228"/>
      <c r="CB127" s="228"/>
      <c r="CC127" s="228"/>
      <c r="CD127" s="228"/>
      <c r="CE127" s="228"/>
      <c r="CF127" s="228"/>
      <c r="CG127" s="228"/>
      <c r="CH127" s="228"/>
      <c r="CI127" s="228"/>
      <c r="CJ127" s="228"/>
      <c r="CK127" s="228"/>
      <c r="CL127" s="228"/>
      <c r="CM127" s="228"/>
      <c r="CN127" s="228"/>
      <c r="CO127" s="228"/>
      <c r="CP127" s="228"/>
      <c r="CQ127" s="228"/>
      <c r="CR127" s="228"/>
      <c r="CS127" s="228"/>
      <c r="CT127" s="228"/>
      <c r="CU127" s="228"/>
      <c r="CV127" s="228"/>
      <c r="CW127" s="228"/>
      <c r="CX127" s="228"/>
      <c r="CY127" s="228"/>
      <c r="CZ127" s="228"/>
      <c r="DA127" s="228"/>
      <c r="DB127" s="228"/>
    </row>
    <row r="128" ht="12.0" customHeight="1">
      <c r="A128" s="228"/>
      <c r="B128" s="228"/>
      <c r="C128" s="228"/>
      <c r="D128" s="228"/>
      <c r="E128" s="228"/>
      <c r="F128" s="228"/>
      <c r="G128" s="228"/>
      <c r="H128" s="228"/>
      <c r="I128" s="228"/>
      <c r="J128" s="228"/>
      <c r="K128" s="228"/>
      <c r="L128" s="228"/>
      <c r="M128" s="228"/>
      <c r="N128" s="228"/>
      <c r="O128" s="228"/>
      <c r="P128" s="228"/>
      <c r="Q128" s="228"/>
      <c r="R128" s="228"/>
      <c r="S128" s="228"/>
      <c r="T128" s="228"/>
      <c r="U128" s="228"/>
      <c r="V128" s="228"/>
      <c r="W128" s="228"/>
      <c r="X128" s="228"/>
      <c r="Y128" s="228"/>
      <c r="Z128" s="228"/>
      <c r="AA128" s="228"/>
      <c r="AB128" s="228"/>
      <c r="AC128" s="228"/>
      <c r="AD128" s="228"/>
      <c r="AE128" s="228"/>
      <c r="AF128" s="228"/>
      <c r="AG128" s="228"/>
      <c r="AH128" s="228"/>
      <c r="AI128" s="228"/>
      <c r="AJ128" s="228"/>
      <c r="AK128" s="228"/>
      <c r="AL128" s="228"/>
      <c r="AM128" s="228"/>
      <c r="AN128" s="228"/>
      <c r="AO128" s="228"/>
      <c r="AP128" s="228"/>
      <c r="AQ128" s="228"/>
      <c r="AR128" s="228"/>
      <c r="AS128" s="228"/>
      <c r="AT128" s="228"/>
      <c r="AU128" s="228"/>
      <c r="AV128" s="228"/>
      <c r="AW128" s="228"/>
      <c r="AX128" s="228"/>
      <c r="AY128" s="228"/>
      <c r="AZ128" s="228"/>
      <c r="BA128" s="228"/>
      <c r="BB128" s="228"/>
      <c r="BC128" s="228"/>
      <c r="BD128" s="228"/>
      <c r="BE128" s="228"/>
      <c r="BF128" s="228"/>
      <c r="BG128" s="228"/>
      <c r="BH128" s="228"/>
      <c r="BI128" s="228"/>
      <c r="BJ128" s="228"/>
      <c r="BK128" s="228"/>
      <c r="BL128" s="228"/>
      <c r="BM128" s="228"/>
      <c r="BN128" s="228"/>
      <c r="BO128" s="228"/>
      <c r="BP128" s="228"/>
      <c r="BQ128" s="228"/>
      <c r="BR128" s="228"/>
      <c r="BS128" s="228"/>
      <c r="BT128" s="228"/>
      <c r="BU128" s="228"/>
      <c r="BV128" s="228"/>
      <c r="BW128" s="228"/>
      <c r="BX128" s="228"/>
      <c r="BY128" s="228"/>
      <c r="BZ128" s="228"/>
      <c r="CA128" s="228"/>
      <c r="CB128" s="228"/>
      <c r="CC128" s="228"/>
      <c r="CD128" s="228"/>
      <c r="CE128" s="228"/>
      <c r="CF128" s="228"/>
      <c r="CG128" s="228"/>
      <c r="CH128" s="228"/>
      <c r="CI128" s="228"/>
      <c r="CJ128" s="228"/>
      <c r="CK128" s="228"/>
      <c r="CL128" s="228"/>
      <c r="CM128" s="228"/>
      <c r="CN128" s="228"/>
      <c r="CO128" s="228"/>
      <c r="CP128" s="228"/>
      <c r="CQ128" s="228"/>
      <c r="CR128" s="228"/>
      <c r="CS128" s="228"/>
      <c r="CT128" s="228"/>
      <c r="CU128" s="228"/>
      <c r="CV128" s="228"/>
      <c r="CW128" s="228"/>
      <c r="CX128" s="228"/>
      <c r="CY128" s="228"/>
      <c r="CZ128" s="228"/>
      <c r="DA128" s="228"/>
      <c r="DB128" s="228"/>
    </row>
    <row r="129" ht="12.0" customHeight="1">
      <c r="A129" s="228"/>
      <c r="B129" s="228"/>
      <c r="C129" s="228"/>
      <c r="D129" s="228"/>
      <c r="E129" s="228"/>
      <c r="F129" s="228"/>
      <c r="G129" s="228"/>
      <c r="H129" s="228"/>
      <c r="I129" s="228"/>
      <c r="J129" s="228"/>
      <c r="K129" s="228"/>
      <c r="L129" s="228"/>
      <c r="M129" s="228"/>
      <c r="N129" s="228"/>
      <c r="O129" s="228"/>
      <c r="P129" s="228"/>
      <c r="Q129" s="228"/>
      <c r="R129" s="228"/>
      <c r="S129" s="228"/>
      <c r="T129" s="228"/>
      <c r="U129" s="228"/>
      <c r="V129" s="228"/>
      <c r="W129" s="228"/>
      <c r="X129" s="228"/>
      <c r="Y129" s="228"/>
      <c r="Z129" s="228"/>
      <c r="AA129" s="228"/>
      <c r="AB129" s="228"/>
      <c r="AC129" s="228"/>
      <c r="AD129" s="228"/>
      <c r="AE129" s="228"/>
      <c r="AF129" s="228"/>
      <c r="AG129" s="228"/>
      <c r="AH129" s="228"/>
      <c r="AI129" s="228"/>
      <c r="AJ129" s="228"/>
      <c r="AK129" s="228"/>
      <c r="AL129" s="228"/>
      <c r="AM129" s="228"/>
      <c r="AN129" s="228"/>
      <c r="AO129" s="228"/>
      <c r="AP129" s="228"/>
      <c r="AQ129" s="228"/>
      <c r="AR129" s="228"/>
      <c r="AS129" s="228"/>
      <c r="AT129" s="228"/>
      <c r="AU129" s="228"/>
      <c r="AV129" s="228"/>
      <c r="AW129" s="228"/>
      <c r="AX129" s="228"/>
      <c r="AY129" s="228"/>
      <c r="AZ129" s="228"/>
      <c r="BA129" s="228"/>
      <c r="BB129" s="228"/>
      <c r="BC129" s="228"/>
      <c r="BD129" s="228"/>
      <c r="BE129" s="228"/>
      <c r="BF129" s="228"/>
      <c r="BG129" s="228"/>
      <c r="BH129" s="228"/>
      <c r="BI129" s="228"/>
      <c r="BJ129" s="228"/>
      <c r="BK129" s="228"/>
      <c r="BL129" s="228"/>
      <c r="BM129" s="228"/>
      <c r="BN129" s="228"/>
      <c r="BO129" s="228"/>
      <c r="BP129" s="228"/>
      <c r="BQ129" s="228"/>
      <c r="BR129" s="228"/>
      <c r="BS129" s="228"/>
      <c r="BT129" s="228"/>
      <c r="BU129" s="228"/>
      <c r="BV129" s="228"/>
      <c r="BW129" s="228"/>
      <c r="BX129" s="228"/>
      <c r="BY129" s="228"/>
      <c r="BZ129" s="228"/>
      <c r="CA129" s="228"/>
      <c r="CB129" s="228"/>
      <c r="CC129" s="228"/>
      <c r="CD129" s="228"/>
      <c r="CE129" s="228"/>
      <c r="CF129" s="228"/>
      <c r="CG129" s="228"/>
      <c r="CH129" s="228"/>
      <c r="CI129" s="228"/>
      <c r="CJ129" s="228"/>
      <c r="CK129" s="228"/>
      <c r="CL129" s="228"/>
      <c r="CM129" s="228"/>
      <c r="CN129" s="228"/>
      <c r="CO129" s="228"/>
      <c r="CP129" s="228"/>
      <c r="CQ129" s="228"/>
      <c r="CR129" s="228"/>
      <c r="CS129" s="228"/>
      <c r="CT129" s="228"/>
      <c r="CU129" s="228"/>
      <c r="CV129" s="228"/>
      <c r="CW129" s="228"/>
      <c r="CX129" s="228"/>
      <c r="CY129" s="228"/>
      <c r="CZ129" s="228"/>
      <c r="DA129" s="228"/>
      <c r="DB129" s="228"/>
    </row>
    <row r="130" ht="12.0" customHeight="1">
      <c r="A130" s="228"/>
      <c r="B130" s="228"/>
      <c r="C130" s="228"/>
      <c r="D130" s="228"/>
      <c r="E130" s="228"/>
      <c r="F130" s="228"/>
      <c r="G130" s="228"/>
      <c r="H130" s="228"/>
      <c r="I130" s="228"/>
      <c r="J130" s="228"/>
      <c r="K130" s="228"/>
      <c r="L130" s="228"/>
      <c r="M130" s="228"/>
      <c r="N130" s="228"/>
      <c r="O130" s="228"/>
      <c r="P130" s="228"/>
      <c r="Q130" s="228"/>
      <c r="R130" s="228"/>
      <c r="S130" s="228"/>
      <c r="T130" s="228"/>
      <c r="U130" s="228"/>
      <c r="V130" s="228"/>
      <c r="W130" s="228"/>
      <c r="X130" s="228"/>
      <c r="Y130" s="228"/>
      <c r="Z130" s="228"/>
      <c r="AA130" s="228"/>
      <c r="AB130" s="228"/>
      <c r="AC130" s="228"/>
      <c r="AD130" s="228"/>
      <c r="AE130" s="228"/>
      <c r="AF130" s="228"/>
      <c r="AG130" s="228"/>
      <c r="AH130" s="228"/>
      <c r="AI130" s="228"/>
      <c r="AJ130" s="228"/>
      <c r="AK130" s="228"/>
      <c r="AL130" s="228"/>
      <c r="AM130" s="228"/>
      <c r="AN130" s="228"/>
      <c r="AO130" s="228"/>
      <c r="AP130" s="228"/>
      <c r="AQ130" s="228"/>
      <c r="AR130" s="228"/>
      <c r="AS130" s="228"/>
      <c r="AT130" s="228"/>
      <c r="AU130" s="228"/>
      <c r="AV130" s="228"/>
      <c r="AW130" s="228"/>
      <c r="AX130" s="228"/>
      <c r="AY130" s="228"/>
      <c r="AZ130" s="228"/>
      <c r="BA130" s="228"/>
      <c r="BB130" s="228"/>
      <c r="BC130" s="228"/>
      <c r="BD130" s="228"/>
      <c r="BE130" s="228"/>
      <c r="BF130" s="228"/>
      <c r="BG130" s="228"/>
      <c r="BH130" s="228"/>
      <c r="BI130" s="228"/>
      <c r="BJ130" s="228"/>
      <c r="BK130" s="228"/>
      <c r="BL130" s="228"/>
      <c r="BM130" s="228"/>
      <c r="BN130" s="228"/>
      <c r="BO130" s="228"/>
      <c r="BP130" s="228"/>
      <c r="BQ130" s="228"/>
      <c r="BR130" s="228"/>
      <c r="BS130" s="228"/>
      <c r="BT130" s="228"/>
      <c r="BU130" s="228"/>
      <c r="BV130" s="228"/>
      <c r="BW130" s="228"/>
      <c r="BX130" s="228"/>
      <c r="BY130" s="228"/>
      <c r="BZ130" s="228"/>
      <c r="CA130" s="228"/>
      <c r="CB130" s="228"/>
      <c r="CC130" s="228"/>
      <c r="CD130" s="228"/>
      <c r="CE130" s="228"/>
      <c r="CF130" s="228"/>
      <c r="CG130" s="228"/>
      <c r="CH130" s="228"/>
      <c r="CI130" s="228"/>
      <c r="CJ130" s="228"/>
      <c r="CK130" s="228"/>
      <c r="CL130" s="228"/>
      <c r="CM130" s="228"/>
      <c r="CN130" s="228"/>
      <c r="CO130" s="228"/>
      <c r="CP130" s="228"/>
      <c r="CQ130" s="228"/>
      <c r="CR130" s="228"/>
      <c r="CS130" s="228"/>
      <c r="CT130" s="228"/>
      <c r="CU130" s="228"/>
      <c r="CV130" s="228"/>
      <c r="CW130" s="228"/>
      <c r="CX130" s="228"/>
      <c r="CY130" s="228"/>
      <c r="CZ130" s="228"/>
      <c r="DA130" s="228"/>
      <c r="DB130" s="228"/>
    </row>
    <row r="131" ht="12.0" customHeight="1">
      <c r="A131" s="228"/>
      <c r="B131" s="228"/>
      <c r="C131" s="228"/>
      <c r="D131" s="228"/>
      <c r="E131" s="228"/>
      <c r="F131" s="228"/>
      <c r="G131" s="228"/>
      <c r="H131" s="228"/>
      <c r="I131" s="228"/>
      <c r="J131" s="228"/>
      <c r="K131" s="228"/>
      <c r="L131" s="228"/>
      <c r="M131" s="228"/>
      <c r="N131" s="228"/>
      <c r="O131" s="228"/>
      <c r="P131" s="228"/>
      <c r="Q131" s="228"/>
      <c r="R131" s="228"/>
      <c r="S131" s="228"/>
      <c r="T131" s="228"/>
      <c r="U131" s="228"/>
      <c r="V131" s="228"/>
      <c r="W131" s="228"/>
      <c r="X131" s="228"/>
      <c r="Y131" s="228"/>
      <c r="Z131" s="228"/>
      <c r="AA131" s="228"/>
      <c r="AB131" s="228"/>
      <c r="AC131" s="228"/>
      <c r="AD131" s="228"/>
      <c r="AE131" s="228"/>
      <c r="AF131" s="228"/>
      <c r="AG131" s="228"/>
      <c r="AH131" s="228"/>
      <c r="AI131" s="228"/>
      <c r="AJ131" s="228"/>
      <c r="AK131" s="228"/>
      <c r="AL131" s="228"/>
      <c r="AM131" s="228"/>
      <c r="AN131" s="228"/>
      <c r="AO131" s="228"/>
      <c r="AP131" s="228"/>
      <c r="AQ131" s="228"/>
      <c r="AR131" s="228"/>
      <c r="AS131" s="228"/>
      <c r="AT131" s="228"/>
      <c r="AU131" s="228"/>
      <c r="AV131" s="228"/>
      <c r="AW131" s="228"/>
      <c r="AX131" s="228"/>
      <c r="AY131" s="228"/>
      <c r="AZ131" s="228"/>
      <c r="BA131" s="228"/>
      <c r="BB131" s="228"/>
      <c r="BC131" s="228"/>
      <c r="BD131" s="228"/>
      <c r="BE131" s="228"/>
      <c r="BF131" s="228"/>
      <c r="BG131" s="228"/>
      <c r="BH131" s="228"/>
      <c r="BI131" s="228"/>
      <c r="BJ131" s="228"/>
      <c r="BK131" s="228"/>
      <c r="BL131" s="228"/>
      <c r="BM131" s="228"/>
      <c r="BN131" s="228"/>
      <c r="BO131" s="228"/>
      <c r="BP131" s="228"/>
      <c r="BQ131" s="228"/>
      <c r="BR131" s="228"/>
      <c r="BS131" s="228"/>
      <c r="BT131" s="228"/>
      <c r="BU131" s="228"/>
      <c r="BV131" s="228"/>
      <c r="BW131" s="228"/>
      <c r="BX131" s="228"/>
      <c r="BY131" s="228"/>
      <c r="BZ131" s="228"/>
      <c r="CA131" s="228"/>
      <c r="CB131" s="228"/>
      <c r="CC131" s="228"/>
      <c r="CD131" s="228"/>
      <c r="CE131" s="228"/>
      <c r="CF131" s="228"/>
      <c r="CG131" s="228"/>
      <c r="CH131" s="228"/>
      <c r="CI131" s="228"/>
      <c r="CJ131" s="228"/>
      <c r="CK131" s="228"/>
      <c r="CL131" s="228"/>
      <c r="CM131" s="228"/>
      <c r="CN131" s="228"/>
      <c r="CO131" s="228"/>
      <c r="CP131" s="228"/>
      <c r="CQ131" s="228"/>
      <c r="CR131" s="228"/>
      <c r="CS131" s="228"/>
      <c r="CT131" s="228"/>
      <c r="CU131" s="228"/>
      <c r="CV131" s="228"/>
      <c r="CW131" s="228"/>
      <c r="CX131" s="228"/>
      <c r="CY131" s="228"/>
      <c r="CZ131" s="228"/>
      <c r="DA131" s="228"/>
      <c r="DB131" s="228"/>
    </row>
    <row r="132" ht="12.0" customHeight="1">
      <c r="A132" s="228"/>
      <c r="B132" s="228"/>
      <c r="C132" s="228"/>
      <c r="D132" s="228"/>
      <c r="E132" s="228"/>
      <c r="F132" s="228"/>
      <c r="G132" s="228"/>
      <c r="H132" s="228"/>
      <c r="I132" s="228"/>
      <c r="J132" s="228"/>
      <c r="K132" s="228"/>
      <c r="L132" s="228"/>
      <c r="M132" s="228"/>
      <c r="N132" s="228"/>
      <c r="O132" s="228"/>
      <c r="P132" s="228"/>
      <c r="Q132" s="228"/>
      <c r="R132" s="228"/>
      <c r="S132" s="228"/>
      <c r="T132" s="228"/>
      <c r="U132" s="228"/>
      <c r="V132" s="228"/>
      <c r="W132" s="228"/>
      <c r="X132" s="228"/>
      <c r="Y132" s="228"/>
      <c r="Z132" s="228"/>
      <c r="AA132" s="228"/>
      <c r="AB132" s="228"/>
      <c r="AC132" s="228"/>
      <c r="AD132" s="228"/>
      <c r="AE132" s="228"/>
      <c r="AF132" s="228"/>
      <c r="AG132" s="228"/>
      <c r="AH132" s="228"/>
      <c r="AI132" s="228"/>
      <c r="AJ132" s="228"/>
      <c r="AK132" s="228"/>
      <c r="AL132" s="228"/>
      <c r="AM132" s="228"/>
      <c r="AN132" s="228"/>
      <c r="AO132" s="228"/>
      <c r="AP132" s="228"/>
      <c r="AQ132" s="228"/>
      <c r="AR132" s="228"/>
      <c r="AS132" s="228"/>
      <c r="AT132" s="228"/>
      <c r="AU132" s="228"/>
      <c r="AV132" s="228"/>
      <c r="AW132" s="228"/>
      <c r="AX132" s="228"/>
      <c r="AY132" s="228"/>
      <c r="AZ132" s="228"/>
      <c r="BA132" s="228"/>
      <c r="BB132" s="228"/>
      <c r="BC132" s="228"/>
      <c r="BD132" s="228"/>
      <c r="BE132" s="228"/>
      <c r="BF132" s="228"/>
      <c r="BG132" s="228"/>
      <c r="BH132" s="228"/>
      <c r="BI132" s="228"/>
      <c r="BJ132" s="228"/>
      <c r="BK132" s="228"/>
      <c r="BL132" s="228"/>
      <c r="BM132" s="228"/>
      <c r="BN132" s="228"/>
      <c r="BO132" s="228"/>
      <c r="BP132" s="228"/>
      <c r="BQ132" s="228"/>
      <c r="BR132" s="228"/>
      <c r="BS132" s="228"/>
      <c r="BT132" s="228"/>
      <c r="BU132" s="228"/>
      <c r="BV132" s="228"/>
      <c r="BW132" s="228"/>
      <c r="BX132" s="228"/>
      <c r="BY132" s="228"/>
      <c r="BZ132" s="228"/>
      <c r="CA132" s="228"/>
      <c r="CB132" s="228"/>
      <c r="CC132" s="228"/>
      <c r="CD132" s="228"/>
      <c r="CE132" s="228"/>
      <c r="CF132" s="228"/>
      <c r="CG132" s="228"/>
      <c r="CH132" s="228"/>
      <c r="CI132" s="228"/>
      <c r="CJ132" s="228"/>
      <c r="CK132" s="228"/>
      <c r="CL132" s="228"/>
      <c r="CM132" s="228"/>
      <c r="CN132" s="228"/>
      <c r="CO132" s="228"/>
      <c r="CP132" s="228"/>
      <c r="CQ132" s="228"/>
      <c r="CR132" s="228"/>
      <c r="CS132" s="228"/>
      <c r="CT132" s="228"/>
      <c r="CU132" s="228"/>
      <c r="CV132" s="228"/>
      <c r="CW132" s="228"/>
      <c r="CX132" s="228"/>
      <c r="CY132" s="228"/>
      <c r="CZ132" s="228"/>
      <c r="DA132" s="228"/>
      <c r="DB132" s="228"/>
    </row>
    <row r="133" ht="12.0" customHeight="1">
      <c r="A133" s="228"/>
      <c r="B133" s="228"/>
      <c r="C133" s="228"/>
      <c r="D133" s="228"/>
      <c r="E133" s="228"/>
      <c r="F133" s="228"/>
      <c r="G133" s="228"/>
      <c r="H133" s="228"/>
      <c r="I133" s="228"/>
      <c r="J133" s="228"/>
      <c r="K133" s="228"/>
      <c r="L133" s="228"/>
      <c r="M133" s="228"/>
      <c r="N133" s="228"/>
      <c r="O133" s="228"/>
      <c r="P133" s="228"/>
      <c r="Q133" s="228"/>
      <c r="R133" s="228"/>
      <c r="S133" s="228"/>
      <c r="T133" s="228"/>
      <c r="U133" s="228"/>
      <c r="V133" s="228"/>
      <c r="W133" s="228"/>
      <c r="X133" s="228"/>
      <c r="Y133" s="228"/>
      <c r="Z133" s="228"/>
      <c r="AA133" s="228"/>
      <c r="AB133" s="228"/>
      <c r="AC133" s="228"/>
      <c r="AD133" s="228"/>
      <c r="AE133" s="228"/>
      <c r="AF133" s="228"/>
      <c r="AG133" s="228"/>
      <c r="AH133" s="228"/>
      <c r="AI133" s="228"/>
      <c r="AJ133" s="228"/>
      <c r="AK133" s="228"/>
      <c r="AL133" s="228"/>
      <c r="AM133" s="228"/>
      <c r="AN133" s="228"/>
      <c r="AO133" s="228"/>
      <c r="AP133" s="228"/>
      <c r="AQ133" s="228"/>
      <c r="AR133" s="228"/>
      <c r="AS133" s="228"/>
      <c r="AT133" s="228"/>
      <c r="AU133" s="228"/>
      <c r="AV133" s="228"/>
      <c r="AW133" s="228"/>
      <c r="AX133" s="228"/>
      <c r="AY133" s="228"/>
      <c r="AZ133" s="228"/>
      <c r="BA133" s="228"/>
      <c r="BB133" s="228"/>
      <c r="BC133" s="228"/>
      <c r="BD133" s="228"/>
      <c r="BE133" s="228"/>
      <c r="BF133" s="228"/>
      <c r="BG133" s="228"/>
      <c r="BH133" s="228"/>
      <c r="BI133" s="228"/>
      <c r="BJ133" s="228"/>
      <c r="BK133" s="228"/>
      <c r="BL133" s="228"/>
      <c r="BM133" s="228"/>
      <c r="BN133" s="228"/>
      <c r="BO133" s="228"/>
      <c r="BP133" s="228"/>
      <c r="BQ133" s="228"/>
      <c r="BR133" s="228"/>
      <c r="BS133" s="228"/>
      <c r="BT133" s="228"/>
      <c r="BU133" s="228"/>
      <c r="BV133" s="228"/>
      <c r="BW133" s="228"/>
      <c r="BX133" s="228"/>
      <c r="BY133" s="228"/>
      <c r="BZ133" s="228"/>
      <c r="CA133" s="228"/>
      <c r="CB133" s="228"/>
      <c r="CC133" s="228"/>
      <c r="CD133" s="228"/>
      <c r="CE133" s="228"/>
      <c r="CF133" s="228"/>
      <c r="CG133" s="228"/>
      <c r="CH133" s="228"/>
      <c r="CI133" s="228"/>
      <c r="CJ133" s="228"/>
      <c r="CK133" s="228"/>
      <c r="CL133" s="228"/>
      <c r="CM133" s="228"/>
      <c r="CN133" s="228"/>
      <c r="CO133" s="228"/>
      <c r="CP133" s="228"/>
      <c r="CQ133" s="228"/>
      <c r="CR133" s="228"/>
      <c r="CS133" s="228"/>
      <c r="CT133" s="228"/>
      <c r="CU133" s="228"/>
      <c r="CV133" s="228"/>
      <c r="CW133" s="228"/>
      <c r="CX133" s="228"/>
      <c r="CY133" s="228"/>
      <c r="CZ133" s="228"/>
      <c r="DA133" s="228"/>
      <c r="DB133" s="228"/>
    </row>
    <row r="134" ht="12.0" customHeight="1">
      <c r="A134" s="228"/>
      <c r="B134" s="228"/>
      <c r="C134" s="228"/>
      <c r="D134" s="228"/>
      <c r="E134" s="228"/>
      <c r="F134" s="228"/>
      <c r="G134" s="228"/>
      <c r="H134" s="228"/>
      <c r="I134" s="228"/>
      <c r="J134" s="228"/>
      <c r="K134" s="228"/>
      <c r="L134" s="228"/>
      <c r="M134" s="228"/>
      <c r="N134" s="228"/>
      <c r="O134" s="228"/>
      <c r="P134" s="228"/>
      <c r="Q134" s="228"/>
      <c r="R134" s="228"/>
      <c r="S134" s="228"/>
      <c r="T134" s="228"/>
      <c r="U134" s="228"/>
      <c r="V134" s="228"/>
      <c r="W134" s="228"/>
      <c r="X134" s="228"/>
      <c r="Y134" s="228"/>
      <c r="Z134" s="228"/>
      <c r="AA134" s="228"/>
      <c r="AB134" s="228"/>
      <c r="AC134" s="228"/>
      <c r="AD134" s="228"/>
      <c r="AE134" s="228"/>
      <c r="AF134" s="228"/>
      <c r="AG134" s="228"/>
      <c r="AH134" s="228"/>
      <c r="AI134" s="228"/>
      <c r="AJ134" s="228"/>
      <c r="AK134" s="228"/>
      <c r="AL134" s="228"/>
      <c r="AM134" s="228"/>
      <c r="AN134" s="228"/>
      <c r="AO134" s="228"/>
      <c r="AP134" s="228"/>
      <c r="AQ134" s="228"/>
      <c r="AR134" s="228"/>
      <c r="AS134" s="228"/>
      <c r="AT134" s="228"/>
      <c r="AU134" s="228"/>
      <c r="AV134" s="228"/>
      <c r="AW134" s="228"/>
      <c r="AX134" s="228"/>
      <c r="AY134" s="228"/>
      <c r="AZ134" s="228"/>
      <c r="BA134" s="228"/>
      <c r="BB134" s="228"/>
      <c r="BC134" s="228"/>
      <c r="BD134" s="228"/>
      <c r="BE134" s="228"/>
      <c r="BF134" s="228"/>
      <c r="BG134" s="228"/>
      <c r="BH134" s="228"/>
      <c r="BI134" s="228"/>
      <c r="BJ134" s="228"/>
      <c r="BK134" s="228"/>
      <c r="BL134" s="228"/>
      <c r="BM134" s="228"/>
      <c r="BN134" s="228"/>
      <c r="BO134" s="228"/>
      <c r="BP134" s="228"/>
      <c r="BQ134" s="228"/>
      <c r="BR134" s="228"/>
      <c r="BS134" s="228"/>
      <c r="BT134" s="228"/>
      <c r="BU134" s="228"/>
      <c r="BV134" s="228"/>
      <c r="BW134" s="228"/>
      <c r="BX134" s="228"/>
      <c r="BY134" s="228"/>
      <c r="BZ134" s="228"/>
      <c r="CA134" s="228"/>
      <c r="CB134" s="228"/>
      <c r="CC134" s="228"/>
      <c r="CD134" s="228"/>
      <c r="CE134" s="228"/>
      <c r="CF134" s="228"/>
      <c r="CG134" s="228"/>
      <c r="CH134" s="228"/>
      <c r="CI134" s="228"/>
      <c r="CJ134" s="228"/>
      <c r="CK134" s="228"/>
      <c r="CL134" s="228"/>
      <c r="CM134" s="228"/>
      <c r="CN134" s="228"/>
      <c r="CO134" s="228"/>
      <c r="CP134" s="228"/>
      <c r="CQ134" s="228"/>
      <c r="CR134" s="228"/>
      <c r="CS134" s="228"/>
      <c r="CT134" s="228"/>
      <c r="CU134" s="228"/>
      <c r="CV134" s="228"/>
      <c r="CW134" s="228"/>
      <c r="CX134" s="228"/>
      <c r="CY134" s="228"/>
      <c r="CZ134" s="228"/>
      <c r="DA134" s="228"/>
      <c r="DB134" s="228"/>
    </row>
    <row r="135" ht="12.0" customHeight="1">
      <c r="A135" s="228"/>
      <c r="B135" s="228"/>
      <c r="C135" s="228"/>
      <c r="D135" s="228"/>
      <c r="E135" s="228"/>
      <c r="F135" s="228"/>
      <c r="G135" s="228"/>
      <c r="H135" s="228"/>
      <c r="I135" s="228"/>
      <c r="J135" s="228"/>
      <c r="K135" s="228"/>
      <c r="L135" s="228"/>
      <c r="M135" s="228"/>
      <c r="N135" s="228"/>
      <c r="O135" s="228"/>
      <c r="P135" s="228"/>
      <c r="Q135" s="228"/>
      <c r="R135" s="228"/>
      <c r="S135" s="228"/>
      <c r="T135" s="228"/>
      <c r="U135" s="228"/>
      <c r="V135" s="228"/>
      <c r="W135" s="228"/>
      <c r="X135" s="228"/>
      <c r="Y135" s="228"/>
      <c r="Z135" s="228"/>
      <c r="AA135" s="228"/>
      <c r="AB135" s="228"/>
      <c r="AC135" s="228"/>
      <c r="AD135" s="228"/>
      <c r="AE135" s="228"/>
      <c r="AF135" s="228"/>
      <c r="AG135" s="228"/>
      <c r="AH135" s="228"/>
      <c r="AI135" s="228"/>
      <c r="AJ135" s="228"/>
      <c r="AK135" s="228"/>
      <c r="AL135" s="228"/>
      <c r="AM135" s="228"/>
      <c r="AN135" s="228"/>
      <c r="AO135" s="228"/>
      <c r="AP135" s="228"/>
      <c r="AQ135" s="228"/>
      <c r="AR135" s="228"/>
      <c r="AS135" s="228"/>
      <c r="AT135" s="228"/>
      <c r="AU135" s="228"/>
      <c r="AV135" s="228"/>
      <c r="AW135" s="228"/>
      <c r="AX135" s="228"/>
      <c r="AY135" s="228"/>
      <c r="AZ135" s="228"/>
      <c r="BA135" s="228"/>
      <c r="BB135" s="228"/>
      <c r="BC135" s="228"/>
      <c r="BD135" s="228"/>
      <c r="BE135" s="228"/>
      <c r="BF135" s="228"/>
      <c r="BG135" s="228"/>
      <c r="BH135" s="228"/>
      <c r="BI135" s="228"/>
      <c r="BJ135" s="228"/>
      <c r="BK135" s="228"/>
      <c r="BL135" s="228"/>
      <c r="BM135" s="228"/>
      <c r="BN135" s="228"/>
      <c r="BO135" s="228"/>
      <c r="BP135" s="228"/>
      <c r="BQ135" s="228"/>
      <c r="BR135" s="228"/>
      <c r="BS135" s="228"/>
      <c r="BT135" s="228"/>
      <c r="BU135" s="228"/>
      <c r="BV135" s="228"/>
      <c r="BW135" s="228"/>
      <c r="BX135" s="228"/>
      <c r="BY135" s="228"/>
      <c r="BZ135" s="228"/>
      <c r="CA135" s="228"/>
      <c r="CB135" s="228"/>
      <c r="CC135" s="228"/>
      <c r="CD135" s="228"/>
      <c r="CE135" s="228"/>
      <c r="CF135" s="228"/>
      <c r="CG135" s="228"/>
      <c r="CH135" s="228"/>
      <c r="CI135" s="228"/>
      <c r="CJ135" s="228"/>
      <c r="CK135" s="228"/>
      <c r="CL135" s="228"/>
      <c r="CM135" s="228"/>
      <c r="CN135" s="228"/>
      <c r="CO135" s="228"/>
      <c r="CP135" s="228"/>
      <c r="CQ135" s="228"/>
      <c r="CR135" s="228"/>
      <c r="CS135" s="228"/>
      <c r="CT135" s="228"/>
      <c r="CU135" s="228"/>
      <c r="CV135" s="228"/>
      <c r="CW135" s="228"/>
      <c r="CX135" s="228"/>
      <c r="CY135" s="228"/>
      <c r="CZ135" s="228"/>
      <c r="DA135" s="228"/>
      <c r="DB135" s="228"/>
    </row>
    <row r="136" ht="12.0" customHeight="1">
      <c r="A136" s="228"/>
      <c r="B136" s="228"/>
      <c r="C136" s="228"/>
      <c r="D136" s="228"/>
      <c r="E136" s="228"/>
      <c r="F136" s="228"/>
      <c r="G136" s="228"/>
      <c r="H136" s="228"/>
      <c r="I136" s="228"/>
      <c r="J136" s="228"/>
      <c r="K136" s="228"/>
      <c r="L136" s="228"/>
      <c r="M136" s="228"/>
      <c r="N136" s="228"/>
      <c r="O136" s="228"/>
      <c r="P136" s="228"/>
      <c r="Q136" s="228"/>
      <c r="R136" s="228"/>
      <c r="S136" s="228"/>
      <c r="T136" s="228"/>
      <c r="U136" s="228"/>
      <c r="V136" s="228"/>
      <c r="W136" s="228"/>
      <c r="X136" s="228"/>
      <c r="Y136" s="228"/>
      <c r="Z136" s="228"/>
      <c r="AA136" s="228"/>
      <c r="AB136" s="228"/>
      <c r="AC136" s="228"/>
      <c r="AD136" s="228"/>
      <c r="AE136" s="228"/>
      <c r="AF136" s="228"/>
      <c r="AG136" s="228"/>
      <c r="AH136" s="228"/>
      <c r="AI136" s="228"/>
      <c r="AJ136" s="228"/>
      <c r="AK136" s="228"/>
      <c r="AL136" s="228"/>
      <c r="AM136" s="228"/>
      <c r="AN136" s="228"/>
      <c r="AO136" s="228"/>
      <c r="AP136" s="228"/>
      <c r="AQ136" s="228"/>
      <c r="AR136" s="228"/>
      <c r="AS136" s="228"/>
      <c r="AT136" s="228"/>
      <c r="AU136" s="228"/>
      <c r="AV136" s="228"/>
      <c r="AW136" s="228"/>
      <c r="AX136" s="228"/>
      <c r="AY136" s="228"/>
      <c r="AZ136" s="228"/>
      <c r="BA136" s="228"/>
      <c r="BB136" s="228"/>
      <c r="BC136" s="228"/>
      <c r="BD136" s="228"/>
      <c r="BE136" s="228"/>
      <c r="BF136" s="228"/>
      <c r="BG136" s="228"/>
      <c r="BH136" s="228"/>
      <c r="BI136" s="228"/>
      <c r="BJ136" s="228"/>
      <c r="BK136" s="228"/>
      <c r="BL136" s="228"/>
      <c r="BM136" s="228"/>
      <c r="BN136" s="228"/>
      <c r="BO136" s="228"/>
      <c r="BP136" s="228"/>
      <c r="BQ136" s="228"/>
      <c r="BR136" s="228"/>
      <c r="BS136" s="228"/>
      <c r="BT136" s="228"/>
      <c r="BU136" s="228"/>
      <c r="BV136" s="228"/>
      <c r="BW136" s="228"/>
      <c r="BX136" s="228"/>
      <c r="BY136" s="228"/>
      <c r="BZ136" s="228"/>
      <c r="CA136" s="228"/>
      <c r="CB136" s="228"/>
      <c r="CC136" s="228"/>
      <c r="CD136" s="228"/>
      <c r="CE136" s="228"/>
      <c r="CF136" s="228"/>
      <c r="CG136" s="228"/>
      <c r="CH136" s="228"/>
      <c r="CI136" s="228"/>
      <c r="CJ136" s="228"/>
      <c r="CK136" s="228"/>
      <c r="CL136" s="228"/>
      <c r="CM136" s="228"/>
      <c r="CN136" s="228"/>
      <c r="CO136" s="228"/>
      <c r="CP136" s="228"/>
      <c r="CQ136" s="228"/>
      <c r="CR136" s="228"/>
      <c r="CS136" s="228"/>
      <c r="CT136" s="228"/>
      <c r="CU136" s="228"/>
      <c r="CV136" s="228"/>
      <c r="CW136" s="228"/>
      <c r="CX136" s="228"/>
      <c r="CY136" s="228"/>
      <c r="CZ136" s="228"/>
      <c r="DA136" s="228"/>
      <c r="DB136" s="228"/>
    </row>
    <row r="137" ht="12.0" customHeight="1">
      <c r="A137" s="228"/>
      <c r="B137" s="228"/>
      <c r="C137" s="228"/>
      <c r="D137" s="228"/>
      <c r="E137" s="228"/>
      <c r="F137" s="228"/>
      <c r="G137" s="228"/>
      <c r="H137" s="228"/>
      <c r="I137" s="228"/>
      <c r="J137" s="228"/>
      <c r="K137" s="228"/>
      <c r="L137" s="228"/>
      <c r="M137" s="228"/>
      <c r="N137" s="228"/>
      <c r="O137" s="228"/>
      <c r="P137" s="228"/>
      <c r="Q137" s="228"/>
      <c r="R137" s="228"/>
      <c r="S137" s="228"/>
      <c r="T137" s="228"/>
      <c r="U137" s="228"/>
      <c r="V137" s="228"/>
      <c r="W137" s="228"/>
      <c r="X137" s="228"/>
      <c r="Y137" s="228"/>
      <c r="Z137" s="228"/>
      <c r="AA137" s="228"/>
      <c r="AB137" s="228"/>
      <c r="AC137" s="228"/>
      <c r="AD137" s="228"/>
      <c r="AE137" s="228"/>
      <c r="AF137" s="228"/>
      <c r="AG137" s="228"/>
      <c r="AH137" s="228"/>
      <c r="AI137" s="228"/>
      <c r="AJ137" s="228"/>
      <c r="AK137" s="228"/>
      <c r="AL137" s="228"/>
      <c r="AM137" s="228"/>
      <c r="AN137" s="228"/>
      <c r="AO137" s="228"/>
      <c r="AP137" s="228"/>
      <c r="AQ137" s="228"/>
      <c r="AR137" s="228"/>
      <c r="AS137" s="228"/>
      <c r="AT137" s="228"/>
      <c r="AU137" s="228"/>
      <c r="AV137" s="228"/>
      <c r="AW137" s="228"/>
      <c r="AX137" s="228"/>
      <c r="AY137" s="228"/>
      <c r="AZ137" s="228"/>
      <c r="BA137" s="228"/>
      <c r="BB137" s="228"/>
      <c r="BC137" s="228"/>
      <c r="BD137" s="228"/>
      <c r="BE137" s="228"/>
      <c r="BF137" s="228"/>
      <c r="BG137" s="228"/>
      <c r="BH137" s="228"/>
      <c r="BI137" s="228"/>
      <c r="BJ137" s="228"/>
      <c r="BK137" s="228"/>
      <c r="BL137" s="228"/>
      <c r="BM137" s="228"/>
      <c r="BN137" s="228"/>
      <c r="BO137" s="228"/>
      <c r="BP137" s="228"/>
      <c r="BQ137" s="228"/>
      <c r="BR137" s="228"/>
      <c r="BS137" s="228"/>
      <c r="BT137" s="228"/>
      <c r="BU137" s="228"/>
      <c r="BV137" s="228"/>
      <c r="BW137" s="228"/>
      <c r="BX137" s="228"/>
      <c r="BY137" s="228"/>
      <c r="BZ137" s="228"/>
      <c r="CA137" s="228"/>
      <c r="CB137" s="228"/>
      <c r="CC137" s="228"/>
      <c r="CD137" s="228"/>
      <c r="CE137" s="228"/>
      <c r="CF137" s="228"/>
      <c r="CG137" s="228"/>
      <c r="CH137" s="228"/>
      <c r="CI137" s="228"/>
      <c r="CJ137" s="228"/>
      <c r="CK137" s="228"/>
      <c r="CL137" s="228"/>
      <c r="CM137" s="228"/>
      <c r="CN137" s="228"/>
      <c r="CO137" s="228"/>
      <c r="CP137" s="228"/>
      <c r="CQ137" s="228"/>
      <c r="CR137" s="228"/>
      <c r="CS137" s="228"/>
      <c r="CT137" s="228"/>
      <c r="CU137" s="228"/>
      <c r="CV137" s="228"/>
      <c r="CW137" s="228"/>
      <c r="CX137" s="228"/>
      <c r="CY137" s="228"/>
      <c r="CZ137" s="228"/>
      <c r="DA137" s="228"/>
      <c r="DB137" s="228"/>
    </row>
    <row r="138" ht="12.0" customHeight="1">
      <c r="A138" s="228"/>
      <c r="B138" s="228"/>
      <c r="C138" s="228"/>
      <c r="D138" s="228"/>
      <c r="E138" s="228"/>
      <c r="F138" s="228"/>
      <c r="G138" s="228"/>
      <c r="H138" s="228"/>
      <c r="I138" s="228"/>
      <c r="J138" s="228"/>
      <c r="K138" s="228"/>
      <c r="L138" s="228"/>
      <c r="M138" s="228"/>
      <c r="N138" s="228"/>
      <c r="O138" s="228"/>
      <c r="P138" s="228"/>
      <c r="Q138" s="228"/>
      <c r="R138" s="228"/>
      <c r="S138" s="228"/>
      <c r="T138" s="228"/>
      <c r="U138" s="228"/>
      <c r="V138" s="228"/>
      <c r="W138" s="228"/>
      <c r="X138" s="228"/>
      <c r="Y138" s="228"/>
      <c r="Z138" s="228"/>
      <c r="AA138" s="228"/>
      <c r="AB138" s="228"/>
      <c r="AC138" s="228"/>
      <c r="AD138" s="228"/>
      <c r="AE138" s="228"/>
      <c r="AF138" s="228"/>
      <c r="AG138" s="228"/>
      <c r="AH138" s="228"/>
      <c r="AI138" s="228"/>
      <c r="AJ138" s="228"/>
      <c r="AK138" s="228"/>
      <c r="AL138" s="228"/>
      <c r="AM138" s="228"/>
      <c r="AN138" s="228"/>
      <c r="AO138" s="228"/>
      <c r="AP138" s="228"/>
      <c r="AQ138" s="228"/>
      <c r="AR138" s="228"/>
      <c r="AS138" s="228"/>
      <c r="AT138" s="228"/>
      <c r="AU138" s="228"/>
      <c r="AV138" s="228"/>
      <c r="AW138" s="228"/>
      <c r="AX138" s="228"/>
      <c r="AY138" s="228"/>
      <c r="AZ138" s="228"/>
      <c r="BA138" s="228"/>
      <c r="BB138" s="228"/>
      <c r="BC138" s="228"/>
      <c r="BD138" s="228"/>
      <c r="BE138" s="228"/>
      <c r="BF138" s="228"/>
      <c r="BG138" s="228"/>
      <c r="BH138" s="228"/>
      <c r="BI138" s="228"/>
      <c r="BJ138" s="228"/>
      <c r="BK138" s="228"/>
      <c r="BL138" s="228"/>
      <c r="BM138" s="228"/>
      <c r="BN138" s="228"/>
      <c r="BO138" s="228"/>
      <c r="BP138" s="228"/>
      <c r="BQ138" s="228"/>
      <c r="BR138" s="228"/>
      <c r="BS138" s="228"/>
      <c r="BT138" s="228"/>
      <c r="BU138" s="228"/>
      <c r="BV138" s="228"/>
      <c r="BW138" s="228"/>
      <c r="BX138" s="228"/>
      <c r="BY138" s="228"/>
      <c r="BZ138" s="228"/>
      <c r="CA138" s="228"/>
      <c r="CB138" s="228"/>
      <c r="CC138" s="228"/>
      <c r="CD138" s="228"/>
      <c r="CE138" s="228"/>
      <c r="CF138" s="228"/>
      <c r="CG138" s="228"/>
      <c r="CH138" s="228"/>
      <c r="CI138" s="228"/>
      <c r="CJ138" s="228"/>
      <c r="CK138" s="228"/>
      <c r="CL138" s="228"/>
      <c r="CM138" s="228"/>
      <c r="CN138" s="228"/>
      <c r="CO138" s="228"/>
      <c r="CP138" s="228"/>
      <c r="CQ138" s="228"/>
      <c r="CR138" s="228"/>
      <c r="CS138" s="228"/>
      <c r="CT138" s="228"/>
      <c r="CU138" s="228"/>
      <c r="CV138" s="228"/>
      <c r="CW138" s="228"/>
      <c r="CX138" s="228"/>
      <c r="CY138" s="228"/>
      <c r="CZ138" s="228"/>
      <c r="DA138" s="228"/>
      <c r="DB138" s="228"/>
    </row>
    <row r="139" ht="12.0" customHeight="1">
      <c r="A139" s="228"/>
      <c r="B139" s="228"/>
      <c r="C139" s="228"/>
      <c r="D139" s="228"/>
      <c r="E139" s="228"/>
      <c r="F139" s="228"/>
      <c r="G139" s="228"/>
      <c r="H139" s="228"/>
      <c r="I139" s="228"/>
      <c r="J139" s="228"/>
      <c r="K139" s="228"/>
      <c r="L139" s="228"/>
      <c r="M139" s="228"/>
      <c r="N139" s="228"/>
      <c r="O139" s="228"/>
      <c r="P139" s="228"/>
      <c r="Q139" s="228"/>
      <c r="R139" s="228"/>
      <c r="S139" s="228"/>
      <c r="T139" s="228"/>
      <c r="U139" s="228"/>
      <c r="V139" s="228"/>
      <c r="W139" s="228"/>
      <c r="X139" s="228"/>
      <c r="Y139" s="228"/>
      <c r="Z139" s="228"/>
      <c r="AA139" s="228"/>
      <c r="AB139" s="228"/>
      <c r="AC139" s="228"/>
      <c r="AD139" s="228"/>
      <c r="AE139" s="228"/>
      <c r="AF139" s="228"/>
      <c r="AG139" s="228"/>
      <c r="AH139" s="228"/>
      <c r="AI139" s="228"/>
      <c r="AJ139" s="228"/>
      <c r="AK139" s="228"/>
      <c r="AL139" s="228"/>
      <c r="AM139" s="228"/>
      <c r="AN139" s="228"/>
      <c r="AO139" s="228"/>
      <c r="AP139" s="228"/>
      <c r="AQ139" s="228"/>
      <c r="AR139" s="228"/>
      <c r="AS139" s="228"/>
      <c r="AT139" s="228"/>
      <c r="AU139" s="228"/>
      <c r="AV139" s="228"/>
      <c r="AW139" s="228"/>
      <c r="AX139" s="228"/>
      <c r="AY139" s="228"/>
      <c r="AZ139" s="228"/>
      <c r="BA139" s="228"/>
      <c r="BB139" s="228"/>
      <c r="BC139" s="228"/>
      <c r="BD139" s="228"/>
      <c r="BE139" s="228"/>
      <c r="BF139" s="228"/>
      <c r="BG139" s="228"/>
      <c r="BH139" s="228"/>
      <c r="BI139" s="228"/>
      <c r="BJ139" s="228"/>
      <c r="BK139" s="228"/>
      <c r="BL139" s="228"/>
      <c r="BM139" s="228"/>
      <c r="BN139" s="228"/>
      <c r="BO139" s="228"/>
      <c r="BP139" s="228"/>
      <c r="BQ139" s="228"/>
      <c r="BR139" s="228"/>
      <c r="BS139" s="228"/>
      <c r="BT139" s="228"/>
      <c r="BU139" s="228"/>
      <c r="BV139" s="228"/>
      <c r="BW139" s="228"/>
      <c r="BX139" s="228"/>
      <c r="BY139" s="228"/>
      <c r="BZ139" s="228"/>
      <c r="CA139" s="228"/>
      <c r="CB139" s="228"/>
      <c r="CC139" s="228"/>
      <c r="CD139" s="228"/>
      <c r="CE139" s="228"/>
      <c r="CF139" s="228"/>
      <c r="CG139" s="228"/>
      <c r="CH139" s="228"/>
      <c r="CI139" s="228"/>
      <c r="CJ139" s="228"/>
      <c r="CK139" s="228"/>
      <c r="CL139" s="228"/>
      <c r="CM139" s="228"/>
      <c r="CN139" s="228"/>
      <c r="CO139" s="228"/>
      <c r="CP139" s="228"/>
      <c r="CQ139" s="228"/>
      <c r="CR139" s="228"/>
      <c r="CS139" s="228"/>
      <c r="CT139" s="228"/>
      <c r="CU139" s="228"/>
      <c r="CV139" s="228"/>
      <c r="CW139" s="228"/>
      <c r="CX139" s="228"/>
      <c r="CY139" s="228"/>
      <c r="CZ139" s="228"/>
      <c r="DA139" s="228"/>
      <c r="DB139" s="228"/>
    </row>
    <row r="140" ht="12.0" customHeight="1">
      <c r="A140" s="228"/>
      <c r="B140" s="228"/>
      <c r="C140" s="228"/>
      <c r="D140" s="228"/>
      <c r="E140" s="228"/>
      <c r="F140" s="228"/>
      <c r="G140" s="228"/>
      <c r="H140" s="228"/>
      <c r="I140" s="228"/>
      <c r="J140" s="228"/>
      <c r="K140" s="228"/>
      <c r="L140" s="228"/>
      <c r="M140" s="228"/>
      <c r="N140" s="228"/>
      <c r="O140" s="228"/>
      <c r="P140" s="228"/>
      <c r="Q140" s="228"/>
      <c r="R140" s="228"/>
      <c r="S140" s="228"/>
      <c r="T140" s="228"/>
      <c r="U140" s="228"/>
      <c r="V140" s="228"/>
      <c r="W140" s="228"/>
      <c r="X140" s="228"/>
      <c r="Y140" s="228"/>
      <c r="Z140" s="228"/>
      <c r="AA140" s="228"/>
      <c r="AB140" s="228"/>
      <c r="AC140" s="228"/>
      <c r="AD140" s="228"/>
      <c r="AE140" s="228"/>
      <c r="AF140" s="228"/>
      <c r="AG140" s="228"/>
      <c r="AH140" s="228"/>
      <c r="AI140" s="228"/>
      <c r="AJ140" s="228"/>
      <c r="AK140" s="228"/>
      <c r="AL140" s="228"/>
      <c r="AM140" s="228"/>
      <c r="AN140" s="228"/>
      <c r="AO140" s="228"/>
      <c r="AP140" s="228"/>
      <c r="AQ140" s="228"/>
      <c r="AR140" s="228"/>
      <c r="AS140" s="228"/>
      <c r="AT140" s="228"/>
      <c r="AU140" s="228"/>
      <c r="AV140" s="228"/>
      <c r="AW140" s="228"/>
      <c r="AX140" s="228"/>
      <c r="AY140" s="228"/>
      <c r="AZ140" s="228"/>
      <c r="BA140" s="228"/>
      <c r="BB140" s="228"/>
      <c r="BC140" s="228"/>
      <c r="BD140" s="228"/>
      <c r="BE140" s="228"/>
      <c r="BF140" s="228"/>
      <c r="BG140" s="228"/>
      <c r="BH140" s="228"/>
      <c r="BI140" s="228"/>
      <c r="BJ140" s="228"/>
      <c r="BK140" s="228"/>
      <c r="BL140" s="228"/>
      <c r="BM140" s="228"/>
      <c r="BN140" s="228"/>
      <c r="BO140" s="228"/>
      <c r="BP140" s="228"/>
      <c r="BQ140" s="228"/>
      <c r="BR140" s="228"/>
      <c r="BS140" s="228"/>
      <c r="BT140" s="228"/>
      <c r="BU140" s="228"/>
      <c r="BV140" s="228"/>
      <c r="BW140" s="228"/>
      <c r="BX140" s="228"/>
      <c r="BY140" s="228"/>
      <c r="BZ140" s="228"/>
      <c r="CA140" s="228"/>
      <c r="CB140" s="228"/>
      <c r="CC140" s="228"/>
      <c r="CD140" s="228"/>
      <c r="CE140" s="228"/>
      <c r="CF140" s="228"/>
      <c r="CG140" s="228"/>
      <c r="CH140" s="228"/>
      <c r="CI140" s="228"/>
      <c r="CJ140" s="228"/>
      <c r="CK140" s="228"/>
      <c r="CL140" s="228"/>
      <c r="CM140" s="228"/>
      <c r="CN140" s="228"/>
      <c r="CO140" s="228"/>
      <c r="CP140" s="228"/>
      <c r="CQ140" s="228"/>
      <c r="CR140" s="228"/>
      <c r="CS140" s="228"/>
      <c r="CT140" s="228"/>
      <c r="CU140" s="228"/>
      <c r="CV140" s="228"/>
      <c r="CW140" s="228"/>
      <c r="CX140" s="228"/>
      <c r="CY140" s="228"/>
      <c r="CZ140" s="228"/>
      <c r="DA140" s="228"/>
      <c r="DB140" s="228"/>
    </row>
    <row r="141" ht="12.0" customHeight="1">
      <c r="A141" s="228"/>
      <c r="B141" s="228"/>
      <c r="C141" s="228"/>
      <c r="D141" s="228"/>
      <c r="E141" s="228"/>
      <c r="F141" s="228"/>
      <c r="G141" s="228"/>
      <c r="H141" s="228"/>
      <c r="I141" s="228"/>
      <c r="J141" s="228"/>
      <c r="K141" s="228"/>
      <c r="L141" s="228"/>
      <c r="M141" s="228"/>
      <c r="N141" s="228"/>
      <c r="O141" s="228"/>
      <c r="P141" s="228"/>
      <c r="Q141" s="228"/>
      <c r="R141" s="228"/>
      <c r="S141" s="228"/>
      <c r="T141" s="228"/>
      <c r="U141" s="228"/>
      <c r="V141" s="228"/>
      <c r="W141" s="228"/>
      <c r="X141" s="228"/>
      <c r="Y141" s="228"/>
      <c r="Z141" s="228"/>
      <c r="AA141" s="228"/>
      <c r="AB141" s="228"/>
      <c r="AC141" s="228"/>
      <c r="AD141" s="228"/>
      <c r="AE141" s="228"/>
      <c r="AF141" s="228"/>
      <c r="AG141" s="228"/>
      <c r="AH141" s="228"/>
      <c r="AI141" s="228"/>
      <c r="AJ141" s="228"/>
      <c r="AK141" s="228"/>
      <c r="AL141" s="228"/>
      <c r="AM141" s="228"/>
      <c r="AN141" s="228"/>
      <c r="AO141" s="228"/>
      <c r="AP141" s="228"/>
      <c r="AQ141" s="228"/>
      <c r="AR141" s="228"/>
      <c r="AS141" s="228"/>
      <c r="AT141" s="228"/>
      <c r="AU141" s="228"/>
      <c r="AV141" s="228"/>
      <c r="AW141" s="228"/>
      <c r="AX141" s="228"/>
      <c r="AY141" s="228"/>
      <c r="AZ141" s="228"/>
      <c r="BA141" s="228"/>
      <c r="BB141" s="228"/>
      <c r="BC141" s="228"/>
      <c r="BD141" s="228"/>
      <c r="BE141" s="228"/>
      <c r="BF141" s="228"/>
      <c r="BG141" s="228"/>
      <c r="BH141" s="228"/>
      <c r="BI141" s="228"/>
      <c r="BJ141" s="228"/>
      <c r="BK141" s="228"/>
      <c r="BL141" s="228"/>
      <c r="BM141" s="228"/>
      <c r="BN141" s="228"/>
      <c r="BO141" s="228"/>
      <c r="BP141" s="228"/>
      <c r="BQ141" s="228"/>
      <c r="BR141" s="228"/>
      <c r="BS141" s="228"/>
      <c r="BT141" s="228"/>
      <c r="BU141" s="228"/>
      <c r="BV141" s="228"/>
      <c r="BW141" s="228"/>
      <c r="BX141" s="228"/>
      <c r="BY141" s="228"/>
      <c r="BZ141" s="228"/>
      <c r="CA141" s="228"/>
      <c r="CB141" s="228"/>
      <c r="CC141" s="228"/>
      <c r="CD141" s="228"/>
      <c r="CE141" s="228"/>
      <c r="CF141" s="228"/>
      <c r="CG141" s="228"/>
      <c r="CH141" s="228"/>
      <c r="CI141" s="228"/>
      <c r="CJ141" s="228"/>
      <c r="CK141" s="228"/>
      <c r="CL141" s="228"/>
      <c r="CM141" s="228"/>
      <c r="CN141" s="228"/>
      <c r="CO141" s="228"/>
      <c r="CP141" s="228"/>
      <c r="CQ141" s="228"/>
      <c r="CR141" s="228"/>
      <c r="CS141" s="228"/>
      <c r="CT141" s="228"/>
      <c r="CU141" s="228"/>
      <c r="CV141" s="228"/>
      <c r="CW141" s="228"/>
      <c r="CX141" s="228"/>
      <c r="CY141" s="228"/>
      <c r="CZ141" s="228"/>
      <c r="DA141" s="228"/>
      <c r="DB141" s="228"/>
    </row>
    <row r="142" ht="12.0" customHeight="1">
      <c r="A142" s="228"/>
      <c r="B142" s="228"/>
      <c r="C142" s="228"/>
      <c r="D142" s="228"/>
      <c r="E142" s="228"/>
      <c r="F142" s="228"/>
      <c r="G142" s="228"/>
      <c r="H142" s="228"/>
      <c r="I142" s="228"/>
      <c r="J142" s="228"/>
      <c r="K142" s="228"/>
      <c r="L142" s="228"/>
      <c r="M142" s="228"/>
      <c r="N142" s="228"/>
      <c r="O142" s="228"/>
      <c r="P142" s="228"/>
      <c r="Q142" s="228"/>
      <c r="R142" s="228"/>
      <c r="S142" s="228"/>
      <c r="T142" s="228"/>
      <c r="U142" s="228"/>
      <c r="V142" s="228"/>
      <c r="W142" s="228"/>
      <c r="X142" s="228"/>
      <c r="Y142" s="228"/>
      <c r="Z142" s="228"/>
      <c r="AA142" s="228"/>
      <c r="AB142" s="228"/>
      <c r="AC142" s="228"/>
      <c r="AD142" s="228"/>
      <c r="AE142" s="228"/>
      <c r="AF142" s="228"/>
      <c r="AG142" s="228"/>
      <c r="AH142" s="228"/>
      <c r="AI142" s="228"/>
      <c r="AJ142" s="228"/>
      <c r="AK142" s="228"/>
      <c r="AL142" s="228"/>
      <c r="AM142" s="228"/>
      <c r="AN142" s="228"/>
      <c r="AO142" s="228"/>
      <c r="AP142" s="228"/>
      <c r="AQ142" s="228"/>
      <c r="AR142" s="228"/>
      <c r="AS142" s="228"/>
      <c r="AT142" s="228"/>
      <c r="AU142" s="228"/>
      <c r="AV142" s="228"/>
      <c r="AW142" s="228"/>
      <c r="AX142" s="228"/>
      <c r="AY142" s="228"/>
      <c r="AZ142" s="228"/>
      <c r="BA142" s="228"/>
      <c r="BB142" s="228"/>
      <c r="BC142" s="228"/>
      <c r="BD142" s="228"/>
      <c r="BE142" s="228"/>
      <c r="BF142" s="228"/>
      <c r="BG142" s="228"/>
      <c r="BH142" s="228"/>
      <c r="BI142" s="228"/>
      <c r="BJ142" s="228"/>
      <c r="BK142" s="228"/>
      <c r="BL142" s="228"/>
      <c r="BM142" s="228"/>
      <c r="BN142" s="228"/>
      <c r="BO142" s="228"/>
      <c r="BP142" s="228"/>
      <c r="BQ142" s="228"/>
      <c r="BR142" s="228"/>
      <c r="BS142" s="228"/>
      <c r="BT142" s="228"/>
      <c r="BU142" s="228"/>
      <c r="BV142" s="228"/>
      <c r="BW142" s="228"/>
      <c r="BX142" s="228"/>
      <c r="BY142" s="228"/>
      <c r="BZ142" s="228"/>
      <c r="CA142" s="228"/>
      <c r="CB142" s="228"/>
      <c r="CC142" s="228"/>
      <c r="CD142" s="228"/>
      <c r="CE142" s="228"/>
      <c r="CF142" s="228"/>
      <c r="CG142" s="228"/>
      <c r="CH142" s="228"/>
      <c r="CI142" s="228"/>
      <c r="CJ142" s="228"/>
      <c r="CK142" s="228"/>
      <c r="CL142" s="228"/>
      <c r="CM142" s="228"/>
      <c r="CN142" s="228"/>
      <c r="CO142" s="228"/>
      <c r="CP142" s="228"/>
      <c r="CQ142" s="228"/>
      <c r="CR142" s="228"/>
      <c r="CS142" s="228"/>
      <c r="CT142" s="228"/>
      <c r="CU142" s="228"/>
      <c r="CV142" s="228"/>
      <c r="CW142" s="228"/>
      <c r="CX142" s="228"/>
      <c r="CY142" s="228"/>
      <c r="CZ142" s="228"/>
      <c r="DA142" s="228"/>
      <c r="DB142" s="228"/>
    </row>
    <row r="143" ht="12.0" customHeight="1">
      <c r="A143" s="228"/>
      <c r="B143" s="228"/>
      <c r="C143" s="228"/>
      <c r="D143" s="228"/>
      <c r="E143" s="228"/>
      <c r="F143" s="228"/>
      <c r="G143" s="228"/>
      <c r="H143" s="228"/>
      <c r="I143" s="228"/>
      <c r="J143" s="228"/>
      <c r="K143" s="228"/>
      <c r="L143" s="228"/>
      <c r="M143" s="228"/>
      <c r="N143" s="228"/>
      <c r="O143" s="228"/>
      <c r="P143" s="228"/>
      <c r="Q143" s="228"/>
      <c r="R143" s="228"/>
      <c r="S143" s="228"/>
      <c r="T143" s="228"/>
      <c r="U143" s="228"/>
      <c r="V143" s="228"/>
      <c r="W143" s="228"/>
      <c r="X143" s="228"/>
      <c r="Y143" s="228"/>
      <c r="Z143" s="228"/>
      <c r="AA143" s="228"/>
      <c r="AB143" s="228"/>
      <c r="AC143" s="228"/>
      <c r="AD143" s="228"/>
      <c r="AE143" s="228"/>
      <c r="AF143" s="228"/>
      <c r="AG143" s="228"/>
      <c r="AH143" s="228"/>
      <c r="AI143" s="228"/>
      <c r="AJ143" s="228"/>
      <c r="AK143" s="228"/>
      <c r="AL143" s="228"/>
      <c r="AM143" s="228"/>
      <c r="AN143" s="228"/>
      <c r="AO143" s="228"/>
      <c r="AP143" s="228"/>
      <c r="AQ143" s="228"/>
      <c r="AR143" s="228"/>
      <c r="AS143" s="228"/>
      <c r="AT143" s="228"/>
      <c r="AU143" s="228"/>
      <c r="AV143" s="228"/>
      <c r="AW143" s="228"/>
      <c r="AX143" s="228"/>
      <c r="AY143" s="228"/>
      <c r="AZ143" s="228"/>
      <c r="BA143" s="228"/>
      <c r="BB143" s="228"/>
      <c r="BC143" s="228"/>
      <c r="BD143" s="228"/>
      <c r="BE143" s="228"/>
      <c r="BF143" s="228"/>
      <c r="BG143" s="228"/>
      <c r="BH143" s="228"/>
      <c r="BI143" s="228"/>
      <c r="BJ143" s="228"/>
      <c r="BK143" s="228"/>
      <c r="BL143" s="228"/>
      <c r="BM143" s="228"/>
      <c r="BN143" s="228"/>
      <c r="BO143" s="228"/>
      <c r="BP143" s="228"/>
      <c r="BQ143" s="228"/>
      <c r="BR143" s="228"/>
      <c r="BS143" s="228"/>
      <c r="BT143" s="228"/>
      <c r="BU143" s="228"/>
      <c r="BV143" s="228"/>
      <c r="BW143" s="228"/>
      <c r="BX143" s="228"/>
      <c r="BY143" s="228"/>
      <c r="BZ143" s="228"/>
      <c r="CA143" s="228"/>
      <c r="CB143" s="228"/>
      <c r="CC143" s="228"/>
      <c r="CD143" s="228"/>
      <c r="CE143" s="228"/>
      <c r="CF143" s="228"/>
      <c r="CG143" s="228"/>
      <c r="CH143" s="228"/>
      <c r="CI143" s="228"/>
      <c r="CJ143" s="228"/>
      <c r="CK143" s="228"/>
      <c r="CL143" s="228"/>
      <c r="CM143" s="228"/>
      <c r="CN143" s="228"/>
      <c r="CO143" s="228"/>
      <c r="CP143" s="228"/>
      <c r="CQ143" s="228"/>
      <c r="CR143" s="228"/>
      <c r="CS143" s="228"/>
      <c r="CT143" s="228"/>
      <c r="CU143" s="228"/>
      <c r="CV143" s="228"/>
      <c r="CW143" s="228"/>
      <c r="CX143" s="228"/>
      <c r="CY143" s="228"/>
      <c r="CZ143" s="228"/>
      <c r="DA143" s="228"/>
      <c r="DB143" s="228"/>
    </row>
    <row r="144" ht="12.0" customHeight="1">
      <c r="A144" s="228"/>
      <c r="B144" s="228"/>
      <c r="C144" s="228"/>
      <c r="D144" s="228"/>
      <c r="E144" s="228"/>
      <c r="F144" s="228"/>
      <c r="G144" s="228"/>
      <c r="H144" s="228"/>
      <c r="I144" s="228"/>
      <c r="J144" s="228"/>
      <c r="K144" s="228"/>
      <c r="L144" s="228"/>
      <c r="M144" s="228"/>
      <c r="N144" s="228"/>
      <c r="O144" s="228"/>
      <c r="P144" s="228"/>
      <c r="Q144" s="228"/>
      <c r="R144" s="228"/>
      <c r="S144" s="228"/>
      <c r="T144" s="228"/>
      <c r="U144" s="228"/>
      <c r="V144" s="228"/>
      <c r="W144" s="228"/>
      <c r="X144" s="228"/>
      <c r="Y144" s="228"/>
      <c r="Z144" s="228"/>
      <c r="AA144" s="228"/>
      <c r="AB144" s="228"/>
      <c r="AC144" s="228"/>
      <c r="AD144" s="228"/>
      <c r="AE144" s="228"/>
      <c r="AF144" s="228"/>
      <c r="AG144" s="228"/>
      <c r="AH144" s="228"/>
      <c r="AI144" s="228"/>
      <c r="AJ144" s="228"/>
      <c r="AK144" s="228"/>
      <c r="AL144" s="228"/>
      <c r="AM144" s="228"/>
      <c r="AN144" s="228"/>
      <c r="AO144" s="228"/>
      <c r="AP144" s="228"/>
      <c r="AQ144" s="228"/>
      <c r="AR144" s="228"/>
      <c r="AS144" s="228"/>
      <c r="AT144" s="228"/>
      <c r="AU144" s="228"/>
      <c r="AV144" s="228"/>
      <c r="AW144" s="228"/>
      <c r="AX144" s="228"/>
      <c r="AY144" s="228"/>
      <c r="AZ144" s="228"/>
      <c r="BA144" s="228"/>
      <c r="BB144" s="228"/>
      <c r="BC144" s="228"/>
      <c r="BD144" s="228"/>
      <c r="BE144" s="228"/>
      <c r="BF144" s="228"/>
      <c r="BG144" s="228"/>
      <c r="BH144" s="228"/>
      <c r="BI144" s="228"/>
      <c r="BJ144" s="228"/>
      <c r="BK144" s="228"/>
      <c r="BL144" s="228"/>
      <c r="BM144" s="228"/>
      <c r="BN144" s="228"/>
      <c r="BO144" s="228"/>
      <c r="BP144" s="228"/>
      <c r="BQ144" s="228"/>
      <c r="BR144" s="228"/>
      <c r="BS144" s="228"/>
      <c r="BT144" s="228"/>
      <c r="BU144" s="228"/>
      <c r="BV144" s="228"/>
      <c r="BW144" s="228"/>
      <c r="BX144" s="228"/>
      <c r="BY144" s="228"/>
      <c r="BZ144" s="228"/>
      <c r="CA144" s="228"/>
      <c r="CB144" s="228"/>
      <c r="CC144" s="228"/>
      <c r="CD144" s="228"/>
      <c r="CE144" s="228"/>
      <c r="CF144" s="228"/>
      <c r="CG144" s="228"/>
      <c r="CH144" s="228"/>
      <c r="CI144" s="228"/>
      <c r="CJ144" s="228"/>
      <c r="CK144" s="228"/>
      <c r="CL144" s="228"/>
      <c r="CM144" s="228"/>
      <c r="CN144" s="228"/>
      <c r="CO144" s="228"/>
      <c r="CP144" s="228"/>
      <c r="CQ144" s="228"/>
      <c r="CR144" s="228"/>
      <c r="CS144" s="228"/>
      <c r="CT144" s="228"/>
      <c r="CU144" s="228"/>
      <c r="CV144" s="228"/>
      <c r="CW144" s="228"/>
      <c r="CX144" s="228"/>
      <c r="CY144" s="228"/>
      <c r="CZ144" s="228"/>
      <c r="DA144" s="228"/>
      <c r="DB144" s="228"/>
    </row>
    <row r="145" ht="12.0" customHeight="1">
      <c r="A145" s="228"/>
      <c r="B145" s="228"/>
      <c r="C145" s="228"/>
      <c r="D145" s="228"/>
      <c r="E145" s="228"/>
      <c r="F145" s="228"/>
      <c r="G145" s="228"/>
      <c r="H145" s="228"/>
      <c r="I145" s="228"/>
      <c r="J145" s="228"/>
      <c r="K145" s="228"/>
      <c r="L145" s="228"/>
      <c r="M145" s="228"/>
      <c r="N145" s="228"/>
      <c r="O145" s="228"/>
      <c r="P145" s="228"/>
      <c r="Q145" s="228"/>
      <c r="R145" s="228"/>
      <c r="S145" s="228"/>
      <c r="T145" s="228"/>
      <c r="U145" s="228"/>
      <c r="V145" s="228"/>
      <c r="W145" s="228"/>
      <c r="X145" s="228"/>
      <c r="Y145" s="228"/>
      <c r="Z145" s="228"/>
      <c r="AA145" s="228"/>
      <c r="AB145" s="228"/>
      <c r="AC145" s="228"/>
      <c r="AD145" s="228"/>
      <c r="AE145" s="228"/>
      <c r="AF145" s="228"/>
      <c r="AG145" s="228"/>
      <c r="AH145" s="228"/>
      <c r="AI145" s="228"/>
      <c r="AJ145" s="228"/>
      <c r="AK145" s="228"/>
      <c r="AL145" s="228"/>
      <c r="AM145" s="228"/>
      <c r="AN145" s="228"/>
      <c r="AO145" s="228"/>
      <c r="AP145" s="228"/>
      <c r="AQ145" s="228"/>
      <c r="AR145" s="228"/>
      <c r="AS145" s="228"/>
      <c r="AT145" s="228"/>
      <c r="AU145" s="228"/>
      <c r="AV145" s="228"/>
      <c r="AW145" s="228"/>
      <c r="AX145" s="228"/>
      <c r="AY145" s="228"/>
      <c r="AZ145" s="228"/>
      <c r="BA145" s="228"/>
      <c r="BB145" s="228"/>
      <c r="BC145" s="228"/>
      <c r="BD145" s="228"/>
      <c r="BE145" s="228"/>
      <c r="BF145" s="228"/>
      <c r="BG145" s="228"/>
      <c r="BH145" s="228"/>
      <c r="BI145" s="228"/>
      <c r="BJ145" s="228"/>
      <c r="BK145" s="228"/>
      <c r="BL145" s="228"/>
      <c r="BM145" s="228"/>
      <c r="BN145" s="228"/>
      <c r="BO145" s="228"/>
      <c r="BP145" s="228"/>
      <c r="BQ145" s="228"/>
      <c r="BR145" s="228"/>
      <c r="BS145" s="228"/>
      <c r="BT145" s="228"/>
      <c r="BU145" s="228"/>
      <c r="BV145" s="228"/>
      <c r="BW145" s="228"/>
      <c r="BX145" s="228"/>
      <c r="BY145" s="228"/>
      <c r="BZ145" s="228"/>
      <c r="CA145" s="228"/>
      <c r="CB145" s="228"/>
      <c r="CC145" s="228"/>
      <c r="CD145" s="228"/>
      <c r="CE145" s="228"/>
      <c r="CF145" s="228"/>
      <c r="CG145" s="228"/>
      <c r="CH145" s="228"/>
      <c r="CI145" s="228"/>
      <c r="CJ145" s="228"/>
      <c r="CK145" s="228"/>
      <c r="CL145" s="228"/>
      <c r="CM145" s="228"/>
      <c r="CN145" s="228"/>
      <c r="CO145" s="228"/>
      <c r="CP145" s="228"/>
      <c r="CQ145" s="228"/>
      <c r="CR145" s="228"/>
      <c r="CS145" s="228"/>
      <c r="CT145" s="228"/>
      <c r="CU145" s="228"/>
      <c r="CV145" s="228"/>
      <c r="CW145" s="228"/>
      <c r="CX145" s="228"/>
      <c r="CY145" s="228"/>
      <c r="CZ145" s="228"/>
      <c r="DA145" s="228"/>
      <c r="DB145" s="228"/>
    </row>
    <row r="146" ht="12.0" customHeight="1">
      <c r="A146" s="228"/>
      <c r="B146" s="228"/>
      <c r="C146" s="228"/>
      <c r="D146" s="228"/>
      <c r="E146" s="228"/>
      <c r="F146" s="228"/>
      <c r="G146" s="228"/>
      <c r="H146" s="228"/>
      <c r="I146" s="228"/>
      <c r="J146" s="228"/>
      <c r="K146" s="228"/>
      <c r="L146" s="228"/>
      <c r="M146" s="228"/>
      <c r="N146" s="228"/>
      <c r="O146" s="228"/>
      <c r="P146" s="228"/>
      <c r="Q146" s="228"/>
      <c r="R146" s="228"/>
      <c r="S146" s="228"/>
      <c r="T146" s="228"/>
      <c r="U146" s="228"/>
      <c r="V146" s="228"/>
      <c r="W146" s="228"/>
      <c r="X146" s="228"/>
      <c r="Y146" s="228"/>
      <c r="Z146" s="228"/>
      <c r="AA146" s="228"/>
      <c r="AB146" s="228"/>
      <c r="AC146" s="228"/>
      <c r="AD146" s="228"/>
      <c r="AE146" s="228"/>
      <c r="AF146" s="228"/>
      <c r="AG146" s="228"/>
      <c r="AH146" s="228"/>
      <c r="AI146" s="228"/>
      <c r="AJ146" s="228"/>
      <c r="AK146" s="228"/>
      <c r="AL146" s="228"/>
      <c r="AM146" s="228"/>
      <c r="AN146" s="228"/>
      <c r="AO146" s="228"/>
      <c r="AP146" s="228"/>
      <c r="AQ146" s="228"/>
      <c r="AR146" s="228"/>
      <c r="AS146" s="228"/>
      <c r="AT146" s="228"/>
      <c r="AU146" s="228"/>
      <c r="AV146" s="228"/>
      <c r="AW146" s="228"/>
      <c r="AX146" s="228"/>
      <c r="AY146" s="228"/>
      <c r="AZ146" s="228"/>
      <c r="BA146" s="228"/>
      <c r="BB146" s="228"/>
      <c r="BC146" s="228"/>
      <c r="BD146" s="228"/>
      <c r="BE146" s="228"/>
      <c r="BF146" s="228"/>
      <c r="BG146" s="228"/>
      <c r="BH146" s="228"/>
      <c r="BI146" s="228"/>
      <c r="BJ146" s="228"/>
      <c r="BK146" s="228"/>
      <c r="BL146" s="228"/>
      <c r="BM146" s="228"/>
      <c r="BN146" s="228"/>
      <c r="BO146" s="228"/>
      <c r="BP146" s="228"/>
      <c r="BQ146" s="228"/>
      <c r="BR146" s="228"/>
      <c r="BS146" s="228"/>
      <c r="BT146" s="228"/>
      <c r="BU146" s="228"/>
      <c r="BV146" s="228"/>
      <c r="BW146" s="228"/>
      <c r="BX146" s="228"/>
      <c r="BY146" s="228"/>
      <c r="BZ146" s="228"/>
      <c r="CA146" s="228"/>
      <c r="CB146" s="228"/>
      <c r="CC146" s="228"/>
      <c r="CD146" s="228"/>
      <c r="CE146" s="228"/>
      <c r="CF146" s="228"/>
      <c r="CG146" s="228"/>
      <c r="CH146" s="228"/>
      <c r="CI146" s="228"/>
      <c r="CJ146" s="228"/>
      <c r="CK146" s="228"/>
      <c r="CL146" s="228"/>
      <c r="CM146" s="228"/>
      <c r="CN146" s="228"/>
      <c r="CO146" s="228"/>
      <c r="CP146" s="228"/>
      <c r="CQ146" s="228"/>
      <c r="CR146" s="228"/>
      <c r="CS146" s="228"/>
      <c r="CT146" s="228"/>
      <c r="CU146" s="228"/>
      <c r="CV146" s="228"/>
      <c r="CW146" s="228"/>
      <c r="CX146" s="228"/>
      <c r="CY146" s="228"/>
      <c r="CZ146" s="228"/>
      <c r="DA146" s="228"/>
      <c r="DB146" s="228"/>
    </row>
    <row r="147" ht="12.0" customHeight="1">
      <c r="A147" s="228"/>
      <c r="B147" s="228"/>
      <c r="C147" s="228"/>
      <c r="D147" s="228"/>
      <c r="E147" s="228"/>
      <c r="F147" s="228"/>
      <c r="G147" s="228"/>
      <c r="H147" s="228"/>
      <c r="I147" s="228"/>
      <c r="J147" s="228"/>
      <c r="K147" s="228"/>
      <c r="L147" s="228"/>
      <c r="M147" s="228"/>
      <c r="N147" s="228"/>
      <c r="O147" s="228"/>
      <c r="P147" s="228"/>
      <c r="Q147" s="228"/>
      <c r="R147" s="228"/>
      <c r="S147" s="228"/>
      <c r="T147" s="228"/>
      <c r="U147" s="228"/>
      <c r="V147" s="228"/>
      <c r="W147" s="228"/>
      <c r="X147" s="228"/>
      <c r="Y147" s="228"/>
      <c r="Z147" s="228"/>
      <c r="AA147" s="228"/>
      <c r="AB147" s="228"/>
      <c r="AC147" s="228"/>
      <c r="AD147" s="228"/>
      <c r="AE147" s="228"/>
      <c r="AF147" s="228"/>
      <c r="AG147" s="228"/>
      <c r="AH147" s="228"/>
      <c r="AI147" s="228"/>
      <c r="AJ147" s="228"/>
      <c r="AK147" s="228"/>
      <c r="AL147" s="228"/>
      <c r="AM147" s="228"/>
      <c r="AN147" s="228"/>
      <c r="AO147" s="228"/>
      <c r="AP147" s="228"/>
      <c r="AQ147" s="228"/>
      <c r="AR147" s="228"/>
      <c r="AS147" s="228"/>
      <c r="AT147" s="228"/>
      <c r="AU147" s="228"/>
      <c r="AV147" s="228"/>
      <c r="AW147" s="228"/>
      <c r="AX147" s="228"/>
      <c r="AY147" s="228"/>
      <c r="AZ147" s="228"/>
      <c r="BA147" s="228"/>
      <c r="BB147" s="228"/>
      <c r="BC147" s="228"/>
      <c r="BD147" s="228"/>
      <c r="BE147" s="228"/>
      <c r="BF147" s="228"/>
      <c r="BG147" s="228"/>
      <c r="BH147" s="228"/>
      <c r="BI147" s="228"/>
      <c r="BJ147" s="228"/>
      <c r="BK147" s="228"/>
      <c r="BL147" s="228"/>
      <c r="BM147" s="228"/>
      <c r="BN147" s="228"/>
      <c r="BO147" s="228"/>
      <c r="BP147" s="228"/>
      <c r="BQ147" s="228"/>
      <c r="BR147" s="228"/>
      <c r="BS147" s="228"/>
      <c r="BT147" s="228"/>
      <c r="BU147" s="228"/>
      <c r="BV147" s="228"/>
      <c r="BW147" s="228"/>
      <c r="BX147" s="228"/>
      <c r="BY147" s="228"/>
      <c r="BZ147" s="228"/>
      <c r="CA147" s="228"/>
      <c r="CB147" s="228"/>
      <c r="CC147" s="228"/>
      <c r="CD147" s="228"/>
      <c r="CE147" s="228"/>
      <c r="CF147" s="228"/>
      <c r="CG147" s="228"/>
      <c r="CH147" s="228"/>
      <c r="CI147" s="228"/>
      <c r="CJ147" s="228"/>
      <c r="CK147" s="228"/>
      <c r="CL147" s="228"/>
      <c r="CM147" s="228"/>
      <c r="CN147" s="228"/>
      <c r="CO147" s="228"/>
      <c r="CP147" s="228"/>
      <c r="CQ147" s="228"/>
      <c r="CR147" s="228"/>
      <c r="CS147" s="228"/>
      <c r="CT147" s="228"/>
      <c r="CU147" s="228"/>
      <c r="CV147" s="228"/>
      <c r="CW147" s="228"/>
      <c r="CX147" s="228"/>
      <c r="CY147" s="228"/>
      <c r="CZ147" s="228"/>
      <c r="DA147" s="228"/>
      <c r="DB147" s="228"/>
    </row>
    <row r="148" ht="12.0" customHeight="1">
      <c r="A148" s="228"/>
      <c r="B148" s="228"/>
      <c r="C148" s="228"/>
      <c r="D148" s="228"/>
      <c r="E148" s="228"/>
      <c r="F148" s="228"/>
      <c r="G148" s="228"/>
      <c r="H148" s="228"/>
      <c r="I148" s="228"/>
      <c r="J148" s="228"/>
      <c r="K148" s="228"/>
      <c r="L148" s="228"/>
      <c r="M148" s="228"/>
      <c r="N148" s="228"/>
      <c r="O148" s="228"/>
      <c r="P148" s="228"/>
      <c r="Q148" s="228"/>
      <c r="R148" s="228"/>
      <c r="S148" s="228"/>
      <c r="T148" s="228"/>
      <c r="U148" s="228"/>
      <c r="V148" s="228"/>
      <c r="W148" s="228"/>
      <c r="X148" s="228"/>
      <c r="Y148" s="228"/>
      <c r="Z148" s="228"/>
      <c r="AA148" s="228"/>
      <c r="AB148" s="228"/>
      <c r="AC148" s="228"/>
      <c r="AD148" s="228"/>
      <c r="AE148" s="228"/>
      <c r="AF148" s="228"/>
      <c r="AG148" s="228"/>
      <c r="AH148" s="228"/>
      <c r="AI148" s="228"/>
      <c r="AJ148" s="228"/>
      <c r="AK148" s="228"/>
      <c r="AL148" s="228"/>
      <c r="AM148" s="228"/>
      <c r="AN148" s="228"/>
      <c r="AO148" s="228"/>
      <c r="AP148" s="228"/>
      <c r="AQ148" s="228"/>
      <c r="AR148" s="228"/>
      <c r="AS148" s="228"/>
      <c r="AT148" s="228"/>
      <c r="AU148" s="228"/>
      <c r="AV148" s="228"/>
      <c r="AW148" s="228"/>
      <c r="AX148" s="228"/>
      <c r="AY148" s="228"/>
      <c r="AZ148" s="228"/>
      <c r="BA148" s="228"/>
      <c r="BB148" s="228"/>
      <c r="BC148" s="228"/>
      <c r="BD148" s="228"/>
      <c r="BE148" s="228"/>
      <c r="BF148" s="228"/>
      <c r="BG148" s="228"/>
      <c r="BH148" s="228"/>
      <c r="BI148" s="228"/>
      <c r="BJ148" s="228"/>
      <c r="BK148" s="228"/>
      <c r="BL148" s="228"/>
      <c r="BM148" s="228"/>
      <c r="BN148" s="228"/>
      <c r="BO148" s="228"/>
      <c r="BP148" s="228"/>
      <c r="BQ148" s="228"/>
      <c r="BR148" s="228"/>
      <c r="BS148" s="228"/>
      <c r="BT148" s="228"/>
      <c r="BU148" s="228"/>
      <c r="BV148" s="228"/>
      <c r="BW148" s="228"/>
      <c r="BX148" s="228"/>
      <c r="BY148" s="228"/>
      <c r="BZ148" s="228"/>
      <c r="CA148" s="228"/>
      <c r="CB148" s="228"/>
      <c r="CC148" s="228"/>
      <c r="CD148" s="228"/>
      <c r="CE148" s="228"/>
      <c r="CF148" s="228"/>
      <c r="CG148" s="228"/>
      <c r="CH148" s="228"/>
      <c r="CI148" s="228"/>
      <c r="CJ148" s="228"/>
      <c r="CK148" s="228"/>
      <c r="CL148" s="228"/>
      <c r="CM148" s="228"/>
      <c r="CN148" s="228"/>
      <c r="CO148" s="228"/>
      <c r="CP148" s="228"/>
      <c r="CQ148" s="228"/>
      <c r="CR148" s="228"/>
      <c r="CS148" s="228"/>
      <c r="CT148" s="228"/>
      <c r="CU148" s="228"/>
      <c r="CV148" s="228"/>
      <c r="CW148" s="228"/>
      <c r="CX148" s="228"/>
      <c r="CY148" s="228"/>
      <c r="CZ148" s="228"/>
      <c r="DA148" s="228"/>
      <c r="DB148" s="228"/>
    </row>
    <row r="149" ht="12.0" customHeight="1">
      <c r="A149" s="228"/>
      <c r="B149" s="228"/>
      <c r="C149" s="228"/>
      <c r="D149" s="228"/>
      <c r="E149" s="228"/>
      <c r="F149" s="228"/>
      <c r="G149" s="228"/>
      <c r="H149" s="228"/>
      <c r="I149" s="228"/>
      <c r="J149" s="228"/>
      <c r="K149" s="228"/>
      <c r="L149" s="228"/>
      <c r="M149" s="228"/>
      <c r="N149" s="228"/>
      <c r="O149" s="228"/>
      <c r="P149" s="228"/>
      <c r="Q149" s="228"/>
      <c r="R149" s="228"/>
      <c r="S149" s="228"/>
      <c r="T149" s="228"/>
      <c r="U149" s="228"/>
      <c r="V149" s="228"/>
      <c r="W149" s="228"/>
      <c r="X149" s="228"/>
      <c r="Y149" s="228"/>
      <c r="Z149" s="228"/>
      <c r="AA149" s="228"/>
      <c r="AB149" s="228"/>
      <c r="AC149" s="228"/>
      <c r="AD149" s="228"/>
      <c r="AE149" s="228"/>
      <c r="AF149" s="228"/>
      <c r="AG149" s="228"/>
      <c r="AH149" s="228"/>
      <c r="AI149" s="228"/>
      <c r="AJ149" s="228"/>
      <c r="AK149" s="228"/>
      <c r="AL149" s="228"/>
      <c r="AM149" s="228"/>
      <c r="AN149" s="228"/>
      <c r="AO149" s="228"/>
      <c r="AP149" s="228"/>
      <c r="AQ149" s="228"/>
      <c r="AR149" s="228"/>
      <c r="AS149" s="228"/>
      <c r="AT149" s="228"/>
      <c r="AU149" s="228"/>
      <c r="AV149" s="228"/>
      <c r="AW149" s="228"/>
      <c r="AX149" s="228"/>
      <c r="AY149" s="228"/>
      <c r="AZ149" s="228"/>
      <c r="BA149" s="228"/>
      <c r="BB149" s="228"/>
      <c r="BC149" s="228"/>
      <c r="BD149" s="228"/>
      <c r="BE149" s="228"/>
      <c r="BF149" s="228"/>
      <c r="BG149" s="228"/>
      <c r="BH149" s="228"/>
      <c r="BI149" s="228"/>
      <c r="BJ149" s="228"/>
      <c r="BK149" s="228"/>
      <c r="BL149" s="228"/>
      <c r="BM149" s="228"/>
      <c r="BN149" s="228"/>
      <c r="BO149" s="228"/>
      <c r="BP149" s="228"/>
      <c r="BQ149" s="228"/>
      <c r="BR149" s="228"/>
      <c r="BS149" s="228"/>
      <c r="BT149" s="228"/>
      <c r="BU149" s="228"/>
      <c r="BV149" s="228"/>
      <c r="BW149" s="228"/>
      <c r="BX149" s="228"/>
      <c r="BY149" s="228"/>
      <c r="BZ149" s="228"/>
      <c r="CA149" s="228"/>
      <c r="CB149" s="228"/>
      <c r="CC149" s="228"/>
      <c r="CD149" s="228"/>
      <c r="CE149" s="228"/>
      <c r="CF149" s="228"/>
      <c r="CG149" s="228"/>
      <c r="CH149" s="228"/>
      <c r="CI149" s="228"/>
      <c r="CJ149" s="228"/>
      <c r="CK149" s="228"/>
      <c r="CL149" s="228"/>
      <c r="CM149" s="228"/>
      <c r="CN149" s="228"/>
      <c r="CO149" s="228"/>
      <c r="CP149" s="228"/>
      <c r="CQ149" s="228"/>
      <c r="CR149" s="228"/>
      <c r="CS149" s="228"/>
      <c r="CT149" s="228"/>
      <c r="CU149" s="228"/>
      <c r="CV149" s="228"/>
      <c r="CW149" s="228"/>
      <c r="CX149" s="228"/>
      <c r="CY149" s="228"/>
      <c r="CZ149" s="228"/>
      <c r="DA149" s="228"/>
      <c r="DB149" s="228"/>
    </row>
    <row r="150" ht="12.0" customHeight="1">
      <c r="A150" s="228"/>
      <c r="B150" s="228"/>
      <c r="C150" s="228"/>
      <c r="D150" s="228"/>
      <c r="E150" s="228"/>
      <c r="F150" s="228"/>
      <c r="G150" s="228"/>
      <c r="H150" s="228"/>
      <c r="I150" s="228"/>
      <c r="J150" s="228"/>
      <c r="K150" s="228"/>
      <c r="L150" s="228"/>
      <c r="M150" s="228"/>
      <c r="N150" s="228"/>
      <c r="O150" s="228"/>
      <c r="P150" s="228"/>
      <c r="Q150" s="228"/>
      <c r="R150" s="228"/>
      <c r="S150" s="228"/>
      <c r="T150" s="228"/>
      <c r="U150" s="228"/>
      <c r="V150" s="228"/>
      <c r="W150" s="228"/>
      <c r="X150" s="228"/>
      <c r="Y150" s="228"/>
      <c r="Z150" s="228"/>
      <c r="AA150" s="228"/>
      <c r="AB150" s="228"/>
      <c r="AC150" s="228"/>
      <c r="AD150" s="228"/>
      <c r="AE150" s="228"/>
      <c r="AF150" s="228"/>
      <c r="AG150" s="228"/>
      <c r="AH150" s="228"/>
      <c r="AI150" s="228"/>
      <c r="AJ150" s="228"/>
      <c r="AK150" s="228"/>
      <c r="AL150" s="228"/>
      <c r="AM150" s="228"/>
      <c r="AN150" s="228"/>
      <c r="AO150" s="228"/>
      <c r="AP150" s="228"/>
      <c r="AQ150" s="228"/>
      <c r="AR150" s="228"/>
      <c r="AS150" s="228"/>
      <c r="AT150" s="228"/>
      <c r="AU150" s="228"/>
      <c r="AV150" s="228"/>
      <c r="AW150" s="228"/>
      <c r="AX150" s="228"/>
      <c r="AY150" s="228"/>
      <c r="AZ150" s="228"/>
      <c r="BA150" s="228"/>
      <c r="BB150" s="228"/>
      <c r="BC150" s="228"/>
      <c r="BD150" s="228"/>
      <c r="BE150" s="228"/>
      <c r="BF150" s="228"/>
      <c r="BG150" s="228"/>
      <c r="BH150" s="228"/>
      <c r="BI150" s="228"/>
      <c r="BJ150" s="228"/>
      <c r="BK150" s="228"/>
      <c r="BL150" s="228"/>
      <c r="BM150" s="228"/>
      <c r="BN150" s="228"/>
      <c r="BO150" s="228"/>
      <c r="BP150" s="228"/>
      <c r="BQ150" s="228"/>
      <c r="BR150" s="228"/>
      <c r="BS150" s="228"/>
      <c r="BT150" s="228"/>
      <c r="BU150" s="228"/>
      <c r="BV150" s="228"/>
      <c r="BW150" s="228"/>
      <c r="BX150" s="228"/>
      <c r="BY150" s="228"/>
      <c r="BZ150" s="228"/>
      <c r="CA150" s="228"/>
      <c r="CB150" s="228"/>
      <c r="CC150" s="228"/>
      <c r="CD150" s="228"/>
      <c r="CE150" s="228"/>
      <c r="CF150" s="228"/>
      <c r="CG150" s="228"/>
      <c r="CH150" s="228"/>
      <c r="CI150" s="228"/>
      <c r="CJ150" s="228"/>
      <c r="CK150" s="228"/>
      <c r="CL150" s="228"/>
      <c r="CM150" s="228"/>
      <c r="CN150" s="228"/>
      <c r="CO150" s="228"/>
      <c r="CP150" s="228"/>
      <c r="CQ150" s="228"/>
      <c r="CR150" s="228"/>
      <c r="CS150" s="228"/>
      <c r="CT150" s="228"/>
      <c r="CU150" s="228"/>
      <c r="CV150" s="228"/>
      <c r="CW150" s="228"/>
      <c r="CX150" s="228"/>
      <c r="CY150" s="228"/>
      <c r="CZ150" s="228"/>
      <c r="DA150" s="228"/>
      <c r="DB150" s="228"/>
    </row>
    <row r="151" ht="12.0" customHeight="1">
      <c r="A151" s="228"/>
      <c r="B151" s="228"/>
      <c r="C151" s="228"/>
      <c r="D151" s="228"/>
      <c r="E151" s="228"/>
      <c r="F151" s="228"/>
      <c r="G151" s="228"/>
      <c r="H151" s="228"/>
      <c r="I151" s="228"/>
      <c r="J151" s="228"/>
      <c r="K151" s="228"/>
      <c r="L151" s="228"/>
      <c r="M151" s="228"/>
      <c r="N151" s="228"/>
      <c r="O151" s="228"/>
      <c r="P151" s="228"/>
      <c r="Q151" s="228"/>
      <c r="R151" s="228"/>
      <c r="S151" s="228"/>
      <c r="T151" s="228"/>
      <c r="U151" s="228"/>
      <c r="V151" s="228"/>
      <c r="W151" s="228"/>
      <c r="X151" s="228"/>
      <c r="Y151" s="228"/>
      <c r="Z151" s="228"/>
      <c r="AA151" s="228"/>
      <c r="AB151" s="228"/>
      <c r="AC151" s="228"/>
      <c r="AD151" s="228"/>
      <c r="AE151" s="228"/>
      <c r="AF151" s="228"/>
      <c r="AG151" s="228"/>
      <c r="AH151" s="228"/>
      <c r="AI151" s="228"/>
      <c r="AJ151" s="228"/>
      <c r="AK151" s="228"/>
      <c r="AL151" s="228"/>
      <c r="AM151" s="228"/>
      <c r="AN151" s="228"/>
      <c r="AO151" s="228"/>
      <c r="AP151" s="228"/>
      <c r="AQ151" s="228"/>
      <c r="AR151" s="228"/>
      <c r="AS151" s="228"/>
      <c r="AT151" s="228"/>
      <c r="AU151" s="228"/>
      <c r="AV151" s="228"/>
      <c r="AW151" s="228"/>
      <c r="AX151" s="228"/>
      <c r="AY151" s="228"/>
      <c r="AZ151" s="228"/>
      <c r="BA151" s="228"/>
      <c r="BB151" s="228"/>
      <c r="BC151" s="228"/>
      <c r="BD151" s="228"/>
      <c r="BE151" s="228"/>
      <c r="BF151" s="228"/>
      <c r="BG151" s="228"/>
      <c r="BH151" s="228"/>
      <c r="BI151" s="228"/>
      <c r="BJ151" s="228"/>
      <c r="BK151" s="228"/>
      <c r="BL151" s="228"/>
      <c r="BM151" s="228"/>
      <c r="BN151" s="228"/>
      <c r="BO151" s="228"/>
      <c r="BP151" s="228"/>
      <c r="BQ151" s="228"/>
      <c r="BR151" s="228"/>
      <c r="BS151" s="228"/>
      <c r="BT151" s="228"/>
      <c r="BU151" s="228"/>
      <c r="BV151" s="228"/>
      <c r="BW151" s="228"/>
      <c r="BX151" s="228"/>
      <c r="BY151" s="228"/>
      <c r="BZ151" s="228"/>
      <c r="CA151" s="228"/>
      <c r="CB151" s="228"/>
      <c r="CC151" s="228"/>
      <c r="CD151" s="228"/>
      <c r="CE151" s="228"/>
      <c r="CF151" s="228"/>
      <c r="CG151" s="228"/>
      <c r="CH151" s="228"/>
      <c r="CI151" s="228"/>
      <c r="CJ151" s="228"/>
      <c r="CK151" s="228"/>
      <c r="CL151" s="228"/>
      <c r="CM151" s="228"/>
      <c r="CN151" s="228"/>
      <c r="CO151" s="228"/>
      <c r="CP151" s="228"/>
      <c r="CQ151" s="228"/>
      <c r="CR151" s="228"/>
      <c r="CS151" s="228"/>
      <c r="CT151" s="228"/>
      <c r="CU151" s="228"/>
      <c r="CV151" s="228"/>
      <c r="CW151" s="228"/>
      <c r="CX151" s="228"/>
      <c r="CY151" s="228"/>
      <c r="CZ151" s="228"/>
      <c r="DA151" s="228"/>
      <c r="DB151" s="228"/>
    </row>
    <row r="152" ht="12.0" customHeight="1">
      <c r="A152" s="228"/>
      <c r="B152" s="228"/>
      <c r="C152" s="228"/>
      <c r="D152" s="228"/>
      <c r="E152" s="228"/>
      <c r="F152" s="228"/>
      <c r="G152" s="228"/>
      <c r="H152" s="228"/>
      <c r="I152" s="228"/>
      <c r="J152" s="228"/>
      <c r="K152" s="228"/>
      <c r="L152" s="228"/>
      <c r="M152" s="228"/>
      <c r="N152" s="228"/>
      <c r="O152" s="228"/>
      <c r="P152" s="228"/>
      <c r="Q152" s="228"/>
      <c r="R152" s="228"/>
      <c r="S152" s="228"/>
      <c r="T152" s="228"/>
      <c r="U152" s="228"/>
      <c r="V152" s="228"/>
      <c r="W152" s="228"/>
      <c r="X152" s="228"/>
      <c r="Y152" s="228"/>
      <c r="Z152" s="228"/>
      <c r="AA152" s="228"/>
      <c r="AB152" s="228"/>
      <c r="AC152" s="228"/>
      <c r="AD152" s="228"/>
      <c r="AE152" s="228"/>
      <c r="AF152" s="228"/>
      <c r="AG152" s="228"/>
      <c r="AH152" s="228"/>
      <c r="AI152" s="228"/>
      <c r="AJ152" s="228"/>
      <c r="AK152" s="228"/>
      <c r="AL152" s="228"/>
      <c r="AM152" s="228"/>
      <c r="AN152" s="228"/>
      <c r="AO152" s="228"/>
      <c r="AP152" s="228"/>
      <c r="AQ152" s="228"/>
      <c r="AR152" s="228"/>
      <c r="AS152" s="228"/>
      <c r="AT152" s="228"/>
      <c r="AU152" s="228"/>
      <c r="AV152" s="228"/>
      <c r="AW152" s="228"/>
      <c r="AX152" s="228"/>
      <c r="AY152" s="228"/>
      <c r="AZ152" s="228"/>
      <c r="BA152" s="228"/>
      <c r="BB152" s="228"/>
      <c r="BC152" s="228"/>
      <c r="BD152" s="228"/>
      <c r="BE152" s="228"/>
      <c r="BF152" s="228"/>
      <c r="BG152" s="228"/>
      <c r="BH152" s="228"/>
      <c r="BI152" s="228"/>
      <c r="BJ152" s="228"/>
      <c r="BK152" s="228"/>
      <c r="BL152" s="228"/>
      <c r="BM152" s="228"/>
      <c r="BN152" s="228"/>
      <c r="BO152" s="228"/>
      <c r="BP152" s="228"/>
      <c r="BQ152" s="228"/>
      <c r="BR152" s="228"/>
      <c r="BS152" s="228"/>
      <c r="BT152" s="228"/>
      <c r="BU152" s="228"/>
      <c r="BV152" s="228"/>
      <c r="BW152" s="228"/>
      <c r="BX152" s="228"/>
      <c r="BY152" s="228"/>
      <c r="BZ152" s="228"/>
      <c r="CA152" s="228"/>
      <c r="CB152" s="228"/>
      <c r="CC152" s="228"/>
      <c r="CD152" s="228"/>
      <c r="CE152" s="228"/>
      <c r="CF152" s="228"/>
      <c r="CG152" s="228"/>
      <c r="CH152" s="228"/>
      <c r="CI152" s="228"/>
      <c r="CJ152" s="228"/>
      <c r="CK152" s="228"/>
      <c r="CL152" s="228"/>
      <c r="CM152" s="228"/>
      <c r="CN152" s="228"/>
      <c r="CO152" s="228"/>
      <c r="CP152" s="228"/>
      <c r="CQ152" s="228"/>
      <c r="CR152" s="228"/>
      <c r="CS152" s="228"/>
      <c r="CT152" s="228"/>
      <c r="CU152" s="228"/>
      <c r="CV152" s="228"/>
      <c r="CW152" s="228"/>
      <c r="CX152" s="228"/>
      <c r="CY152" s="228"/>
      <c r="CZ152" s="228"/>
      <c r="DA152" s="228"/>
      <c r="DB152" s="228"/>
    </row>
    <row r="153" ht="12.0" customHeight="1">
      <c r="A153" s="228"/>
      <c r="B153" s="228"/>
      <c r="C153" s="228"/>
      <c r="D153" s="228"/>
      <c r="E153" s="228"/>
      <c r="F153" s="228"/>
      <c r="G153" s="228"/>
      <c r="H153" s="228"/>
      <c r="I153" s="228"/>
      <c r="J153" s="228"/>
      <c r="K153" s="228"/>
      <c r="L153" s="228"/>
      <c r="M153" s="228"/>
      <c r="N153" s="228"/>
      <c r="O153" s="228"/>
      <c r="P153" s="228"/>
      <c r="Q153" s="228"/>
      <c r="R153" s="228"/>
      <c r="S153" s="228"/>
      <c r="T153" s="228"/>
      <c r="U153" s="228"/>
      <c r="V153" s="228"/>
      <c r="W153" s="228"/>
      <c r="X153" s="228"/>
      <c r="Y153" s="228"/>
      <c r="Z153" s="228"/>
      <c r="AA153" s="228"/>
      <c r="AB153" s="228"/>
      <c r="AC153" s="228"/>
      <c r="AD153" s="228"/>
      <c r="AE153" s="228"/>
      <c r="AF153" s="228"/>
      <c r="AG153" s="228"/>
      <c r="AH153" s="228"/>
      <c r="AI153" s="228"/>
      <c r="AJ153" s="228"/>
      <c r="AK153" s="228"/>
      <c r="AL153" s="228"/>
      <c r="AM153" s="228"/>
      <c r="AN153" s="228"/>
      <c r="AO153" s="228"/>
      <c r="AP153" s="228"/>
      <c r="AQ153" s="228"/>
      <c r="AR153" s="228"/>
      <c r="AS153" s="228"/>
      <c r="AT153" s="228"/>
      <c r="AU153" s="228"/>
      <c r="AV153" s="228"/>
      <c r="AW153" s="228"/>
      <c r="AX153" s="228"/>
      <c r="AY153" s="228"/>
      <c r="AZ153" s="228"/>
      <c r="BA153" s="228"/>
      <c r="BB153" s="228"/>
      <c r="BC153" s="228"/>
      <c r="BD153" s="228"/>
      <c r="BE153" s="228"/>
      <c r="BF153" s="228"/>
      <c r="BG153" s="228"/>
      <c r="BH153" s="228"/>
      <c r="BI153" s="228"/>
      <c r="BJ153" s="228"/>
      <c r="BK153" s="228"/>
      <c r="BL153" s="228"/>
      <c r="BM153" s="228"/>
      <c r="BN153" s="228"/>
      <c r="BO153" s="228"/>
      <c r="BP153" s="228"/>
      <c r="BQ153" s="228"/>
      <c r="BR153" s="228"/>
      <c r="BS153" s="228"/>
      <c r="BT153" s="228"/>
      <c r="BU153" s="228"/>
      <c r="BV153" s="228"/>
      <c r="BW153" s="228"/>
      <c r="BX153" s="228"/>
      <c r="BY153" s="228"/>
      <c r="BZ153" s="228"/>
      <c r="CA153" s="228"/>
      <c r="CB153" s="228"/>
      <c r="CC153" s="228"/>
      <c r="CD153" s="228"/>
      <c r="CE153" s="228"/>
      <c r="CF153" s="228"/>
      <c r="CG153" s="228"/>
      <c r="CH153" s="228"/>
      <c r="CI153" s="228"/>
      <c r="CJ153" s="228"/>
      <c r="CK153" s="228"/>
      <c r="CL153" s="228"/>
      <c r="CM153" s="228"/>
      <c r="CN153" s="228"/>
      <c r="CO153" s="228"/>
      <c r="CP153" s="228"/>
      <c r="CQ153" s="228"/>
      <c r="CR153" s="228"/>
      <c r="CS153" s="228"/>
      <c r="CT153" s="228"/>
      <c r="CU153" s="228"/>
      <c r="CV153" s="228"/>
      <c r="CW153" s="228"/>
      <c r="CX153" s="228"/>
      <c r="CY153" s="228"/>
      <c r="CZ153" s="228"/>
      <c r="DA153" s="228"/>
      <c r="DB153" s="228"/>
    </row>
    <row r="154" ht="12.0" customHeight="1">
      <c r="A154" s="228"/>
      <c r="B154" s="228"/>
      <c r="C154" s="228"/>
      <c r="D154" s="228"/>
      <c r="E154" s="228"/>
      <c r="F154" s="228"/>
      <c r="G154" s="228"/>
      <c r="H154" s="228"/>
      <c r="I154" s="228"/>
      <c r="J154" s="228"/>
      <c r="K154" s="228"/>
      <c r="L154" s="228"/>
      <c r="M154" s="228"/>
      <c r="N154" s="228"/>
      <c r="O154" s="228"/>
      <c r="P154" s="228"/>
      <c r="Q154" s="228"/>
      <c r="R154" s="228"/>
      <c r="S154" s="228"/>
      <c r="T154" s="228"/>
      <c r="U154" s="228"/>
      <c r="V154" s="228"/>
      <c r="W154" s="228"/>
      <c r="X154" s="228"/>
      <c r="Y154" s="228"/>
      <c r="Z154" s="228"/>
      <c r="AA154" s="228"/>
      <c r="AB154" s="228"/>
      <c r="AC154" s="228"/>
      <c r="AD154" s="228"/>
      <c r="AE154" s="228"/>
      <c r="AF154" s="228"/>
      <c r="AG154" s="228"/>
      <c r="AH154" s="228"/>
      <c r="AI154" s="228"/>
      <c r="AJ154" s="228"/>
      <c r="AK154" s="228"/>
      <c r="AL154" s="228"/>
      <c r="AM154" s="228"/>
      <c r="AN154" s="228"/>
      <c r="AO154" s="228"/>
      <c r="AP154" s="228"/>
      <c r="AQ154" s="228"/>
      <c r="AR154" s="228"/>
      <c r="AS154" s="228"/>
      <c r="AT154" s="228"/>
      <c r="AU154" s="228"/>
      <c r="AV154" s="228"/>
      <c r="AW154" s="228"/>
      <c r="AX154" s="228"/>
      <c r="AY154" s="228"/>
      <c r="AZ154" s="228"/>
      <c r="BA154" s="228"/>
      <c r="BB154" s="228"/>
      <c r="BC154" s="228"/>
      <c r="BD154" s="228"/>
      <c r="BE154" s="228"/>
      <c r="BF154" s="228"/>
      <c r="BG154" s="228"/>
      <c r="BH154" s="228"/>
      <c r="BI154" s="228"/>
      <c r="BJ154" s="228"/>
      <c r="BK154" s="228"/>
      <c r="BL154" s="228"/>
      <c r="BM154" s="228"/>
      <c r="BN154" s="228"/>
      <c r="BO154" s="228"/>
      <c r="BP154" s="228"/>
      <c r="BQ154" s="228"/>
      <c r="BR154" s="228"/>
      <c r="BS154" s="228"/>
      <c r="BT154" s="228"/>
      <c r="BU154" s="228"/>
      <c r="BV154" s="228"/>
      <c r="BW154" s="228"/>
      <c r="BX154" s="228"/>
      <c r="BY154" s="228"/>
      <c r="BZ154" s="228"/>
      <c r="CA154" s="228"/>
      <c r="CB154" s="228"/>
      <c r="CC154" s="228"/>
      <c r="CD154" s="228"/>
      <c r="CE154" s="228"/>
      <c r="CF154" s="228"/>
      <c r="CG154" s="228"/>
      <c r="CH154" s="228"/>
      <c r="CI154" s="228"/>
      <c r="CJ154" s="228"/>
      <c r="CK154" s="228"/>
      <c r="CL154" s="228"/>
      <c r="CM154" s="228"/>
      <c r="CN154" s="228"/>
      <c r="CO154" s="228"/>
      <c r="CP154" s="228"/>
      <c r="CQ154" s="228"/>
      <c r="CR154" s="228"/>
      <c r="CS154" s="228"/>
      <c r="CT154" s="228"/>
      <c r="CU154" s="228"/>
      <c r="CV154" s="228"/>
      <c r="CW154" s="228"/>
      <c r="CX154" s="228"/>
      <c r="CY154" s="228"/>
      <c r="CZ154" s="228"/>
      <c r="DA154" s="228"/>
      <c r="DB154" s="228"/>
    </row>
    <row r="155" ht="12.0" customHeight="1">
      <c r="A155" s="228"/>
      <c r="B155" s="228"/>
      <c r="C155" s="228"/>
      <c r="D155" s="228"/>
      <c r="E155" s="228"/>
      <c r="F155" s="228"/>
      <c r="G155" s="228"/>
      <c r="H155" s="228"/>
      <c r="I155" s="228"/>
      <c r="J155" s="228"/>
      <c r="K155" s="228"/>
      <c r="L155" s="228"/>
      <c r="M155" s="228"/>
      <c r="N155" s="228"/>
      <c r="O155" s="228"/>
      <c r="P155" s="228"/>
      <c r="Q155" s="228"/>
      <c r="R155" s="228"/>
      <c r="S155" s="228"/>
      <c r="T155" s="228"/>
      <c r="U155" s="228"/>
      <c r="V155" s="228"/>
      <c r="W155" s="228"/>
      <c r="X155" s="228"/>
      <c r="Y155" s="228"/>
      <c r="Z155" s="228"/>
      <c r="AA155" s="228"/>
      <c r="AB155" s="228"/>
      <c r="AC155" s="228"/>
      <c r="AD155" s="228"/>
      <c r="AE155" s="228"/>
      <c r="AF155" s="228"/>
      <c r="AG155" s="228"/>
      <c r="AH155" s="228"/>
      <c r="AI155" s="228"/>
      <c r="AJ155" s="228"/>
      <c r="AK155" s="228"/>
      <c r="AL155" s="228"/>
      <c r="AM155" s="228"/>
      <c r="AN155" s="228"/>
      <c r="AO155" s="228"/>
      <c r="AP155" s="228"/>
      <c r="AQ155" s="228"/>
      <c r="AR155" s="228"/>
      <c r="AS155" s="228"/>
      <c r="AT155" s="228"/>
      <c r="AU155" s="228"/>
      <c r="AV155" s="228"/>
      <c r="AW155" s="228"/>
      <c r="AX155" s="228"/>
      <c r="AY155" s="228"/>
      <c r="AZ155" s="228"/>
      <c r="BA155" s="228"/>
      <c r="BB155" s="228"/>
      <c r="BC155" s="228"/>
      <c r="BD155" s="228"/>
      <c r="BE155" s="228"/>
      <c r="BF155" s="228"/>
      <c r="BG155" s="228"/>
      <c r="BH155" s="228"/>
      <c r="BI155" s="228"/>
      <c r="BJ155" s="228"/>
      <c r="BK155" s="228"/>
      <c r="BL155" s="228"/>
      <c r="BM155" s="228"/>
      <c r="BN155" s="228"/>
      <c r="BO155" s="228"/>
      <c r="BP155" s="228"/>
      <c r="BQ155" s="228"/>
      <c r="BR155" s="228"/>
      <c r="BS155" s="228"/>
      <c r="BT155" s="228"/>
      <c r="BU155" s="228"/>
      <c r="BV155" s="228"/>
      <c r="BW155" s="228"/>
      <c r="BX155" s="228"/>
      <c r="BY155" s="228"/>
      <c r="BZ155" s="228"/>
      <c r="CA155" s="228"/>
      <c r="CB155" s="228"/>
      <c r="CC155" s="228"/>
      <c r="CD155" s="228"/>
      <c r="CE155" s="228"/>
      <c r="CF155" s="228"/>
      <c r="CG155" s="228"/>
      <c r="CH155" s="228"/>
      <c r="CI155" s="228"/>
      <c r="CJ155" s="228"/>
      <c r="CK155" s="228"/>
      <c r="CL155" s="228"/>
      <c r="CM155" s="228"/>
      <c r="CN155" s="228"/>
      <c r="CO155" s="228"/>
      <c r="CP155" s="228"/>
      <c r="CQ155" s="228"/>
      <c r="CR155" s="228"/>
      <c r="CS155" s="228"/>
      <c r="CT155" s="228"/>
      <c r="CU155" s="228"/>
      <c r="CV155" s="228"/>
      <c r="CW155" s="228"/>
      <c r="CX155" s="228"/>
      <c r="CY155" s="228"/>
      <c r="CZ155" s="228"/>
      <c r="DA155" s="228"/>
      <c r="DB155" s="228"/>
    </row>
    <row r="156" ht="12.0" customHeight="1">
      <c r="A156" s="228"/>
      <c r="B156" s="228"/>
      <c r="C156" s="228"/>
      <c r="D156" s="228"/>
      <c r="E156" s="228"/>
      <c r="F156" s="228"/>
      <c r="G156" s="228"/>
      <c r="H156" s="228"/>
      <c r="I156" s="228"/>
      <c r="J156" s="228"/>
      <c r="K156" s="228"/>
      <c r="L156" s="228"/>
      <c r="M156" s="228"/>
      <c r="N156" s="228"/>
      <c r="O156" s="228"/>
      <c r="P156" s="228"/>
      <c r="Q156" s="228"/>
      <c r="R156" s="228"/>
      <c r="S156" s="228"/>
      <c r="T156" s="228"/>
      <c r="U156" s="228"/>
      <c r="V156" s="228"/>
      <c r="W156" s="228"/>
      <c r="X156" s="228"/>
      <c r="Y156" s="228"/>
      <c r="Z156" s="228"/>
      <c r="AA156" s="228"/>
      <c r="AB156" s="228"/>
      <c r="AC156" s="228"/>
      <c r="AD156" s="228"/>
      <c r="AE156" s="228"/>
      <c r="AF156" s="228"/>
      <c r="AG156" s="228"/>
      <c r="AH156" s="228"/>
      <c r="AI156" s="228"/>
      <c r="AJ156" s="228"/>
      <c r="AK156" s="228"/>
      <c r="AL156" s="228"/>
      <c r="AM156" s="228"/>
      <c r="AN156" s="228"/>
      <c r="AO156" s="228"/>
      <c r="AP156" s="228"/>
      <c r="AQ156" s="228"/>
      <c r="AR156" s="228"/>
      <c r="AS156" s="228"/>
      <c r="AT156" s="228"/>
      <c r="AU156" s="228"/>
      <c r="AV156" s="228"/>
      <c r="AW156" s="228"/>
      <c r="AX156" s="228"/>
      <c r="AY156" s="228"/>
      <c r="AZ156" s="228"/>
      <c r="BA156" s="228"/>
      <c r="BB156" s="228"/>
      <c r="BC156" s="228"/>
      <c r="BD156" s="228"/>
      <c r="BE156" s="228"/>
      <c r="BF156" s="228"/>
      <c r="BG156" s="228"/>
      <c r="BH156" s="228"/>
      <c r="BI156" s="228"/>
      <c r="BJ156" s="228"/>
      <c r="BK156" s="228"/>
      <c r="BL156" s="228"/>
      <c r="BM156" s="228"/>
      <c r="BN156" s="228"/>
      <c r="BO156" s="228"/>
      <c r="BP156" s="228"/>
      <c r="BQ156" s="228"/>
      <c r="BR156" s="228"/>
      <c r="BS156" s="228"/>
      <c r="BT156" s="228"/>
      <c r="BU156" s="228"/>
      <c r="BV156" s="228"/>
      <c r="BW156" s="228"/>
      <c r="BX156" s="228"/>
      <c r="BY156" s="228"/>
      <c r="BZ156" s="228"/>
      <c r="CA156" s="228"/>
      <c r="CB156" s="228"/>
      <c r="CC156" s="228"/>
      <c r="CD156" s="228"/>
      <c r="CE156" s="228"/>
      <c r="CF156" s="228"/>
      <c r="CG156" s="228"/>
      <c r="CH156" s="228"/>
      <c r="CI156" s="228"/>
      <c r="CJ156" s="228"/>
      <c r="CK156" s="228"/>
      <c r="CL156" s="228"/>
      <c r="CM156" s="228"/>
      <c r="CN156" s="228"/>
      <c r="CO156" s="228"/>
      <c r="CP156" s="228"/>
      <c r="CQ156" s="228"/>
      <c r="CR156" s="228"/>
      <c r="CS156" s="228"/>
      <c r="CT156" s="228"/>
      <c r="CU156" s="228"/>
      <c r="CV156" s="228"/>
      <c r="CW156" s="228"/>
      <c r="CX156" s="228"/>
      <c r="CY156" s="228"/>
      <c r="CZ156" s="228"/>
      <c r="DA156" s="228"/>
      <c r="DB156" s="228"/>
    </row>
    <row r="157" ht="12.0" customHeight="1">
      <c r="A157" s="228"/>
      <c r="B157" s="228"/>
      <c r="C157" s="228"/>
      <c r="D157" s="228"/>
      <c r="E157" s="228"/>
      <c r="F157" s="228"/>
      <c r="G157" s="228"/>
      <c r="H157" s="228"/>
      <c r="I157" s="228"/>
      <c r="J157" s="228"/>
      <c r="K157" s="228"/>
      <c r="L157" s="228"/>
      <c r="M157" s="228"/>
      <c r="N157" s="228"/>
      <c r="O157" s="228"/>
      <c r="P157" s="228"/>
      <c r="Q157" s="228"/>
      <c r="R157" s="228"/>
      <c r="S157" s="228"/>
      <c r="T157" s="228"/>
      <c r="U157" s="228"/>
      <c r="V157" s="228"/>
      <c r="W157" s="228"/>
      <c r="X157" s="228"/>
      <c r="Y157" s="228"/>
      <c r="Z157" s="228"/>
      <c r="AA157" s="228"/>
      <c r="AB157" s="228"/>
      <c r="AC157" s="228"/>
      <c r="AD157" s="228"/>
      <c r="AE157" s="228"/>
      <c r="AF157" s="228"/>
      <c r="AG157" s="228"/>
      <c r="AH157" s="228"/>
      <c r="AI157" s="228"/>
      <c r="AJ157" s="228"/>
      <c r="AK157" s="228"/>
      <c r="AL157" s="228"/>
      <c r="AM157" s="228"/>
      <c r="AN157" s="228"/>
      <c r="AO157" s="228"/>
      <c r="AP157" s="228"/>
      <c r="AQ157" s="228"/>
      <c r="AR157" s="228"/>
      <c r="AS157" s="228"/>
      <c r="AT157" s="228"/>
      <c r="AU157" s="228"/>
      <c r="AV157" s="228"/>
      <c r="AW157" s="228"/>
      <c r="AX157" s="228"/>
      <c r="AY157" s="228"/>
      <c r="AZ157" s="228"/>
      <c r="BA157" s="228"/>
      <c r="BB157" s="228"/>
      <c r="BC157" s="228"/>
      <c r="BD157" s="228"/>
      <c r="BE157" s="228"/>
      <c r="BF157" s="228"/>
      <c r="BG157" s="228"/>
      <c r="BH157" s="228"/>
      <c r="BI157" s="228"/>
      <c r="BJ157" s="228"/>
      <c r="BK157" s="228"/>
      <c r="BL157" s="228"/>
      <c r="BM157" s="228"/>
      <c r="BN157" s="228"/>
      <c r="BO157" s="228"/>
      <c r="BP157" s="228"/>
      <c r="BQ157" s="228"/>
      <c r="BR157" s="228"/>
      <c r="BS157" s="228"/>
      <c r="BT157" s="228"/>
      <c r="BU157" s="228"/>
      <c r="BV157" s="228"/>
      <c r="BW157" s="228"/>
      <c r="BX157" s="228"/>
      <c r="BY157" s="228"/>
      <c r="BZ157" s="228"/>
      <c r="CA157" s="228"/>
      <c r="CB157" s="228"/>
      <c r="CC157" s="228"/>
      <c r="CD157" s="228"/>
      <c r="CE157" s="228"/>
      <c r="CF157" s="228"/>
      <c r="CG157" s="228"/>
      <c r="CH157" s="228"/>
      <c r="CI157" s="228"/>
      <c r="CJ157" s="228"/>
      <c r="CK157" s="228"/>
      <c r="CL157" s="228"/>
      <c r="CM157" s="228"/>
      <c r="CN157" s="228"/>
      <c r="CO157" s="228"/>
      <c r="CP157" s="228"/>
      <c r="CQ157" s="228"/>
      <c r="CR157" s="228"/>
      <c r="CS157" s="228"/>
      <c r="CT157" s="228"/>
      <c r="CU157" s="228"/>
      <c r="CV157" s="228"/>
      <c r="CW157" s="228"/>
      <c r="CX157" s="228"/>
      <c r="CY157" s="228"/>
      <c r="CZ157" s="228"/>
      <c r="DA157" s="228"/>
      <c r="DB157" s="228"/>
    </row>
    <row r="158" ht="12.0" customHeight="1">
      <c r="A158" s="228"/>
      <c r="B158" s="228"/>
      <c r="C158" s="228"/>
      <c r="D158" s="228"/>
      <c r="E158" s="228"/>
      <c r="F158" s="228"/>
      <c r="G158" s="228"/>
      <c r="H158" s="228"/>
      <c r="I158" s="228"/>
      <c r="J158" s="228"/>
      <c r="K158" s="228"/>
      <c r="L158" s="228"/>
      <c r="M158" s="228"/>
      <c r="N158" s="228"/>
      <c r="O158" s="228"/>
      <c r="P158" s="228"/>
      <c r="Q158" s="228"/>
      <c r="R158" s="228"/>
      <c r="S158" s="228"/>
      <c r="T158" s="228"/>
      <c r="U158" s="228"/>
      <c r="V158" s="228"/>
      <c r="W158" s="228"/>
      <c r="X158" s="228"/>
      <c r="Y158" s="228"/>
      <c r="Z158" s="228"/>
      <c r="AA158" s="228"/>
      <c r="AB158" s="228"/>
      <c r="AC158" s="228"/>
      <c r="AD158" s="228"/>
      <c r="AE158" s="228"/>
      <c r="AF158" s="228"/>
      <c r="AG158" s="228"/>
      <c r="AH158" s="228"/>
      <c r="AI158" s="228"/>
      <c r="AJ158" s="228"/>
      <c r="AK158" s="228"/>
      <c r="AL158" s="228"/>
      <c r="AM158" s="228"/>
      <c r="AN158" s="228"/>
      <c r="AO158" s="228"/>
      <c r="AP158" s="228"/>
      <c r="AQ158" s="228"/>
      <c r="AR158" s="228"/>
      <c r="AS158" s="228"/>
      <c r="AT158" s="228"/>
      <c r="AU158" s="228"/>
      <c r="AV158" s="228"/>
      <c r="AW158" s="228"/>
      <c r="AX158" s="228"/>
      <c r="AY158" s="228"/>
      <c r="AZ158" s="228"/>
      <c r="BA158" s="228"/>
      <c r="BB158" s="228"/>
      <c r="BC158" s="228"/>
      <c r="BD158" s="228"/>
      <c r="BE158" s="228"/>
      <c r="BF158" s="228"/>
      <c r="BG158" s="228"/>
      <c r="BH158" s="228"/>
      <c r="BI158" s="228"/>
      <c r="BJ158" s="228"/>
      <c r="BK158" s="228"/>
      <c r="BL158" s="228"/>
      <c r="BM158" s="228"/>
      <c r="BN158" s="228"/>
      <c r="BO158" s="228"/>
      <c r="BP158" s="228"/>
      <c r="BQ158" s="228"/>
      <c r="BR158" s="228"/>
      <c r="BS158" s="228"/>
      <c r="BT158" s="228"/>
      <c r="BU158" s="228"/>
      <c r="BV158" s="228"/>
      <c r="BW158" s="228"/>
      <c r="BX158" s="228"/>
      <c r="BY158" s="228"/>
      <c r="BZ158" s="228"/>
      <c r="CA158" s="228"/>
      <c r="CB158" s="228"/>
      <c r="CC158" s="228"/>
      <c r="CD158" s="228"/>
      <c r="CE158" s="228"/>
      <c r="CF158" s="228"/>
      <c r="CG158" s="228"/>
      <c r="CH158" s="228"/>
      <c r="CI158" s="228"/>
      <c r="CJ158" s="228"/>
      <c r="CK158" s="228"/>
      <c r="CL158" s="228"/>
      <c r="CM158" s="228"/>
      <c r="CN158" s="228"/>
      <c r="CO158" s="228"/>
      <c r="CP158" s="228"/>
      <c r="CQ158" s="228"/>
      <c r="CR158" s="228"/>
      <c r="CS158" s="228"/>
      <c r="CT158" s="228"/>
      <c r="CU158" s="228"/>
      <c r="CV158" s="228"/>
      <c r="CW158" s="228"/>
      <c r="CX158" s="228"/>
      <c r="CY158" s="228"/>
      <c r="CZ158" s="228"/>
      <c r="DA158" s="228"/>
      <c r="DB158" s="228"/>
    </row>
    <row r="159" ht="12.0" customHeight="1">
      <c r="A159" s="228"/>
      <c r="B159" s="228"/>
      <c r="C159" s="228"/>
      <c r="D159" s="228"/>
      <c r="E159" s="228"/>
      <c r="F159" s="228"/>
      <c r="G159" s="228"/>
      <c r="H159" s="228"/>
      <c r="I159" s="228"/>
      <c r="J159" s="228"/>
      <c r="K159" s="228"/>
      <c r="L159" s="228"/>
      <c r="M159" s="228"/>
      <c r="N159" s="228"/>
      <c r="O159" s="228"/>
      <c r="P159" s="228"/>
      <c r="Q159" s="228"/>
      <c r="R159" s="228"/>
      <c r="S159" s="228"/>
      <c r="T159" s="228"/>
      <c r="U159" s="228"/>
      <c r="V159" s="228"/>
      <c r="W159" s="228"/>
      <c r="X159" s="228"/>
      <c r="Y159" s="228"/>
      <c r="Z159" s="228"/>
      <c r="AA159" s="228"/>
      <c r="AB159" s="228"/>
      <c r="AC159" s="228"/>
      <c r="AD159" s="228"/>
      <c r="AE159" s="228"/>
      <c r="AF159" s="228"/>
      <c r="AG159" s="228"/>
      <c r="AH159" s="228"/>
      <c r="AI159" s="228"/>
      <c r="AJ159" s="228"/>
      <c r="AK159" s="228"/>
      <c r="AL159" s="228"/>
      <c r="AM159" s="228"/>
      <c r="AN159" s="228"/>
      <c r="AO159" s="228"/>
      <c r="AP159" s="228"/>
      <c r="AQ159" s="228"/>
      <c r="AR159" s="228"/>
      <c r="AS159" s="228"/>
      <c r="AT159" s="228"/>
      <c r="AU159" s="228"/>
      <c r="AV159" s="228"/>
      <c r="AW159" s="228"/>
      <c r="AX159" s="228"/>
      <c r="AY159" s="228"/>
      <c r="AZ159" s="228"/>
      <c r="BA159" s="228"/>
      <c r="BB159" s="228"/>
      <c r="BC159" s="228"/>
      <c r="BD159" s="228"/>
      <c r="BE159" s="228"/>
      <c r="BF159" s="228"/>
      <c r="BG159" s="228"/>
      <c r="BH159" s="228"/>
      <c r="BI159" s="228"/>
      <c r="BJ159" s="228"/>
      <c r="BK159" s="228"/>
      <c r="BL159" s="228"/>
      <c r="BM159" s="228"/>
      <c r="BN159" s="228"/>
      <c r="BO159" s="228"/>
      <c r="BP159" s="228"/>
      <c r="BQ159" s="228"/>
      <c r="BR159" s="228"/>
      <c r="BS159" s="228"/>
      <c r="BT159" s="228"/>
      <c r="BU159" s="228"/>
      <c r="BV159" s="228"/>
      <c r="BW159" s="228"/>
      <c r="BX159" s="228"/>
      <c r="BY159" s="228"/>
      <c r="BZ159" s="228"/>
      <c r="CA159" s="228"/>
      <c r="CB159" s="228"/>
      <c r="CC159" s="228"/>
      <c r="CD159" s="228"/>
      <c r="CE159" s="228"/>
      <c r="CF159" s="228"/>
      <c r="CG159" s="228"/>
      <c r="CH159" s="228"/>
      <c r="CI159" s="228"/>
      <c r="CJ159" s="228"/>
      <c r="CK159" s="228"/>
      <c r="CL159" s="228"/>
      <c r="CM159" s="228"/>
      <c r="CN159" s="228"/>
      <c r="CO159" s="228"/>
      <c r="CP159" s="228"/>
      <c r="CQ159" s="228"/>
      <c r="CR159" s="228"/>
      <c r="CS159" s="228"/>
      <c r="CT159" s="228"/>
      <c r="CU159" s="228"/>
      <c r="CV159" s="228"/>
      <c r="CW159" s="228"/>
      <c r="CX159" s="228"/>
      <c r="CY159" s="228"/>
      <c r="CZ159" s="228"/>
      <c r="DA159" s="228"/>
      <c r="DB159" s="228"/>
    </row>
    <row r="160" ht="12.0" customHeight="1">
      <c r="A160" s="228"/>
      <c r="B160" s="228"/>
      <c r="C160" s="228"/>
      <c r="D160" s="228"/>
      <c r="E160" s="228"/>
      <c r="F160" s="228"/>
      <c r="G160" s="228"/>
      <c r="H160" s="228"/>
      <c r="I160" s="228"/>
      <c r="J160" s="228"/>
      <c r="K160" s="228"/>
      <c r="L160" s="228"/>
      <c r="M160" s="228"/>
      <c r="N160" s="228"/>
      <c r="O160" s="228"/>
      <c r="P160" s="228"/>
      <c r="Q160" s="228"/>
      <c r="R160" s="228"/>
      <c r="S160" s="228"/>
      <c r="T160" s="228"/>
      <c r="U160" s="228"/>
      <c r="V160" s="228"/>
      <c r="W160" s="228"/>
      <c r="X160" s="228"/>
      <c r="Y160" s="228"/>
      <c r="Z160" s="228"/>
      <c r="AA160" s="228"/>
      <c r="AB160" s="228"/>
      <c r="AC160" s="228"/>
      <c r="AD160" s="228"/>
      <c r="AE160" s="228"/>
      <c r="AF160" s="228"/>
      <c r="AG160" s="228"/>
      <c r="AH160" s="228"/>
      <c r="AI160" s="228"/>
      <c r="AJ160" s="228"/>
      <c r="AK160" s="228"/>
      <c r="AL160" s="228"/>
      <c r="AM160" s="228"/>
      <c r="AN160" s="228"/>
      <c r="AO160" s="228"/>
      <c r="AP160" s="228"/>
      <c r="AQ160" s="228"/>
      <c r="AR160" s="228"/>
      <c r="AS160" s="228"/>
      <c r="AT160" s="228"/>
      <c r="AU160" s="228"/>
      <c r="AV160" s="228"/>
      <c r="AW160" s="228"/>
      <c r="AX160" s="228"/>
      <c r="AY160" s="228"/>
      <c r="AZ160" s="228"/>
      <c r="BA160" s="228"/>
      <c r="BB160" s="228"/>
      <c r="BC160" s="228"/>
      <c r="BD160" s="228"/>
      <c r="BE160" s="228"/>
      <c r="BF160" s="228"/>
      <c r="BG160" s="228"/>
      <c r="BH160" s="228"/>
      <c r="BI160" s="228"/>
      <c r="BJ160" s="228"/>
      <c r="BK160" s="228"/>
      <c r="BL160" s="228"/>
      <c r="BM160" s="228"/>
      <c r="BN160" s="228"/>
      <c r="BO160" s="228"/>
      <c r="BP160" s="228"/>
      <c r="BQ160" s="228"/>
      <c r="BR160" s="228"/>
      <c r="BS160" s="228"/>
      <c r="BT160" s="228"/>
      <c r="BU160" s="228"/>
      <c r="BV160" s="228"/>
      <c r="BW160" s="228"/>
      <c r="BX160" s="228"/>
      <c r="BY160" s="228"/>
      <c r="BZ160" s="228"/>
      <c r="CA160" s="228"/>
      <c r="CB160" s="228"/>
      <c r="CC160" s="228"/>
      <c r="CD160" s="228"/>
      <c r="CE160" s="228"/>
      <c r="CF160" s="228"/>
      <c r="CG160" s="228"/>
      <c r="CH160" s="228"/>
      <c r="CI160" s="228"/>
      <c r="CJ160" s="228"/>
      <c r="CK160" s="228"/>
      <c r="CL160" s="228"/>
      <c r="CM160" s="228"/>
      <c r="CN160" s="228"/>
      <c r="CO160" s="228"/>
      <c r="CP160" s="228"/>
      <c r="CQ160" s="228"/>
      <c r="CR160" s="228"/>
      <c r="CS160" s="228"/>
      <c r="CT160" s="228"/>
      <c r="CU160" s="228"/>
      <c r="CV160" s="228"/>
      <c r="CW160" s="228"/>
      <c r="CX160" s="228"/>
      <c r="CY160" s="228"/>
      <c r="CZ160" s="228"/>
      <c r="DA160" s="228"/>
      <c r="DB160" s="228"/>
    </row>
    <row r="161" ht="12.0" customHeight="1">
      <c r="A161" s="228"/>
      <c r="B161" s="228"/>
      <c r="C161" s="228"/>
      <c r="D161" s="228"/>
      <c r="E161" s="228"/>
      <c r="F161" s="228"/>
      <c r="G161" s="228"/>
      <c r="H161" s="228"/>
      <c r="I161" s="228"/>
      <c r="J161" s="228"/>
      <c r="K161" s="228"/>
      <c r="L161" s="228"/>
      <c r="M161" s="228"/>
      <c r="N161" s="228"/>
      <c r="O161" s="228"/>
      <c r="P161" s="228"/>
      <c r="Q161" s="228"/>
      <c r="R161" s="228"/>
      <c r="S161" s="228"/>
      <c r="T161" s="228"/>
      <c r="U161" s="228"/>
      <c r="V161" s="228"/>
      <c r="W161" s="228"/>
      <c r="X161" s="228"/>
      <c r="Y161" s="228"/>
      <c r="Z161" s="228"/>
      <c r="AA161" s="228"/>
      <c r="AB161" s="228"/>
      <c r="AC161" s="228"/>
      <c r="AD161" s="228"/>
      <c r="AE161" s="228"/>
      <c r="AF161" s="228"/>
      <c r="AG161" s="228"/>
      <c r="AH161" s="228"/>
      <c r="AI161" s="228"/>
      <c r="AJ161" s="228"/>
      <c r="AK161" s="228"/>
      <c r="AL161" s="228"/>
      <c r="AM161" s="228"/>
      <c r="AN161" s="228"/>
      <c r="AO161" s="228"/>
      <c r="AP161" s="228"/>
      <c r="AQ161" s="228"/>
      <c r="AR161" s="228"/>
      <c r="AS161" s="228"/>
      <c r="AT161" s="228"/>
      <c r="AU161" s="228"/>
      <c r="AV161" s="228"/>
      <c r="AW161" s="228"/>
      <c r="AX161" s="228"/>
      <c r="AY161" s="228"/>
      <c r="AZ161" s="228"/>
      <c r="BA161" s="228"/>
      <c r="BB161" s="228"/>
      <c r="BC161" s="228"/>
      <c r="BD161" s="228"/>
      <c r="BE161" s="228"/>
      <c r="BF161" s="228"/>
      <c r="BG161" s="228"/>
      <c r="BH161" s="228"/>
      <c r="BI161" s="228"/>
      <c r="BJ161" s="228"/>
      <c r="BK161" s="228"/>
      <c r="BL161" s="228"/>
      <c r="BM161" s="228"/>
      <c r="BN161" s="228"/>
      <c r="BO161" s="228"/>
      <c r="BP161" s="228"/>
      <c r="BQ161" s="228"/>
      <c r="BR161" s="228"/>
      <c r="BS161" s="228"/>
      <c r="BT161" s="228"/>
      <c r="BU161" s="228"/>
      <c r="BV161" s="228"/>
      <c r="BW161" s="228"/>
      <c r="BX161" s="228"/>
      <c r="BY161" s="228"/>
      <c r="BZ161" s="228"/>
      <c r="CA161" s="228"/>
      <c r="CB161" s="228"/>
      <c r="CC161" s="228"/>
      <c r="CD161" s="228"/>
      <c r="CE161" s="228"/>
      <c r="CF161" s="228"/>
      <c r="CG161" s="228"/>
      <c r="CH161" s="228"/>
      <c r="CI161" s="228"/>
      <c r="CJ161" s="228"/>
      <c r="CK161" s="228"/>
      <c r="CL161" s="228"/>
      <c r="CM161" s="228"/>
      <c r="CN161" s="228"/>
      <c r="CO161" s="228"/>
      <c r="CP161" s="228"/>
      <c r="CQ161" s="228"/>
      <c r="CR161" s="228"/>
      <c r="CS161" s="228"/>
      <c r="CT161" s="228"/>
      <c r="CU161" s="228"/>
      <c r="CV161" s="228"/>
      <c r="CW161" s="228"/>
      <c r="CX161" s="228"/>
      <c r="CY161" s="228"/>
      <c r="CZ161" s="228"/>
      <c r="DA161" s="228"/>
      <c r="DB161" s="228"/>
    </row>
    <row r="162" ht="12.0" customHeight="1">
      <c r="A162" s="228"/>
      <c r="B162" s="228"/>
      <c r="C162" s="228"/>
      <c r="D162" s="228"/>
      <c r="E162" s="228"/>
      <c r="F162" s="228"/>
      <c r="G162" s="228"/>
      <c r="H162" s="228"/>
      <c r="I162" s="228"/>
      <c r="J162" s="228"/>
      <c r="K162" s="228"/>
      <c r="L162" s="228"/>
      <c r="M162" s="228"/>
      <c r="N162" s="228"/>
      <c r="O162" s="228"/>
      <c r="P162" s="228"/>
      <c r="Q162" s="228"/>
      <c r="R162" s="228"/>
      <c r="S162" s="228"/>
      <c r="T162" s="228"/>
      <c r="U162" s="228"/>
      <c r="V162" s="228"/>
      <c r="W162" s="228"/>
      <c r="X162" s="228"/>
      <c r="Y162" s="228"/>
      <c r="Z162" s="228"/>
      <c r="AA162" s="228"/>
      <c r="AB162" s="228"/>
      <c r="AC162" s="228"/>
      <c r="AD162" s="228"/>
      <c r="AE162" s="228"/>
      <c r="AF162" s="228"/>
      <c r="AG162" s="228"/>
      <c r="AH162" s="228"/>
      <c r="AI162" s="228"/>
      <c r="AJ162" s="228"/>
      <c r="AK162" s="228"/>
      <c r="AL162" s="228"/>
      <c r="AM162" s="228"/>
      <c r="AN162" s="228"/>
      <c r="AO162" s="228"/>
      <c r="AP162" s="228"/>
      <c r="AQ162" s="228"/>
      <c r="AR162" s="228"/>
      <c r="AS162" s="228"/>
      <c r="AT162" s="228"/>
      <c r="AU162" s="228"/>
      <c r="AV162" s="228"/>
      <c r="AW162" s="228"/>
      <c r="AX162" s="228"/>
      <c r="AY162" s="228"/>
      <c r="AZ162" s="228"/>
      <c r="BA162" s="228"/>
      <c r="BB162" s="228"/>
      <c r="BC162" s="228"/>
      <c r="BD162" s="228"/>
      <c r="BE162" s="228"/>
      <c r="BF162" s="228"/>
      <c r="BG162" s="228"/>
      <c r="BH162" s="228"/>
      <c r="BI162" s="228"/>
      <c r="BJ162" s="228"/>
      <c r="BK162" s="228"/>
      <c r="BL162" s="228"/>
      <c r="BM162" s="228"/>
      <c r="BN162" s="228"/>
      <c r="BO162" s="228"/>
      <c r="BP162" s="228"/>
      <c r="BQ162" s="228"/>
      <c r="BR162" s="228"/>
      <c r="BS162" s="228"/>
      <c r="BT162" s="228"/>
      <c r="BU162" s="228"/>
      <c r="BV162" s="228"/>
      <c r="BW162" s="228"/>
      <c r="BX162" s="228"/>
      <c r="BY162" s="228"/>
      <c r="BZ162" s="228"/>
      <c r="CA162" s="228"/>
      <c r="CB162" s="228"/>
      <c r="CC162" s="228"/>
      <c r="CD162" s="228"/>
      <c r="CE162" s="228"/>
      <c r="CF162" s="228"/>
      <c r="CG162" s="228"/>
      <c r="CH162" s="228"/>
      <c r="CI162" s="228"/>
      <c r="CJ162" s="228"/>
      <c r="CK162" s="228"/>
      <c r="CL162" s="228"/>
      <c r="CM162" s="228"/>
      <c r="CN162" s="228"/>
      <c r="CO162" s="228"/>
      <c r="CP162" s="228"/>
      <c r="CQ162" s="228"/>
      <c r="CR162" s="228"/>
      <c r="CS162" s="228"/>
      <c r="CT162" s="228"/>
      <c r="CU162" s="228"/>
      <c r="CV162" s="228"/>
      <c r="CW162" s="228"/>
      <c r="CX162" s="228"/>
      <c r="CY162" s="228"/>
      <c r="CZ162" s="228"/>
      <c r="DA162" s="228"/>
      <c r="DB162" s="228"/>
    </row>
    <row r="163" ht="12.0" customHeight="1">
      <c r="A163" s="228"/>
      <c r="B163" s="228"/>
      <c r="C163" s="228"/>
      <c r="D163" s="228"/>
      <c r="E163" s="228"/>
      <c r="F163" s="228"/>
      <c r="G163" s="228"/>
      <c r="H163" s="228"/>
      <c r="I163" s="228"/>
      <c r="J163" s="228"/>
      <c r="K163" s="228"/>
      <c r="L163" s="228"/>
      <c r="M163" s="228"/>
      <c r="N163" s="228"/>
      <c r="O163" s="228"/>
      <c r="P163" s="228"/>
      <c r="Q163" s="228"/>
      <c r="R163" s="228"/>
      <c r="S163" s="228"/>
      <c r="T163" s="228"/>
      <c r="U163" s="228"/>
      <c r="V163" s="228"/>
      <c r="W163" s="228"/>
      <c r="X163" s="228"/>
      <c r="Y163" s="228"/>
      <c r="Z163" s="228"/>
      <c r="AA163" s="228"/>
      <c r="AB163" s="228"/>
      <c r="AC163" s="228"/>
      <c r="AD163" s="228"/>
      <c r="AE163" s="228"/>
      <c r="AF163" s="228"/>
      <c r="AG163" s="228"/>
      <c r="AH163" s="228"/>
      <c r="AI163" s="228"/>
      <c r="AJ163" s="228"/>
      <c r="AK163" s="228"/>
      <c r="AL163" s="228"/>
      <c r="AM163" s="228"/>
      <c r="AN163" s="228"/>
      <c r="AO163" s="228"/>
      <c r="AP163" s="228"/>
      <c r="AQ163" s="228"/>
      <c r="AR163" s="228"/>
      <c r="AS163" s="228"/>
      <c r="AT163" s="228"/>
      <c r="AU163" s="228"/>
      <c r="AV163" s="228"/>
      <c r="AW163" s="228"/>
      <c r="AX163" s="228"/>
      <c r="AY163" s="228"/>
      <c r="AZ163" s="228"/>
      <c r="BA163" s="228"/>
      <c r="BB163" s="228"/>
      <c r="BC163" s="228"/>
      <c r="BD163" s="228"/>
      <c r="BE163" s="228"/>
      <c r="BF163" s="228"/>
      <c r="BG163" s="228"/>
      <c r="BH163" s="228"/>
      <c r="BI163" s="228"/>
      <c r="BJ163" s="228"/>
      <c r="BK163" s="228"/>
      <c r="BL163" s="228"/>
      <c r="BM163" s="228"/>
      <c r="BN163" s="228"/>
      <c r="BO163" s="228"/>
      <c r="BP163" s="228"/>
      <c r="BQ163" s="228"/>
      <c r="BR163" s="228"/>
      <c r="BS163" s="228"/>
      <c r="BT163" s="228"/>
      <c r="BU163" s="228"/>
      <c r="BV163" s="228"/>
      <c r="BW163" s="228"/>
      <c r="BX163" s="228"/>
      <c r="BY163" s="228"/>
      <c r="BZ163" s="228"/>
      <c r="CA163" s="228"/>
      <c r="CB163" s="228"/>
      <c r="CC163" s="228"/>
      <c r="CD163" s="228"/>
      <c r="CE163" s="228"/>
      <c r="CF163" s="228"/>
      <c r="CG163" s="228"/>
      <c r="CH163" s="228"/>
      <c r="CI163" s="228"/>
      <c r="CJ163" s="228"/>
      <c r="CK163" s="228"/>
      <c r="CL163" s="228"/>
      <c r="CM163" s="228"/>
      <c r="CN163" s="228"/>
      <c r="CO163" s="228"/>
      <c r="CP163" s="228"/>
      <c r="CQ163" s="228"/>
      <c r="CR163" s="228"/>
      <c r="CS163" s="228"/>
      <c r="CT163" s="228"/>
      <c r="CU163" s="228"/>
      <c r="CV163" s="228"/>
      <c r="CW163" s="228"/>
      <c r="CX163" s="228"/>
      <c r="CY163" s="228"/>
      <c r="CZ163" s="228"/>
      <c r="DA163" s="228"/>
      <c r="DB163" s="228"/>
    </row>
    <row r="164" ht="12.0" customHeight="1">
      <c r="A164" s="228"/>
      <c r="B164" s="228"/>
      <c r="C164" s="228"/>
      <c r="D164" s="228"/>
      <c r="E164" s="228"/>
      <c r="F164" s="228"/>
      <c r="G164" s="228"/>
      <c r="H164" s="228"/>
      <c r="I164" s="228"/>
      <c r="J164" s="228"/>
      <c r="K164" s="228"/>
      <c r="L164" s="228"/>
      <c r="M164" s="228"/>
      <c r="N164" s="228"/>
      <c r="O164" s="228"/>
      <c r="P164" s="228"/>
      <c r="Q164" s="228"/>
      <c r="R164" s="228"/>
      <c r="S164" s="228"/>
      <c r="T164" s="228"/>
      <c r="U164" s="228"/>
      <c r="V164" s="228"/>
      <c r="W164" s="228"/>
      <c r="X164" s="228"/>
      <c r="Y164" s="228"/>
      <c r="Z164" s="228"/>
      <c r="AA164" s="228"/>
      <c r="AB164" s="228"/>
      <c r="AC164" s="228"/>
      <c r="AD164" s="228"/>
      <c r="AE164" s="228"/>
      <c r="AF164" s="228"/>
      <c r="AG164" s="228"/>
      <c r="AH164" s="228"/>
      <c r="AI164" s="228"/>
      <c r="AJ164" s="228"/>
      <c r="AK164" s="228"/>
      <c r="AL164" s="228"/>
      <c r="AM164" s="228"/>
      <c r="AN164" s="228"/>
      <c r="AO164" s="228"/>
      <c r="AP164" s="228"/>
      <c r="AQ164" s="228"/>
      <c r="AR164" s="228"/>
      <c r="AS164" s="228"/>
      <c r="AT164" s="228"/>
      <c r="AU164" s="228"/>
      <c r="AV164" s="228"/>
      <c r="AW164" s="228"/>
      <c r="AX164" s="228"/>
      <c r="AY164" s="228"/>
      <c r="AZ164" s="228"/>
      <c r="BA164" s="228"/>
      <c r="BB164" s="228"/>
      <c r="BC164" s="228"/>
      <c r="BD164" s="228"/>
      <c r="BE164" s="228"/>
      <c r="BF164" s="228"/>
      <c r="BG164" s="228"/>
      <c r="BH164" s="228"/>
      <c r="BI164" s="228"/>
      <c r="BJ164" s="228"/>
      <c r="BK164" s="228"/>
      <c r="BL164" s="228"/>
      <c r="BM164" s="228"/>
      <c r="BN164" s="228"/>
      <c r="BO164" s="228"/>
      <c r="BP164" s="228"/>
      <c r="BQ164" s="228"/>
      <c r="BR164" s="228"/>
      <c r="BS164" s="228"/>
      <c r="BT164" s="228"/>
      <c r="BU164" s="228"/>
      <c r="BV164" s="228"/>
      <c r="BW164" s="228"/>
      <c r="BX164" s="228"/>
      <c r="BY164" s="228"/>
      <c r="BZ164" s="228"/>
      <c r="CA164" s="228"/>
      <c r="CB164" s="228"/>
      <c r="CC164" s="228"/>
      <c r="CD164" s="228"/>
      <c r="CE164" s="228"/>
      <c r="CF164" s="228"/>
      <c r="CG164" s="228"/>
      <c r="CH164" s="228"/>
      <c r="CI164" s="228"/>
      <c r="CJ164" s="228"/>
      <c r="CK164" s="228"/>
      <c r="CL164" s="228"/>
      <c r="CM164" s="228"/>
      <c r="CN164" s="228"/>
      <c r="CO164" s="228"/>
      <c r="CP164" s="228"/>
      <c r="CQ164" s="228"/>
      <c r="CR164" s="228"/>
      <c r="CS164" s="228"/>
      <c r="CT164" s="228"/>
      <c r="CU164" s="228"/>
      <c r="CV164" s="228"/>
      <c r="CW164" s="228"/>
      <c r="CX164" s="228"/>
      <c r="CY164" s="228"/>
      <c r="CZ164" s="228"/>
      <c r="DA164" s="228"/>
      <c r="DB164" s="228"/>
    </row>
    <row r="165" ht="12.0" customHeight="1">
      <c r="A165" s="228"/>
      <c r="B165" s="228"/>
      <c r="C165" s="228"/>
      <c r="D165" s="228"/>
      <c r="E165" s="228"/>
      <c r="F165" s="228"/>
      <c r="G165" s="228"/>
      <c r="H165" s="228"/>
      <c r="I165" s="228"/>
      <c r="J165" s="228"/>
      <c r="K165" s="228"/>
      <c r="L165" s="228"/>
      <c r="M165" s="228"/>
      <c r="N165" s="228"/>
      <c r="O165" s="228"/>
      <c r="P165" s="228"/>
      <c r="Q165" s="228"/>
      <c r="R165" s="228"/>
      <c r="S165" s="228"/>
      <c r="T165" s="228"/>
      <c r="U165" s="228"/>
      <c r="V165" s="228"/>
      <c r="W165" s="228"/>
      <c r="X165" s="228"/>
      <c r="Y165" s="228"/>
      <c r="Z165" s="228"/>
      <c r="AA165" s="228"/>
      <c r="AB165" s="228"/>
      <c r="AC165" s="228"/>
      <c r="AD165" s="228"/>
      <c r="AE165" s="228"/>
      <c r="AF165" s="228"/>
      <c r="AG165" s="228"/>
      <c r="AH165" s="228"/>
      <c r="AI165" s="228"/>
      <c r="AJ165" s="228"/>
      <c r="AK165" s="228"/>
      <c r="AL165" s="228"/>
      <c r="AM165" s="228"/>
      <c r="AN165" s="228"/>
      <c r="AO165" s="228"/>
      <c r="AP165" s="228"/>
      <c r="AQ165" s="228"/>
      <c r="AR165" s="228"/>
      <c r="AS165" s="228"/>
      <c r="AT165" s="228"/>
      <c r="AU165" s="228"/>
      <c r="AV165" s="228"/>
      <c r="AW165" s="228"/>
      <c r="AX165" s="228"/>
      <c r="AY165" s="228"/>
      <c r="AZ165" s="228"/>
      <c r="BA165" s="228"/>
      <c r="BB165" s="228"/>
      <c r="BC165" s="228"/>
      <c r="BD165" s="228"/>
      <c r="BE165" s="228"/>
      <c r="BF165" s="228"/>
      <c r="BG165" s="228"/>
      <c r="BH165" s="228"/>
      <c r="BI165" s="228"/>
      <c r="BJ165" s="228"/>
      <c r="BK165" s="228"/>
      <c r="BL165" s="228"/>
      <c r="BM165" s="228"/>
      <c r="BN165" s="228"/>
      <c r="BO165" s="228"/>
      <c r="BP165" s="228"/>
      <c r="BQ165" s="228"/>
      <c r="BR165" s="228"/>
      <c r="BS165" s="228"/>
      <c r="BT165" s="228"/>
      <c r="BU165" s="228"/>
      <c r="BV165" s="228"/>
      <c r="BW165" s="228"/>
      <c r="BX165" s="228"/>
      <c r="BY165" s="228"/>
      <c r="BZ165" s="228"/>
      <c r="CA165" s="228"/>
      <c r="CB165" s="228"/>
      <c r="CC165" s="228"/>
      <c r="CD165" s="228"/>
      <c r="CE165" s="228"/>
      <c r="CF165" s="228"/>
      <c r="CG165" s="228"/>
      <c r="CH165" s="228"/>
      <c r="CI165" s="228"/>
      <c r="CJ165" s="228"/>
      <c r="CK165" s="228"/>
      <c r="CL165" s="228"/>
      <c r="CM165" s="228"/>
      <c r="CN165" s="228"/>
      <c r="CO165" s="228"/>
      <c r="CP165" s="228"/>
      <c r="CQ165" s="228"/>
      <c r="CR165" s="228"/>
      <c r="CS165" s="228"/>
      <c r="CT165" s="228"/>
      <c r="CU165" s="228"/>
      <c r="CV165" s="228"/>
      <c r="CW165" s="228"/>
      <c r="CX165" s="228"/>
      <c r="CY165" s="228"/>
      <c r="CZ165" s="228"/>
      <c r="DA165" s="228"/>
      <c r="DB165" s="228"/>
    </row>
    <row r="166" ht="12.0" customHeight="1">
      <c r="A166" s="228"/>
      <c r="B166" s="228"/>
      <c r="C166" s="228"/>
      <c r="D166" s="228"/>
      <c r="E166" s="228"/>
      <c r="F166" s="228"/>
      <c r="G166" s="228"/>
      <c r="H166" s="228"/>
      <c r="I166" s="228"/>
      <c r="J166" s="228"/>
      <c r="K166" s="228"/>
      <c r="L166" s="228"/>
      <c r="M166" s="228"/>
      <c r="N166" s="228"/>
      <c r="O166" s="228"/>
      <c r="P166" s="228"/>
      <c r="Q166" s="228"/>
      <c r="R166" s="228"/>
      <c r="S166" s="228"/>
      <c r="T166" s="228"/>
      <c r="U166" s="228"/>
      <c r="V166" s="228"/>
      <c r="W166" s="228"/>
      <c r="X166" s="228"/>
      <c r="Y166" s="228"/>
      <c r="Z166" s="228"/>
      <c r="AA166" s="228"/>
      <c r="AB166" s="228"/>
      <c r="AC166" s="228"/>
      <c r="AD166" s="228"/>
      <c r="AE166" s="228"/>
      <c r="AF166" s="228"/>
      <c r="AG166" s="228"/>
      <c r="AH166" s="228"/>
      <c r="AI166" s="228"/>
      <c r="AJ166" s="228"/>
      <c r="AK166" s="228"/>
      <c r="AL166" s="228"/>
      <c r="AM166" s="228"/>
      <c r="AN166" s="228"/>
      <c r="AO166" s="228"/>
      <c r="AP166" s="228"/>
      <c r="AQ166" s="228"/>
      <c r="AR166" s="228"/>
      <c r="AS166" s="228"/>
      <c r="AT166" s="228"/>
      <c r="AU166" s="228"/>
      <c r="AV166" s="228"/>
      <c r="AW166" s="228"/>
      <c r="AX166" s="228"/>
      <c r="AY166" s="228"/>
      <c r="AZ166" s="228"/>
      <c r="BA166" s="228"/>
      <c r="BB166" s="228"/>
      <c r="BC166" s="228"/>
      <c r="BD166" s="228"/>
      <c r="BE166" s="228"/>
      <c r="BF166" s="228"/>
      <c r="BG166" s="228"/>
      <c r="BH166" s="228"/>
      <c r="BI166" s="228"/>
      <c r="BJ166" s="228"/>
      <c r="BK166" s="228"/>
      <c r="BL166" s="228"/>
      <c r="BM166" s="228"/>
      <c r="BN166" s="228"/>
      <c r="BO166" s="228"/>
      <c r="BP166" s="228"/>
      <c r="BQ166" s="228"/>
      <c r="BR166" s="228"/>
      <c r="BS166" s="228"/>
      <c r="BT166" s="228"/>
      <c r="BU166" s="228"/>
      <c r="BV166" s="228"/>
      <c r="BW166" s="228"/>
      <c r="BX166" s="228"/>
      <c r="BY166" s="228"/>
      <c r="BZ166" s="228"/>
      <c r="CA166" s="228"/>
      <c r="CB166" s="228"/>
      <c r="CC166" s="228"/>
      <c r="CD166" s="228"/>
      <c r="CE166" s="228"/>
      <c r="CF166" s="228"/>
      <c r="CG166" s="228"/>
      <c r="CH166" s="228"/>
      <c r="CI166" s="228"/>
      <c r="CJ166" s="228"/>
      <c r="CK166" s="228"/>
      <c r="CL166" s="228"/>
      <c r="CM166" s="228"/>
      <c r="CN166" s="228"/>
      <c r="CO166" s="228"/>
      <c r="CP166" s="228"/>
      <c r="CQ166" s="228"/>
      <c r="CR166" s="228"/>
      <c r="CS166" s="228"/>
      <c r="CT166" s="228"/>
      <c r="CU166" s="228"/>
      <c r="CV166" s="228"/>
      <c r="CW166" s="228"/>
      <c r="CX166" s="228"/>
      <c r="CY166" s="228"/>
      <c r="CZ166" s="228"/>
      <c r="DA166" s="228"/>
      <c r="DB166" s="228"/>
    </row>
    <row r="167" ht="12.0" customHeight="1">
      <c r="A167" s="228"/>
      <c r="B167" s="228"/>
      <c r="C167" s="228"/>
      <c r="D167" s="228"/>
      <c r="E167" s="228"/>
      <c r="F167" s="228"/>
      <c r="G167" s="228"/>
      <c r="H167" s="228"/>
      <c r="I167" s="228"/>
      <c r="J167" s="228"/>
      <c r="K167" s="228"/>
      <c r="L167" s="228"/>
      <c r="M167" s="228"/>
      <c r="N167" s="228"/>
      <c r="O167" s="228"/>
      <c r="P167" s="228"/>
      <c r="Q167" s="228"/>
      <c r="R167" s="228"/>
      <c r="S167" s="228"/>
      <c r="T167" s="228"/>
      <c r="U167" s="228"/>
      <c r="V167" s="228"/>
      <c r="W167" s="228"/>
      <c r="X167" s="228"/>
      <c r="Y167" s="228"/>
      <c r="Z167" s="228"/>
      <c r="AA167" s="228"/>
      <c r="AB167" s="228"/>
      <c r="AC167" s="228"/>
      <c r="AD167" s="228"/>
      <c r="AE167" s="228"/>
      <c r="AF167" s="228"/>
      <c r="AG167" s="228"/>
      <c r="AH167" s="228"/>
      <c r="AI167" s="228"/>
      <c r="AJ167" s="228"/>
      <c r="AK167" s="228"/>
      <c r="AL167" s="228"/>
      <c r="AM167" s="228"/>
      <c r="AN167" s="228"/>
      <c r="AO167" s="228"/>
      <c r="AP167" s="228"/>
      <c r="AQ167" s="228"/>
      <c r="AR167" s="228"/>
      <c r="AS167" s="228"/>
      <c r="AT167" s="228"/>
      <c r="AU167" s="228"/>
      <c r="AV167" s="228"/>
      <c r="AW167" s="228"/>
      <c r="AX167" s="228"/>
      <c r="AY167" s="228"/>
      <c r="AZ167" s="228"/>
      <c r="BA167" s="228"/>
      <c r="BB167" s="228"/>
      <c r="BC167" s="228"/>
      <c r="BD167" s="228"/>
      <c r="BE167" s="228"/>
      <c r="BF167" s="228"/>
      <c r="BG167" s="228"/>
      <c r="BH167" s="228"/>
      <c r="BI167" s="228"/>
      <c r="BJ167" s="228"/>
      <c r="BK167" s="228"/>
      <c r="BL167" s="228"/>
      <c r="BM167" s="228"/>
      <c r="BN167" s="228"/>
      <c r="BO167" s="228"/>
      <c r="BP167" s="228"/>
      <c r="BQ167" s="228"/>
      <c r="BR167" s="228"/>
      <c r="BS167" s="228"/>
      <c r="BT167" s="228"/>
      <c r="BU167" s="228"/>
      <c r="BV167" s="228"/>
      <c r="BW167" s="228"/>
      <c r="BX167" s="228"/>
      <c r="BY167" s="228"/>
      <c r="BZ167" s="228"/>
      <c r="CA167" s="228"/>
      <c r="CB167" s="228"/>
      <c r="CC167" s="228"/>
      <c r="CD167" s="228"/>
      <c r="CE167" s="228"/>
      <c r="CF167" s="228"/>
      <c r="CG167" s="228"/>
      <c r="CH167" s="228"/>
      <c r="CI167" s="228"/>
      <c r="CJ167" s="228"/>
      <c r="CK167" s="228"/>
      <c r="CL167" s="228"/>
      <c r="CM167" s="228"/>
      <c r="CN167" s="228"/>
      <c r="CO167" s="228"/>
      <c r="CP167" s="228"/>
      <c r="CQ167" s="228"/>
      <c r="CR167" s="228"/>
      <c r="CS167" s="228"/>
      <c r="CT167" s="228"/>
      <c r="CU167" s="228"/>
      <c r="CV167" s="228"/>
      <c r="CW167" s="228"/>
      <c r="CX167" s="228"/>
      <c r="CY167" s="228"/>
      <c r="CZ167" s="228"/>
      <c r="DA167" s="228"/>
      <c r="DB167" s="228"/>
    </row>
    <row r="168" ht="12.0" customHeight="1">
      <c r="A168" s="228"/>
      <c r="B168" s="228"/>
      <c r="C168" s="228"/>
      <c r="D168" s="228"/>
      <c r="E168" s="228"/>
      <c r="F168" s="228"/>
      <c r="G168" s="228"/>
      <c r="H168" s="228"/>
      <c r="I168" s="228"/>
      <c r="J168" s="228"/>
      <c r="K168" s="228"/>
      <c r="L168" s="228"/>
      <c r="M168" s="228"/>
      <c r="N168" s="228"/>
      <c r="O168" s="228"/>
      <c r="P168" s="228"/>
      <c r="Q168" s="228"/>
      <c r="R168" s="228"/>
      <c r="S168" s="228"/>
      <c r="T168" s="228"/>
      <c r="U168" s="228"/>
      <c r="V168" s="228"/>
      <c r="W168" s="228"/>
      <c r="X168" s="228"/>
      <c r="Y168" s="228"/>
      <c r="Z168" s="228"/>
      <c r="AA168" s="228"/>
      <c r="AB168" s="228"/>
      <c r="AC168" s="228"/>
      <c r="AD168" s="228"/>
      <c r="AE168" s="228"/>
      <c r="AF168" s="228"/>
      <c r="AG168" s="228"/>
      <c r="AH168" s="228"/>
      <c r="AI168" s="228"/>
      <c r="AJ168" s="228"/>
      <c r="AK168" s="228"/>
      <c r="AL168" s="228"/>
      <c r="AM168" s="228"/>
      <c r="AN168" s="228"/>
      <c r="AO168" s="228"/>
      <c r="AP168" s="228"/>
      <c r="AQ168" s="228"/>
      <c r="AR168" s="228"/>
      <c r="AS168" s="228"/>
      <c r="AT168" s="228"/>
      <c r="AU168" s="228"/>
      <c r="AV168" s="228"/>
      <c r="AW168" s="228"/>
      <c r="AX168" s="228"/>
      <c r="AY168" s="228"/>
      <c r="AZ168" s="228"/>
      <c r="BA168" s="228"/>
      <c r="BB168" s="228"/>
      <c r="BC168" s="228"/>
      <c r="BD168" s="228"/>
      <c r="BE168" s="228"/>
      <c r="BF168" s="228"/>
      <c r="BG168" s="228"/>
      <c r="BH168" s="228"/>
      <c r="BI168" s="228"/>
      <c r="BJ168" s="228"/>
      <c r="BK168" s="228"/>
      <c r="BL168" s="228"/>
      <c r="BM168" s="228"/>
      <c r="BN168" s="228"/>
      <c r="BO168" s="228"/>
      <c r="BP168" s="228"/>
      <c r="BQ168" s="228"/>
      <c r="BR168" s="228"/>
      <c r="BS168" s="228"/>
      <c r="BT168" s="228"/>
      <c r="BU168" s="228"/>
      <c r="BV168" s="228"/>
      <c r="BW168" s="228"/>
      <c r="BX168" s="228"/>
      <c r="BY168" s="228"/>
      <c r="BZ168" s="228"/>
      <c r="CA168" s="228"/>
      <c r="CB168" s="228"/>
      <c r="CC168" s="228"/>
      <c r="CD168" s="228"/>
      <c r="CE168" s="228"/>
      <c r="CF168" s="228"/>
      <c r="CG168" s="228"/>
      <c r="CH168" s="228"/>
      <c r="CI168" s="228"/>
      <c r="CJ168" s="228"/>
      <c r="CK168" s="228"/>
      <c r="CL168" s="228"/>
      <c r="CM168" s="228"/>
      <c r="CN168" s="228"/>
      <c r="CO168" s="228"/>
      <c r="CP168" s="228"/>
      <c r="CQ168" s="228"/>
      <c r="CR168" s="228"/>
      <c r="CS168" s="228"/>
      <c r="CT168" s="228"/>
      <c r="CU168" s="228"/>
      <c r="CV168" s="228"/>
      <c r="CW168" s="228"/>
      <c r="CX168" s="228"/>
      <c r="CY168" s="228"/>
      <c r="CZ168" s="228"/>
      <c r="DA168" s="228"/>
      <c r="DB168" s="228"/>
    </row>
    <row r="169" ht="12.0" customHeight="1">
      <c r="A169" s="228"/>
      <c r="B169" s="228"/>
      <c r="C169" s="228"/>
      <c r="D169" s="228"/>
      <c r="E169" s="228"/>
      <c r="F169" s="228"/>
      <c r="G169" s="228"/>
      <c r="H169" s="228"/>
      <c r="I169" s="228"/>
      <c r="J169" s="228"/>
      <c r="K169" s="228"/>
      <c r="L169" s="228"/>
      <c r="M169" s="228"/>
      <c r="N169" s="228"/>
      <c r="O169" s="228"/>
      <c r="P169" s="228"/>
      <c r="Q169" s="228"/>
      <c r="R169" s="228"/>
      <c r="S169" s="228"/>
      <c r="T169" s="228"/>
      <c r="U169" s="228"/>
      <c r="V169" s="228"/>
      <c r="W169" s="228"/>
      <c r="X169" s="228"/>
      <c r="Y169" s="228"/>
      <c r="Z169" s="228"/>
      <c r="AA169" s="228"/>
      <c r="AB169" s="228"/>
      <c r="AC169" s="228"/>
      <c r="AD169" s="228"/>
      <c r="AE169" s="228"/>
      <c r="AF169" s="228"/>
      <c r="AG169" s="228"/>
      <c r="AH169" s="228"/>
      <c r="AI169" s="228"/>
      <c r="AJ169" s="228"/>
      <c r="AK169" s="228"/>
      <c r="AL169" s="228"/>
      <c r="AM169" s="228"/>
      <c r="AN169" s="228"/>
      <c r="AO169" s="228"/>
      <c r="AP169" s="228"/>
      <c r="AQ169" s="228"/>
      <c r="AR169" s="228"/>
      <c r="AS169" s="228"/>
      <c r="AT169" s="228"/>
      <c r="AU169" s="228"/>
      <c r="AV169" s="228"/>
      <c r="AW169" s="228"/>
      <c r="AX169" s="228"/>
      <c r="AY169" s="228"/>
      <c r="AZ169" s="228"/>
      <c r="BA169" s="228"/>
      <c r="BB169" s="228"/>
      <c r="BC169" s="228"/>
      <c r="BD169" s="228"/>
      <c r="BE169" s="228"/>
      <c r="BF169" s="228"/>
      <c r="BG169" s="228"/>
      <c r="BH169" s="228"/>
      <c r="BI169" s="228"/>
      <c r="BJ169" s="228"/>
      <c r="BK169" s="228"/>
      <c r="BL169" s="228"/>
      <c r="BM169" s="228"/>
      <c r="BN169" s="228"/>
      <c r="BO169" s="228"/>
      <c r="BP169" s="228"/>
      <c r="BQ169" s="228"/>
      <c r="BR169" s="228"/>
      <c r="BS169" s="228"/>
      <c r="BT169" s="228"/>
      <c r="BU169" s="228"/>
      <c r="BV169" s="228"/>
      <c r="BW169" s="228"/>
      <c r="BX169" s="228"/>
      <c r="BY169" s="228"/>
      <c r="BZ169" s="228"/>
      <c r="CA169" s="228"/>
      <c r="CB169" s="228"/>
      <c r="CC169" s="228"/>
      <c r="CD169" s="228"/>
      <c r="CE169" s="228"/>
      <c r="CF169" s="228"/>
      <c r="CG169" s="228"/>
      <c r="CH169" s="228"/>
      <c r="CI169" s="228"/>
      <c r="CJ169" s="228"/>
      <c r="CK169" s="228"/>
      <c r="CL169" s="228"/>
      <c r="CM169" s="228"/>
      <c r="CN169" s="228"/>
      <c r="CO169" s="228"/>
      <c r="CP169" s="228"/>
      <c r="CQ169" s="228"/>
      <c r="CR169" s="228"/>
      <c r="CS169" s="228"/>
      <c r="CT169" s="228"/>
      <c r="CU169" s="228"/>
      <c r="CV169" s="228"/>
      <c r="CW169" s="228"/>
      <c r="CX169" s="228"/>
      <c r="CY169" s="228"/>
      <c r="CZ169" s="228"/>
      <c r="DA169" s="228"/>
      <c r="DB169" s="228"/>
    </row>
    <row r="170" ht="12.0" customHeight="1">
      <c r="A170" s="228"/>
      <c r="B170" s="228"/>
      <c r="C170" s="228"/>
      <c r="D170" s="228"/>
      <c r="E170" s="228"/>
      <c r="F170" s="228"/>
      <c r="G170" s="228"/>
      <c r="H170" s="228"/>
      <c r="I170" s="228"/>
      <c r="J170" s="228"/>
      <c r="K170" s="228"/>
      <c r="L170" s="228"/>
      <c r="M170" s="228"/>
      <c r="N170" s="228"/>
      <c r="O170" s="228"/>
      <c r="P170" s="228"/>
      <c r="Q170" s="228"/>
      <c r="R170" s="228"/>
      <c r="S170" s="228"/>
      <c r="T170" s="228"/>
      <c r="U170" s="228"/>
      <c r="V170" s="228"/>
      <c r="W170" s="228"/>
      <c r="X170" s="228"/>
      <c r="Y170" s="228"/>
      <c r="Z170" s="228"/>
      <c r="AA170" s="228"/>
      <c r="AB170" s="228"/>
      <c r="AC170" s="228"/>
      <c r="AD170" s="228"/>
      <c r="AE170" s="228"/>
      <c r="AF170" s="228"/>
      <c r="AG170" s="228"/>
      <c r="AH170" s="228"/>
      <c r="AI170" s="228"/>
      <c r="AJ170" s="228"/>
      <c r="AK170" s="228"/>
      <c r="AL170" s="228"/>
      <c r="AM170" s="228"/>
      <c r="AN170" s="228"/>
      <c r="AO170" s="228"/>
      <c r="AP170" s="228"/>
      <c r="AQ170" s="228"/>
      <c r="AR170" s="228"/>
      <c r="AS170" s="228"/>
      <c r="AT170" s="228"/>
      <c r="AU170" s="228"/>
      <c r="AV170" s="228"/>
      <c r="AW170" s="228"/>
      <c r="AX170" s="228"/>
      <c r="AY170" s="228"/>
      <c r="AZ170" s="228"/>
      <c r="BA170" s="228"/>
      <c r="BB170" s="228"/>
      <c r="BC170" s="228"/>
      <c r="BD170" s="228"/>
      <c r="BE170" s="228"/>
      <c r="BF170" s="228"/>
      <c r="BG170" s="228"/>
      <c r="BH170" s="228"/>
      <c r="BI170" s="228"/>
      <c r="BJ170" s="228"/>
      <c r="BK170" s="228"/>
      <c r="BL170" s="228"/>
      <c r="BM170" s="228"/>
      <c r="BN170" s="228"/>
      <c r="BO170" s="228"/>
      <c r="BP170" s="228"/>
      <c r="BQ170" s="228"/>
      <c r="BR170" s="228"/>
      <c r="BS170" s="228"/>
      <c r="BT170" s="228"/>
      <c r="BU170" s="228"/>
      <c r="BV170" s="228"/>
      <c r="BW170" s="228"/>
      <c r="BX170" s="228"/>
      <c r="BY170" s="228"/>
      <c r="BZ170" s="228"/>
      <c r="CA170" s="228"/>
      <c r="CB170" s="228"/>
      <c r="CC170" s="228"/>
      <c r="CD170" s="228"/>
      <c r="CE170" s="228"/>
      <c r="CF170" s="228"/>
      <c r="CG170" s="228"/>
      <c r="CH170" s="228"/>
      <c r="CI170" s="228"/>
      <c r="CJ170" s="228"/>
      <c r="CK170" s="228"/>
      <c r="CL170" s="228"/>
      <c r="CM170" s="228"/>
      <c r="CN170" s="228"/>
      <c r="CO170" s="228"/>
      <c r="CP170" s="228"/>
      <c r="CQ170" s="228"/>
      <c r="CR170" s="228"/>
      <c r="CS170" s="228"/>
      <c r="CT170" s="228"/>
      <c r="CU170" s="228"/>
      <c r="CV170" s="228"/>
      <c r="CW170" s="228"/>
      <c r="CX170" s="228"/>
      <c r="CY170" s="228"/>
      <c r="CZ170" s="228"/>
      <c r="DA170" s="228"/>
      <c r="DB170" s="228"/>
    </row>
    <row r="171" ht="12.0" customHeight="1">
      <c r="A171" s="228"/>
      <c r="B171" s="228"/>
      <c r="C171" s="228"/>
      <c r="D171" s="228"/>
      <c r="E171" s="228"/>
      <c r="F171" s="228"/>
      <c r="G171" s="228"/>
      <c r="H171" s="228"/>
      <c r="I171" s="228"/>
      <c r="J171" s="228"/>
      <c r="K171" s="228"/>
      <c r="L171" s="228"/>
      <c r="M171" s="228"/>
      <c r="N171" s="228"/>
      <c r="O171" s="228"/>
      <c r="P171" s="228"/>
      <c r="Q171" s="228"/>
      <c r="R171" s="228"/>
      <c r="S171" s="228"/>
      <c r="T171" s="228"/>
      <c r="U171" s="228"/>
      <c r="V171" s="228"/>
      <c r="W171" s="228"/>
      <c r="X171" s="228"/>
      <c r="Y171" s="228"/>
      <c r="Z171" s="228"/>
      <c r="AA171" s="228"/>
      <c r="AB171" s="228"/>
      <c r="AC171" s="228"/>
      <c r="AD171" s="228"/>
      <c r="AE171" s="228"/>
      <c r="AF171" s="228"/>
      <c r="AG171" s="228"/>
      <c r="AH171" s="228"/>
      <c r="AI171" s="228"/>
      <c r="AJ171" s="228"/>
      <c r="AK171" s="228"/>
      <c r="AL171" s="228"/>
      <c r="AM171" s="228"/>
      <c r="AN171" s="228"/>
      <c r="AO171" s="228"/>
      <c r="AP171" s="228"/>
      <c r="AQ171" s="228"/>
      <c r="AR171" s="228"/>
      <c r="AS171" s="228"/>
      <c r="AT171" s="228"/>
      <c r="AU171" s="228"/>
      <c r="AV171" s="228"/>
      <c r="AW171" s="228"/>
      <c r="AX171" s="228"/>
      <c r="AY171" s="228"/>
      <c r="AZ171" s="228"/>
      <c r="BA171" s="228"/>
      <c r="BB171" s="228"/>
      <c r="BC171" s="228"/>
      <c r="BD171" s="228"/>
      <c r="BE171" s="228"/>
      <c r="BF171" s="228"/>
      <c r="BG171" s="228"/>
      <c r="BH171" s="228"/>
      <c r="BI171" s="228"/>
      <c r="BJ171" s="228"/>
      <c r="BK171" s="228"/>
      <c r="BL171" s="228"/>
      <c r="BM171" s="228"/>
      <c r="BN171" s="228"/>
      <c r="BO171" s="228"/>
      <c r="BP171" s="228"/>
      <c r="BQ171" s="228"/>
      <c r="BR171" s="228"/>
      <c r="BS171" s="228"/>
      <c r="BT171" s="228"/>
      <c r="BU171" s="228"/>
      <c r="BV171" s="228"/>
      <c r="BW171" s="228"/>
      <c r="BX171" s="228"/>
      <c r="BY171" s="228"/>
      <c r="BZ171" s="228"/>
      <c r="CA171" s="228"/>
      <c r="CB171" s="228"/>
      <c r="CC171" s="228"/>
      <c r="CD171" s="228"/>
      <c r="CE171" s="228"/>
      <c r="CF171" s="228"/>
      <c r="CG171" s="228"/>
      <c r="CH171" s="228"/>
      <c r="CI171" s="228"/>
      <c r="CJ171" s="228"/>
      <c r="CK171" s="228"/>
      <c r="CL171" s="228"/>
      <c r="CM171" s="228"/>
      <c r="CN171" s="228"/>
      <c r="CO171" s="228"/>
      <c r="CP171" s="228"/>
      <c r="CQ171" s="228"/>
      <c r="CR171" s="228"/>
      <c r="CS171" s="228"/>
      <c r="CT171" s="228"/>
      <c r="CU171" s="228"/>
      <c r="CV171" s="228"/>
      <c r="CW171" s="228"/>
      <c r="CX171" s="228"/>
      <c r="CY171" s="228"/>
      <c r="CZ171" s="228"/>
      <c r="DA171" s="228"/>
      <c r="DB171" s="228"/>
    </row>
    <row r="172" ht="12.0" customHeight="1">
      <c r="A172" s="228"/>
      <c r="B172" s="228"/>
      <c r="C172" s="228"/>
      <c r="D172" s="228"/>
      <c r="E172" s="228"/>
      <c r="F172" s="228"/>
      <c r="G172" s="228"/>
      <c r="H172" s="228"/>
      <c r="I172" s="228"/>
      <c r="J172" s="228"/>
      <c r="K172" s="228"/>
      <c r="L172" s="228"/>
      <c r="M172" s="228"/>
      <c r="N172" s="228"/>
      <c r="O172" s="228"/>
      <c r="P172" s="228"/>
      <c r="Q172" s="228"/>
      <c r="R172" s="228"/>
      <c r="S172" s="228"/>
      <c r="T172" s="228"/>
      <c r="U172" s="228"/>
      <c r="V172" s="228"/>
      <c r="W172" s="228"/>
      <c r="X172" s="228"/>
      <c r="Y172" s="228"/>
      <c r="Z172" s="228"/>
      <c r="AA172" s="228"/>
      <c r="AB172" s="228"/>
      <c r="AC172" s="228"/>
      <c r="AD172" s="228"/>
      <c r="AE172" s="228"/>
      <c r="AF172" s="228"/>
      <c r="AG172" s="228"/>
      <c r="AH172" s="228"/>
      <c r="AI172" s="228"/>
      <c r="AJ172" s="228"/>
      <c r="AK172" s="228"/>
      <c r="AL172" s="228"/>
      <c r="AM172" s="228"/>
      <c r="AN172" s="228"/>
      <c r="AO172" s="228"/>
      <c r="AP172" s="228"/>
      <c r="AQ172" s="228"/>
      <c r="AR172" s="228"/>
      <c r="AS172" s="228"/>
      <c r="AT172" s="228"/>
      <c r="AU172" s="228"/>
      <c r="AV172" s="228"/>
      <c r="AW172" s="228"/>
      <c r="AX172" s="228"/>
      <c r="AY172" s="228"/>
      <c r="AZ172" s="228"/>
      <c r="BA172" s="228"/>
      <c r="BB172" s="228"/>
      <c r="BC172" s="228"/>
      <c r="BD172" s="228"/>
      <c r="BE172" s="228"/>
      <c r="BF172" s="228"/>
      <c r="BG172" s="228"/>
      <c r="BH172" s="228"/>
      <c r="BI172" s="228"/>
      <c r="BJ172" s="228"/>
      <c r="BK172" s="228"/>
      <c r="BL172" s="228"/>
      <c r="BM172" s="228"/>
      <c r="BN172" s="228"/>
      <c r="BO172" s="228"/>
      <c r="BP172" s="228"/>
      <c r="BQ172" s="228"/>
      <c r="BR172" s="228"/>
      <c r="BS172" s="228"/>
      <c r="BT172" s="228"/>
      <c r="BU172" s="228"/>
      <c r="BV172" s="228"/>
      <c r="BW172" s="228"/>
      <c r="BX172" s="228"/>
      <c r="BY172" s="228"/>
      <c r="BZ172" s="228"/>
      <c r="CA172" s="228"/>
      <c r="CB172" s="228"/>
      <c r="CC172" s="228"/>
      <c r="CD172" s="228"/>
      <c r="CE172" s="228"/>
      <c r="CF172" s="228"/>
      <c r="CG172" s="228"/>
      <c r="CH172" s="228"/>
      <c r="CI172" s="228"/>
      <c r="CJ172" s="228"/>
      <c r="CK172" s="228"/>
      <c r="CL172" s="228"/>
      <c r="CM172" s="228"/>
      <c r="CN172" s="228"/>
      <c r="CO172" s="228"/>
      <c r="CP172" s="228"/>
      <c r="CQ172" s="228"/>
      <c r="CR172" s="228"/>
      <c r="CS172" s="228"/>
      <c r="CT172" s="228"/>
      <c r="CU172" s="228"/>
      <c r="CV172" s="228"/>
      <c r="CW172" s="228"/>
      <c r="CX172" s="228"/>
      <c r="CY172" s="228"/>
      <c r="CZ172" s="228"/>
      <c r="DA172" s="228"/>
      <c r="DB172" s="228"/>
    </row>
    <row r="173" ht="12.0" customHeight="1">
      <c r="A173" s="228"/>
      <c r="B173" s="228"/>
      <c r="C173" s="228"/>
      <c r="D173" s="228"/>
      <c r="E173" s="228"/>
      <c r="F173" s="228"/>
      <c r="G173" s="228"/>
      <c r="H173" s="228"/>
      <c r="I173" s="228"/>
      <c r="J173" s="228"/>
      <c r="K173" s="228"/>
      <c r="L173" s="228"/>
      <c r="M173" s="228"/>
      <c r="N173" s="228"/>
      <c r="O173" s="228"/>
      <c r="P173" s="228"/>
      <c r="Q173" s="228"/>
      <c r="R173" s="228"/>
      <c r="S173" s="228"/>
      <c r="T173" s="228"/>
      <c r="U173" s="228"/>
      <c r="V173" s="228"/>
      <c r="W173" s="228"/>
      <c r="X173" s="228"/>
      <c r="Y173" s="228"/>
      <c r="Z173" s="228"/>
      <c r="AA173" s="228"/>
      <c r="AB173" s="228"/>
      <c r="AC173" s="228"/>
      <c r="AD173" s="228"/>
      <c r="AE173" s="228"/>
      <c r="AF173" s="228"/>
      <c r="AG173" s="228"/>
      <c r="AH173" s="228"/>
      <c r="AI173" s="228"/>
      <c r="AJ173" s="228"/>
      <c r="AK173" s="228"/>
      <c r="AL173" s="228"/>
      <c r="AM173" s="228"/>
      <c r="AN173" s="228"/>
      <c r="AO173" s="228"/>
      <c r="AP173" s="228"/>
      <c r="AQ173" s="228"/>
      <c r="AR173" s="228"/>
      <c r="AS173" s="228"/>
      <c r="AT173" s="228"/>
      <c r="AU173" s="228"/>
      <c r="AV173" s="228"/>
      <c r="AW173" s="228"/>
      <c r="AX173" s="228"/>
      <c r="AY173" s="228"/>
      <c r="AZ173" s="228"/>
      <c r="BA173" s="228"/>
      <c r="BB173" s="228"/>
      <c r="BC173" s="228"/>
      <c r="BD173" s="228"/>
      <c r="BE173" s="228"/>
      <c r="BF173" s="228"/>
      <c r="BG173" s="228"/>
      <c r="BH173" s="228"/>
      <c r="BI173" s="228"/>
      <c r="BJ173" s="228"/>
      <c r="BK173" s="228"/>
      <c r="BL173" s="228"/>
      <c r="BM173" s="228"/>
      <c r="BN173" s="228"/>
      <c r="BO173" s="228"/>
      <c r="BP173" s="228"/>
      <c r="BQ173" s="228"/>
      <c r="BR173" s="228"/>
      <c r="BS173" s="228"/>
      <c r="BT173" s="228"/>
      <c r="BU173" s="228"/>
      <c r="BV173" s="228"/>
      <c r="BW173" s="228"/>
      <c r="BX173" s="228"/>
      <c r="BY173" s="228"/>
      <c r="BZ173" s="228"/>
      <c r="CA173" s="228"/>
      <c r="CB173" s="228"/>
      <c r="CC173" s="228"/>
      <c r="CD173" s="228"/>
      <c r="CE173" s="228"/>
      <c r="CF173" s="228"/>
      <c r="CG173" s="228"/>
      <c r="CH173" s="228"/>
      <c r="CI173" s="228"/>
      <c r="CJ173" s="228"/>
      <c r="CK173" s="228"/>
      <c r="CL173" s="228"/>
      <c r="CM173" s="228"/>
      <c r="CN173" s="228"/>
      <c r="CO173" s="228"/>
      <c r="CP173" s="228"/>
      <c r="CQ173" s="228"/>
      <c r="CR173" s="228"/>
      <c r="CS173" s="228"/>
      <c r="CT173" s="228"/>
      <c r="CU173" s="228"/>
      <c r="CV173" s="228"/>
      <c r="CW173" s="228"/>
      <c r="CX173" s="228"/>
      <c r="CY173" s="228"/>
      <c r="CZ173" s="228"/>
      <c r="DA173" s="228"/>
      <c r="DB173" s="228"/>
    </row>
    <row r="174" ht="12.0" customHeight="1">
      <c r="A174" s="228"/>
      <c r="B174" s="228"/>
      <c r="C174" s="228"/>
      <c r="D174" s="228"/>
      <c r="E174" s="228"/>
      <c r="F174" s="228"/>
      <c r="G174" s="228"/>
      <c r="H174" s="228"/>
      <c r="I174" s="228"/>
      <c r="J174" s="228"/>
      <c r="K174" s="228"/>
      <c r="L174" s="228"/>
      <c r="M174" s="228"/>
      <c r="N174" s="228"/>
      <c r="O174" s="228"/>
      <c r="P174" s="228"/>
      <c r="Q174" s="228"/>
      <c r="R174" s="228"/>
      <c r="S174" s="228"/>
      <c r="T174" s="228"/>
      <c r="U174" s="228"/>
      <c r="V174" s="228"/>
      <c r="W174" s="228"/>
      <c r="X174" s="228"/>
      <c r="Y174" s="228"/>
      <c r="Z174" s="228"/>
      <c r="AA174" s="228"/>
      <c r="AB174" s="228"/>
      <c r="AC174" s="228"/>
      <c r="AD174" s="228"/>
      <c r="AE174" s="228"/>
      <c r="AF174" s="228"/>
      <c r="AG174" s="228"/>
      <c r="AH174" s="228"/>
      <c r="AI174" s="228"/>
      <c r="AJ174" s="228"/>
      <c r="AK174" s="228"/>
      <c r="AL174" s="228"/>
      <c r="AM174" s="228"/>
      <c r="AN174" s="228"/>
      <c r="AO174" s="228"/>
      <c r="AP174" s="228"/>
      <c r="AQ174" s="228"/>
      <c r="AR174" s="228"/>
      <c r="AS174" s="228"/>
      <c r="AT174" s="228"/>
      <c r="AU174" s="228"/>
      <c r="AV174" s="228"/>
      <c r="AW174" s="228"/>
      <c r="AX174" s="228"/>
      <c r="AY174" s="228"/>
      <c r="AZ174" s="228"/>
      <c r="BA174" s="228"/>
      <c r="BB174" s="228"/>
      <c r="BC174" s="228"/>
      <c r="BD174" s="228"/>
      <c r="BE174" s="228"/>
      <c r="BF174" s="228"/>
      <c r="BG174" s="228"/>
      <c r="BH174" s="228"/>
      <c r="BI174" s="228"/>
      <c r="BJ174" s="228"/>
      <c r="BK174" s="228"/>
      <c r="BL174" s="228"/>
      <c r="BM174" s="228"/>
      <c r="BN174" s="228"/>
      <c r="BO174" s="228"/>
      <c r="BP174" s="228"/>
      <c r="BQ174" s="228"/>
      <c r="BR174" s="228"/>
      <c r="BS174" s="228"/>
      <c r="BT174" s="228"/>
      <c r="BU174" s="228"/>
      <c r="BV174" s="228"/>
      <c r="BW174" s="228"/>
      <c r="BX174" s="228"/>
      <c r="BY174" s="228"/>
      <c r="BZ174" s="228"/>
      <c r="CA174" s="228"/>
      <c r="CB174" s="228"/>
      <c r="CC174" s="228"/>
      <c r="CD174" s="228"/>
      <c r="CE174" s="228"/>
      <c r="CF174" s="228"/>
      <c r="CG174" s="228"/>
      <c r="CH174" s="228"/>
      <c r="CI174" s="228"/>
      <c r="CJ174" s="228"/>
      <c r="CK174" s="228"/>
      <c r="CL174" s="228"/>
      <c r="CM174" s="228"/>
      <c r="CN174" s="228"/>
      <c r="CO174" s="228"/>
      <c r="CP174" s="228"/>
      <c r="CQ174" s="228"/>
      <c r="CR174" s="228"/>
      <c r="CS174" s="228"/>
      <c r="CT174" s="228"/>
      <c r="CU174" s="228"/>
      <c r="CV174" s="228"/>
      <c r="CW174" s="228"/>
      <c r="CX174" s="228"/>
      <c r="CY174" s="228"/>
      <c r="CZ174" s="228"/>
      <c r="DA174" s="228"/>
      <c r="DB174" s="228"/>
    </row>
    <row r="175" ht="12.0" customHeight="1">
      <c r="A175" s="228"/>
      <c r="B175" s="228"/>
      <c r="C175" s="228"/>
      <c r="D175" s="228"/>
      <c r="E175" s="228"/>
      <c r="F175" s="228"/>
      <c r="G175" s="228"/>
      <c r="H175" s="228"/>
      <c r="I175" s="228"/>
      <c r="J175" s="228"/>
      <c r="K175" s="228"/>
      <c r="L175" s="228"/>
      <c r="M175" s="228"/>
      <c r="N175" s="228"/>
      <c r="O175" s="228"/>
      <c r="P175" s="228"/>
      <c r="Q175" s="228"/>
      <c r="R175" s="228"/>
      <c r="S175" s="228"/>
      <c r="T175" s="228"/>
      <c r="U175" s="228"/>
      <c r="V175" s="228"/>
      <c r="W175" s="228"/>
      <c r="X175" s="228"/>
      <c r="Y175" s="228"/>
      <c r="Z175" s="228"/>
      <c r="AA175" s="228"/>
      <c r="AB175" s="228"/>
      <c r="AC175" s="228"/>
      <c r="AD175" s="228"/>
      <c r="AE175" s="228"/>
      <c r="AF175" s="228"/>
      <c r="AG175" s="228"/>
      <c r="AH175" s="228"/>
      <c r="AI175" s="228"/>
      <c r="AJ175" s="228"/>
      <c r="AK175" s="228"/>
      <c r="AL175" s="228"/>
      <c r="AM175" s="228"/>
      <c r="AN175" s="228"/>
      <c r="AO175" s="228"/>
      <c r="AP175" s="228"/>
      <c r="AQ175" s="228"/>
      <c r="AR175" s="228"/>
      <c r="AS175" s="228"/>
      <c r="AT175" s="228"/>
      <c r="AU175" s="228"/>
      <c r="AV175" s="228"/>
      <c r="AW175" s="228"/>
      <c r="AX175" s="228"/>
      <c r="AY175" s="228"/>
      <c r="AZ175" s="228"/>
      <c r="BA175" s="228"/>
      <c r="BB175" s="228"/>
      <c r="BC175" s="228"/>
      <c r="BD175" s="228"/>
      <c r="BE175" s="228"/>
      <c r="BF175" s="228"/>
      <c r="BG175" s="228"/>
      <c r="BH175" s="228"/>
      <c r="BI175" s="228"/>
      <c r="BJ175" s="228"/>
      <c r="BK175" s="228"/>
      <c r="BL175" s="228"/>
      <c r="BM175" s="228"/>
      <c r="BN175" s="228"/>
      <c r="BO175" s="228"/>
      <c r="BP175" s="228"/>
      <c r="BQ175" s="228"/>
      <c r="BR175" s="228"/>
      <c r="BS175" s="228"/>
      <c r="BT175" s="228"/>
      <c r="BU175" s="228"/>
      <c r="BV175" s="228"/>
      <c r="BW175" s="228"/>
      <c r="BX175" s="228"/>
      <c r="BY175" s="228"/>
      <c r="BZ175" s="228"/>
      <c r="CA175" s="228"/>
      <c r="CB175" s="228"/>
      <c r="CC175" s="228"/>
      <c r="CD175" s="228"/>
      <c r="CE175" s="228"/>
      <c r="CF175" s="228"/>
      <c r="CG175" s="228"/>
      <c r="CH175" s="228"/>
      <c r="CI175" s="228"/>
      <c r="CJ175" s="228"/>
      <c r="CK175" s="228"/>
      <c r="CL175" s="228"/>
      <c r="CM175" s="228"/>
      <c r="CN175" s="228"/>
      <c r="CO175" s="228"/>
      <c r="CP175" s="228"/>
      <c r="CQ175" s="228"/>
      <c r="CR175" s="228"/>
      <c r="CS175" s="228"/>
      <c r="CT175" s="228"/>
      <c r="CU175" s="228"/>
      <c r="CV175" s="228"/>
      <c r="CW175" s="228"/>
      <c r="CX175" s="228"/>
      <c r="CY175" s="228"/>
      <c r="CZ175" s="228"/>
      <c r="DA175" s="228"/>
      <c r="DB175" s="228"/>
    </row>
    <row r="176" ht="12.0" customHeight="1">
      <c r="A176" s="228"/>
      <c r="B176" s="228"/>
      <c r="C176" s="228"/>
      <c r="D176" s="228"/>
      <c r="E176" s="228"/>
      <c r="F176" s="228"/>
      <c r="G176" s="228"/>
      <c r="H176" s="228"/>
      <c r="I176" s="228"/>
      <c r="J176" s="228"/>
      <c r="K176" s="228"/>
      <c r="L176" s="228"/>
      <c r="M176" s="228"/>
      <c r="N176" s="228"/>
      <c r="O176" s="228"/>
      <c r="P176" s="228"/>
      <c r="Q176" s="228"/>
      <c r="R176" s="228"/>
      <c r="S176" s="228"/>
      <c r="T176" s="228"/>
      <c r="U176" s="228"/>
      <c r="V176" s="228"/>
      <c r="W176" s="228"/>
      <c r="X176" s="228"/>
      <c r="Y176" s="228"/>
      <c r="Z176" s="228"/>
      <c r="AA176" s="228"/>
      <c r="AB176" s="228"/>
      <c r="AC176" s="228"/>
      <c r="AD176" s="228"/>
      <c r="AE176" s="228"/>
      <c r="AF176" s="228"/>
      <c r="AG176" s="228"/>
      <c r="AH176" s="228"/>
      <c r="AI176" s="228"/>
      <c r="AJ176" s="228"/>
      <c r="AK176" s="228"/>
      <c r="AL176" s="228"/>
      <c r="AM176" s="228"/>
      <c r="AN176" s="228"/>
      <c r="AO176" s="228"/>
      <c r="AP176" s="228"/>
      <c r="AQ176" s="228"/>
      <c r="AR176" s="228"/>
      <c r="AS176" s="228"/>
      <c r="AT176" s="228"/>
      <c r="AU176" s="228"/>
      <c r="AV176" s="228"/>
      <c r="AW176" s="228"/>
      <c r="AX176" s="228"/>
      <c r="AY176" s="228"/>
      <c r="AZ176" s="228"/>
      <c r="BA176" s="228"/>
      <c r="BB176" s="228"/>
      <c r="BC176" s="228"/>
      <c r="BD176" s="228"/>
      <c r="BE176" s="228"/>
      <c r="BF176" s="228"/>
      <c r="BG176" s="228"/>
      <c r="BH176" s="228"/>
      <c r="BI176" s="228"/>
      <c r="BJ176" s="228"/>
      <c r="BK176" s="228"/>
      <c r="BL176" s="228"/>
      <c r="BM176" s="228"/>
      <c r="BN176" s="228"/>
      <c r="BO176" s="228"/>
      <c r="BP176" s="228"/>
      <c r="BQ176" s="228"/>
      <c r="BR176" s="228"/>
      <c r="BS176" s="228"/>
      <c r="BT176" s="228"/>
      <c r="BU176" s="228"/>
      <c r="BV176" s="228"/>
      <c r="BW176" s="228"/>
      <c r="BX176" s="228"/>
      <c r="BY176" s="228"/>
      <c r="BZ176" s="228"/>
      <c r="CA176" s="228"/>
      <c r="CB176" s="228"/>
      <c r="CC176" s="228"/>
      <c r="CD176" s="228"/>
      <c r="CE176" s="228"/>
      <c r="CF176" s="228"/>
      <c r="CG176" s="228"/>
      <c r="CH176" s="228"/>
      <c r="CI176" s="228"/>
      <c r="CJ176" s="228"/>
      <c r="CK176" s="228"/>
      <c r="CL176" s="228"/>
      <c r="CM176" s="228"/>
      <c r="CN176" s="228"/>
      <c r="CO176" s="228"/>
      <c r="CP176" s="228"/>
      <c r="CQ176" s="228"/>
      <c r="CR176" s="228"/>
      <c r="CS176" s="228"/>
      <c r="CT176" s="228"/>
      <c r="CU176" s="228"/>
      <c r="CV176" s="228"/>
      <c r="CW176" s="228"/>
      <c r="CX176" s="228"/>
      <c r="CY176" s="228"/>
      <c r="CZ176" s="228"/>
      <c r="DA176" s="228"/>
      <c r="DB176" s="228"/>
    </row>
    <row r="177" ht="12.0" customHeight="1">
      <c r="A177" s="228"/>
      <c r="B177" s="228"/>
      <c r="C177" s="228"/>
      <c r="D177" s="228"/>
      <c r="E177" s="228"/>
      <c r="F177" s="228"/>
      <c r="G177" s="228"/>
      <c r="H177" s="228"/>
      <c r="I177" s="228"/>
      <c r="J177" s="228"/>
      <c r="K177" s="228"/>
      <c r="L177" s="228"/>
      <c r="M177" s="228"/>
      <c r="N177" s="228"/>
      <c r="O177" s="228"/>
      <c r="P177" s="228"/>
      <c r="Q177" s="228"/>
      <c r="R177" s="228"/>
      <c r="S177" s="228"/>
      <c r="T177" s="228"/>
      <c r="U177" s="228"/>
      <c r="V177" s="228"/>
      <c r="W177" s="228"/>
      <c r="X177" s="228"/>
      <c r="Y177" s="228"/>
      <c r="Z177" s="228"/>
      <c r="AA177" s="228"/>
      <c r="AB177" s="228"/>
      <c r="AC177" s="228"/>
      <c r="AD177" s="228"/>
      <c r="AE177" s="228"/>
      <c r="AF177" s="228"/>
      <c r="AG177" s="228"/>
      <c r="AH177" s="228"/>
      <c r="AI177" s="228"/>
      <c r="AJ177" s="228"/>
      <c r="AK177" s="228"/>
      <c r="AL177" s="228"/>
      <c r="AM177" s="228"/>
      <c r="AN177" s="228"/>
      <c r="AO177" s="228"/>
      <c r="AP177" s="228"/>
      <c r="AQ177" s="228"/>
      <c r="AR177" s="228"/>
      <c r="AS177" s="228"/>
      <c r="AT177" s="228"/>
      <c r="AU177" s="228"/>
      <c r="AV177" s="228"/>
      <c r="AW177" s="228"/>
      <c r="AX177" s="228"/>
      <c r="AY177" s="228"/>
      <c r="AZ177" s="228"/>
      <c r="BA177" s="228"/>
      <c r="BB177" s="228"/>
      <c r="BC177" s="228"/>
      <c r="BD177" s="228"/>
      <c r="BE177" s="228"/>
      <c r="BF177" s="228"/>
      <c r="BG177" s="228"/>
      <c r="BH177" s="228"/>
      <c r="BI177" s="228"/>
      <c r="BJ177" s="228"/>
      <c r="BK177" s="228"/>
      <c r="BL177" s="228"/>
      <c r="BM177" s="228"/>
      <c r="BN177" s="228"/>
      <c r="BO177" s="228"/>
      <c r="BP177" s="228"/>
      <c r="BQ177" s="228"/>
      <c r="BR177" s="228"/>
      <c r="BS177" s="228"/>
      <c r="BT177" s="228"/>
      <c r="BU177" s="228"/>
      <c r="BV177" s="228"/>
      <c r="BW177" s="228"/>
      <c r="BX177" s="228"/>
      <c r="BY177" s="228"/>
      <c r="BZ177" s="228"/>
      <c r="CA177" s="228"/>
      <c r="CB177" s="228"/>
      <c r="CC177" s="228"/>
      <c r="CD177" s="228"/>
      <c r="CE177" s="228"/>
      <c r="CF177" s="228"/>
      <c r="CG177" s="228"/>
      <c r="CH177" s="228"/>
      <c r="CI177" s="228"/>
      <c r="CJ177" s="228"/>
      <c r="CK177" s="228"/>
      <c r="CL177" s="228"/>
      <c r="CM177" s="228"/>
      <c r="CN177" s="228"/>
      <c r="CO177" s="228"/>
      <c r="CP177" s="228"/>
      <c r="CQ177" s="228"/>
      <c r="CR177" s="228"/>
      <c r="CS177" s="228"/>
      <c r="CT177" s="228"/>
      <c r="CU177" s="228"/>
      <c r="CV177" s="228"/>
      <c r="CW177" s="228"/>
      <c r="CX177" s="228"/>
      <c r="CY177" s="228"/>
      <c r="CZ177" s="228"/>
      <c r="DA177" s="228"/>
      <c r="DB177" s="228"/>
    </row>
    <row r="178" ht="12.0" customHeight="1">
      <c r="A178" s="228"/>
      <c r="B178" s="228"/>
      <c r="C178" s="228"/>
      <c r="D178" s="228"/>
      <c r="E178" s="228"/>
      <c r="F178" s="228"/>
      <c r="G178" s="228"/>
      <c r="H178" s="228"/>
      <c r="I178" s="228"/>
      <c r="J178" s="228"/>
      <c r="K178" s="228"/>
      <c r="L178" s="228"/>
      <c r="M178" s="228"/>
      <c r="N178" s="228"/>
      <c r="O178" s="228"/>
      <c r="P178" s="228"/>
      <c r="Q178" s="228"/>
      <c r="R178" s="228"/>
      <c r="S178" s="228"/>
      <c r="T178" s="228"/>
      <c r="U178" s="228"/>
      <c r="V178" s="228"/>
      <c r="W178" s="228"/>
      <c r="X178" s="228"/>
      <c r="Y178" s="228"/>
      <c r="Z178" s="228"/>
      <c r="AA178" s="228"/>
      <c r="AB178" s="228"/>
      <c r="AC178" s="228"/>
      <c r="AD178" s="228"/>
      <c r="AE178" s="228"/>
      <c r="AF178" s="228"/>
      <c r="AG178" s="228"/>
      <c r="AH178" s="228"/>
      <c r="AI178" s="228"/>
      <c r="AJ178" s="228"/>
      <c r="AK178" s="228"/>
      <c r="AL178" s="228"/>
      <c r="AM178" s="228"/>
      <c r="AN178" s="228"/>
      <c r="AO178" s="228"/>
      <c r="AP178" s="228"/>
      <c r="AQ178" s="228"/>
      <c r="AR178" s="228"/>
      <c r="AS178" s="228"/>
      <c r="AT178" s="228"/>
      <c r="AU178" s="228"/>
      <c r="AV178" s="228"/>
      <c r="AW178" s="228"/>
      <c r="AX178" s="228"/>
      <c r="AY178" s="228"/>
      <c r="AZ178" s="228"/>
      <c r="BA178" s="228"/>
      <c r="BB178" s="228"/>
      <c r="BC178" s="228"/>
      <c r="BD178" s="228"/>
      <c r="BE178" s="228"/>
      <c r="BF178" s="228"/>
      <c r="BG178" s="228"/>
      <c r="BH178" s="228"/>
      <c r="BI178" s="228"/>
      <c r="BJ178" s="228"/>
      <c r="BK178" s="228"/>
      <c r="BL178" s="228"/>
      <c r="BM178" s="228"/>
      <c r="BN178" s="228"/>
      <c r="BO178" s="228"/>
      <c r="BP178" s="228"/>
      <c r="BQ178" s="228"/>
      <c r="BR178" s="228"/>
      <c r="BS178" s="228"/>
      <c r="BT178" s="228"/>
      <c r="BU178" s="228"/>
      <c r="BV178" s="228"/>
      <c r="BW178" s="228"/>
      <c r="BX178" s="228"/>
      <c r="BY178" s="228"/>
      <c r="BZ178" s="228"/>
      <c r="CA178" s="228"/>
      <c r="CB178" s="228"/>
      <c r="CC178" s="228"/>
      <c r="CD178" s="228"/>
      <c r="CE178" s="228"/>
      <c r="CF178" s="228"/>
      <c r="CG178" s="228"/>
      <c r="CH178" s="228"/>
      <c r="CI178" s="228"/>
      <c r="CJ178" s="228"/>
      <c r="CK178" s="228"/>
      <c r="CL178" s="228"/>
      <c r="CM178" s="228"/>
      <c r="CN178" s="228"/>
      <c r="CO178" s="228"/>
      <c r="CP178" s="228"/>
      <c r="CQ178" s="228"/>
      <c r="CR178" s="228"/>
      <c r="CS178" s="228"/>
      <c r="CT178" s="228"/>
      <c r="CU178" s="228"/>
      <c r="CV178" s="228"/>
      <c r="CW178" s="228"/>
      <c r="CX178" s="228"/>
      <c r="CY178" s="228"/>
      <c r="CZ178" s="228"/>
      <c r="DA178" s="228"/>
      <c r="DB178" s="228"/>
    </row>
    <row r="179" ht="12.0" customHeight="1">
      <c r="A179" s="228"/>
      <c r="B179" s="228"/>
      <c r="C179" s="228"/>
      <c r="D179" s="228"/>
      <c r="E179" s="228"/>
      <c r="F179" s="228"/>
      <c r="G179" s="228"/>
      <c r="H179" s="228"/>
      <c r="I179" s="228"/>
      <c r="J179" s="228"/>
      <c r="K179" s="228"/>
      <c r="L179" s="228"/>
      <c r="M179" s="228"/>
      <c r="N179" s="228"/>
      <c r="O179" s="228"/>
      <c r="P179" s="228"/>
      <c r="Q179" s="228"/>
      <c r="R179" s="228"/>
      <c r="S179" s="228"/>
      <c r="T179" s="228"/>
      <c r="U179" s="228"/>
      <c r="V179" s="228"/>
      <c r="W179" s="228"/>
      <c r="X179" s="228"/>
      <c r="Y179" s="228"/>
      <c r="Z179" s="228"/>
      <c r="AA179" s="228"/>
      <c r="AB179" s="228"/>
      <c r="AC179" s="228"/>
      <c r="AD179" s="228"/>
      <c r="AE179" s="228"/>
      <c r="AF179" s="228"/>
      <c r="AG179" s="228"/>
      <c r="AH179" s="228"/>
      <c r="AI179" s="228"/>
      <c r="AJ179" s="228"/>
      <c r="AK179" s="228"/>
      <c r="AL179" s="228"/>
      <c r="AM179" s="228"/>
      <c r="AN179" s="228"/>
      <c r="AO179" s="228"/>
      <c r="AP179" s="228"/>
      <c r="AQ179" s="228"/>
      <c r="AR179" s="228"/>
      <c r="AS179" s="228"/>
      <c r="AT179" s="228"/>
      <c r="AU179" s="228"/>
      <c r="AV179" s="228"/>
      <c r="AW179" s="228"/>
      <c r="AX179" s="228"/>
      <c r="AY179" s="228"/>
      <c r="AZ179" s="228"/>
      <c r="BA179" s="228"/>
      <c r="BB179" s="228"/>
      <c r="BC179" s="228"/>
      <c r="BD179" s="228"/>
      <c r="BE179" s="228"/>
      <c r="BF179" s="228"/>
      <c r="BG179" s="228"/>
      <c r="BH179" s="228"/>
      <c r="BI179" s="228"/>
      <c r="BJ179" s="228"/>
      <c r="BK179" s="228"/>
      <c r="BL179" s="228"/>
      <c r="BM179" s="228"/>
      <c r="BN179" s="228"/>
      <c r="BO179" s="228"/>
      <c r="BP179" s="228"/>
      <c r="BQ179" s="228"/>
      <c r="BR179" s="228"/>
      <c r="BS179" s="228"/>
      <c r="BT179" s="228"/>
      <c r="BU179" s="228"/>
      <c r="BV179" s="228"/>
      <c r="BW179" s="228"/>
      <c r="BX179" s="228"/>
      <c r="BY179" s="228"/>
      <c r="BZ179" s="228"/>
      <c r="CA179" s="228"/>
      <c r="CB179" s="228"/>
      <c r="CC179" s="228"/>
      <c r="CD179" s="228"/>
      <c r="CE179" s="228"/>
      <c r="CF179" s="228"/>
      <c r="CG179" s="228"/>
      <c r="CH179" s="228"/>
      <c r="CI179" s="228"/>
      <c r="CJ179" s="228"/>
      <c r="CK179" s="228"/>
      <c r="CL179" s="228"/>
      <c r="CM179" s="228"/>
      <c r="CN179" s="228"/>
      <c r="CO179" s="228"/>
      <c r="CP179" s="228"/>
      <c r="CQ179" s="228"/>
      <c r="CR179" s="228"/>
      <c r="CS179" s="228"/>
      <c r="CT179" s="228"/>
      <c r="CU179" s="228"/>
      <c r="CV179" s="228"/>
      <c r="CW179" s="228"/>
      <c r="CX179" s="228"/>
      <c r="CY179" s="228"/>
      <c r="CZ179" s="228"/>
      <c r="DA179" s="228"/>
      <c r="DB179" s="228"/>
    </row>
    <row r="180" ht="12.0" customHeight="1">
      <c r="A180" s="228"/>
      <c r="B180" s="228"/>
      <c r="C180" s="228"/>
      <c r="D180" s="228"/>
      <c r="E180" s="228"/>
      <c r="F180" s="228"/>
      <c r="G180" s="228"/>
      <c r="H180" s="228"/>
      <c r="I180" s="228"/>
      <c r="J180" s="228"/>
      <c r="K180" s="228"/>
      <c r="L180" s="228"/>
      <c r="M180" s="228"/>
      <c r="N180" s="228"/>
      <c r="O180" s="228"/>
      <c r="P180" s="228"/>
      <c r="Q180" s="228"/>
      <c r="R180" s="228"/>
      <c r="S180" s="228"/>
      <c r="T180" s="228"/>
      <c r="U180" s="228"/>
      <c r="V180" s="228"/>
      <c r="W180" s="228"/>
      <c r="X180" s="228"/>
      <c r="Y180" s="228"/>
      <c r="Z180" s="228"/>
      <c r="AA180" s="228"/>
      <c r="AB180" s="228"/>
      <c r="AC180" s="228"/>
      <c r="AD180" s="228"/>
      <c r="AE180" s="228"/>
      <c r="AF180" s="228"/>
      <c r="AG180" s="228"/>
      <c r="AH180" s="228"/>
      <c r="AI180" s="228"/>
      <c r="AJ180" s="228"/>
      <c r="AK180" s="228"/>
      <c r="AL180" s="228"/>
      <c r="AM180" s="228"/>
      <c r="AN180" s="228"/>
      <c r="AO180" s="228"/>
      <c r="AP180" s="228"/>
      <c r="AQ180" s="228"/>
      <c r="AR180" s="228"/>
      <c r="AS180" s="228"/>
      <c r="AT180" s="228"/>
      <c r="AU180" s="228"/>
      <c r="AV180" s="228"/>
      <c r="AW180" s="228"/>
      <c r="AX180" s="228"/>
      <c r="AY180" s="228"/>
      <c r="AZ180" s="228"/>
      <c r="BA180" s="228"/>
      <c r="BB180" s="228"/>
      <c r="BC180" s="228"/>
      <c r="BD180" s="228"/>
      <c r="BE180" s="228"/>
      <c r="BF180" s="228"/>
      <c r="BG180" s="228"/>
      <c r="BH180" s="228"/>
      <c r="BI180" s="228"/>
      <c r="BJ180" s="228"/>
      <c r="BK180" s="228"/>
      <c r="BL180" s="228"/>
      <c r="BM180" s="228"/>
      <c r="BN180" s="228"/>
      <c r="BO180" s="228"/>
      <c r="BP180" s="228"/>
      <c r="BQ180" s="228"/>
      <c r="BR180" s="228"/>
      <c r="BS180" s="228"/>
      <c r="BT180" s="228"/>
      <c r="BU180" s="228"/>
      <c r="BV180" s="228"/>
      <c r="BW180" s="228"/>
      <c r="BX180" s="228"/>
      <c r="BY180" s="228"/>
      <c r="BZ180" s="228"/>
      <c r="CA180" s="228"/>
      <c r="CB180" s="228"/>
      <c r="CC180" s="228"/>
      <c r="CD180" s="228"/>
      <c r="CE180" s="228"/>
      <c r="CF180" s="228"/>
      <c r="CG180" s="228"/>
      <c r="CH180" s="228"/>
      <c r="CI180" s="228"/>
      <c r="CJ180" s="228"/>
      <c r="CK180" s="228"/>
      <c r="CL180" s="228"/>
      <c r="CM180" s="228"/>
      <c r="CN180" s="228"/>
      <c r="CO180" s="228"/>
      <c r="CP180" s="228"/>
      <c r="CQ180" s="228"/>
      <c r="CR180" s="228"/>
      <c r="CS180" s="228"/>
      <c r="CT180" s="228"/>
      <c r="CU180" s="228"/>
      <c r="CV180" s="228"/>
      <c r="CW180" s="228"/>
      <c r="CX180" s="228"/>
      <c r="CY180" s="228"/>
      <c r="CZ180" s="228"/>
      <c r="DA180" s="228"/>
      <c r="DB180" s="228"/>
    </row>
    <row r="181" ht="12.0" customHeight="1">
      <c r="A181" s="228"/>
      <c r="B181" s="228"/>
      <c r="C181" s="228"/>
      <c r="D181" s="228"/>
      <c r="E181" s="228"/>
      <c r="F181" s="228"/>
      <c r="G181" s="228"/>
      <c r="H181" s="228"/>
      <c r="I181" s="228"/>
      <c r="J181" s="228"/>
      <c r="K181" s="228"/>
      <c r="L181" s="228"/>
      <c r="M181" s="228"/>
      <c r="N181" s="228"/>
      <c r="O181" s="228"/>
      <c r="P181" s="228"/>
      <c r="Q181" s="228"/>
      <c r="R181" s="228"/>
      <c r="S181" s="228"/>
      <c r="T181" s="228"/>
      <c r="U181" s="228"/>
      <c r="V181" s="228"/>
      <c r="W181" s="228"/>
      <c r="X181" s="228"/>
      <c r="Y181" s="228"/>
      <c r="Z181" s="228"/>
      <c r="AA181" s="228"/>
      <c r="AB181" s="228"/>
      <c r="AC181" s="228"/>
      <c r="AD181" s="228"/>
      <c r="AE181" s="228"/>
      <c r="AF181" s="228"/>
      <c r="AG181" s="228"/>
      <c r="AH181" s="228"/>
      <c r="AI181" s="228"/>
      <c r="AJ181" s="228"/>
      <c r="AK181" s="228"/>
      <c r="AL181" s="228"/>
      <c r="AM181" s="228"/>
      <c r="AN181" s="228"/>
      <c r="AO181" s="228"/>
      <c r="AP181" s="228"/>
      <c r="AQ181" s="228"/>
      <c r="AR181" s="228"/>
      <c r="AS181" s="228"/>
      <c r="AT181" s="228"/>
      <c r="AU181" s="228"/>
      <c r="AV181" s="228"/>
      <c r="AW181" s="228"/>
      <c r="AX181" s="228"/>
      <c r="AY181" s="228"/>
      <c r="AZ181" s="228"/>
      <c r="BA181" s="228"/>
      <c r="BB181" s="228"/>
      <c r="BC181" s="228"/>
      <c r="BD181" s="228"/>
      <c r="BE181" s="228"/>
      <c r="BF181" s="228"/>
      <c r="BG181" s="228"/>
      <c r="BH181" s="228"/>
      <c r="BI181" s="228"/>
      <c r="BJ181" s="228"/>
      <c r="BK181" s="228"/>
      <c r="BL181" s="228"/>
      <c r="BM181" s="228"/>
      <c r="BN181" s="228"/>
      <c r="BO181" s="228"/>
      <c r="BP181" s="228"/>
      <c r="BQ181" s="228"/>
      <c r="BR181" s="228"/>
      <c r="BS181" s="228"/>
      <c r="BT181" s="228"/>
      <c r="BU181" s="228"/>
      <c r="BV181" s="228"/>
      <c r="BW181" s="228"/>
      <c r="BX181" s="228"/>
      <c r="BY181" s="228"/>
      <c r="BZ181" s="228"/>
      <c r="CA181" s="228"/>
      <c r="CB181" s="228"/>
      <c r="CC181" s="228"/>
      <c r="CD181" s="228"/>
      <c r="CE181" s="228"/>
      <c r="CF181" s="228"/>
      <c r="CG181" s="228"/>
      <c r="CH181" s="228"/>
      <c r="CI181" s="228"/>
      <c r="CJ181" s="228"/>
      <c r="CK181" s="228"/>
      <c r="CL181" s="228"/>
      <c r="CM181" s="228"/>
      <c r="CN181" s="228"/>
      <c r="CO181" s="228"/>
      <c r="CP181" s="228"/>
      <c r="CQ181" s="228"/>
      <c r="CR181" s="228"/>
      <c r="CS181" s="228"/>
      <c r="CT181" s="228"/>
      <c r="CU181" s="228"/>
      <c r="CV181" s="228"/>
      <c r="CW181" s="228"/>
      <c r="CX181" s="228"/>
      <c r="CY181" s="228"/>
      <c r="CZ181" s="228"/>
      <c r="DA181" s="228"/>
      <c r="DB181" s="228"/>
    </row>
    <row r="182" ht="12.0" customHeight="1">
      <c r="A182" s="228"/>
      <c r="B182" s="228"/>
      <c r="C182" s="228"/>
      <c r="D182" s="228"/>
      <c r="E182" s="228"/>
      <c r="F182" s="228"/>
      <c r="G182" s="228"/>
      <c r="H182" s="228"/>
      <c r="I182" s="228"/>
      <c r="J182" s="228"/>
      <c r="K182" s="228"/>
      <c r="L182" s="228"/>
      <c r="M182" s="228"/>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T182" s="228"/>
      <c r="BU182" s="228"/>
      <c r="BV182" s="228"/>
      <c r="BW182" s="228"/>
      <c r="BX182" s="228"/>
      <c r="BY182" s="228"/>
      <c r="BZ182" s="228"/>
      <c r="CA182" s="228"/>
      <c r="CB182" s="228"/>
      <c r="CC182" s="228"/>
      <c r="CD182" s="228"/>
      <c r="CE182" s="228"/>
      <c r="CF182" s="228"/>
      <c r="CG182" s="228"/>
      <c r="CH182" s="228"/>
      <c r="CI182" s="228"/>
      <c r="CJ182" s="228"/>
      <c r="CK182" s="228"/>
      <c r="CL182" s="228"/>
      <c r="CM182" s="228"/>
      <c r="CN182" s="228"/>
      <c r="CO182" s="228"/>
      <c r="CP182" s="228"/>
      <c r="CQ182" s="228"/>
      <c r="CR182" s="228"/>
      <c r="CS182" s="228"/>
      <c r="CT182" s="228"/>
      <c r="CU182" s="228"/>
      <c r="CV182" s="228"/>
      <c r="CW182" s="228"/>
      <c r="CX182" s="228"/>
      <c r="CY182" s="228"/>
      <c r="CZ182" s="228"/>
      <c r="DA182" s="228"/>
      <c r="DB182" s="228"/>
    </row>
    <row r="183" ht="12.0" customHeight="1">
      <c r="A183" s="228"/>
      <c r="B183" s="228"/>
      <c r="C183" s="228"/>
      <c r="D183" s="228"/>
      <c r="E183" s="228"/>
      <c r="F183" s="228"/>
      <c r="G183" s="228"/>
      <c r="H183" s="228"/>
      <c r="I183" s="228"/>
      <c r="J183" s="228"/>
      <c r="K183" s="228"/>
      <c r="L183" s="228"/>
      <c r="M183" s="228"/>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T183" s="228"/>
      <c r="BU183" s="228"/>
      <c r="BV183" s="228"/>
      <c r="BW183" s="228"/>
      <c r="BX183" s="228"/>
      <c r="BY183" s="228"/>
      <c r="BZ183" s="228"/>
      <c r="CA183" s="228"/>
      <c r="CB183" s="228"/>
      <c r="CC183" s="228"/>
      <c r="CD183" s="228"/>
      <c r="CE183" s="228"/>
      <c r="CF183" s="228"/>
      <c r="CG183" s="228"/>
      <c r="CH183" s="228"/>
      <c r="CI183" s="228"/>
      <c r="CJ183" s="228"/>
      <c r="CK183" s="228"/>
      <c r="CL183" s="228"/>
      <c r="CM183" s="228"/>
      <c r="CN183" s="228"/>
      <c r="CO183" s="228"/>
      <c r="CP183" s="228"/>
      <c r="CQ183" s="228"/>
      <c r="CR183" s="228"/>
      <c r="CS183" s="228"/>
      <c r="CT183" s="228"/>
      <c r="CU183" s="228"/>
      <c r="CV183" s="228"/>
      <c r="CW183" s="228"/>
      <c r="CX183" s="228"/>
      <c r="CY183" s="228"/>
      <c r="CZ183" s="228"/>
      <c r="DA183" s="228"/>
      <c r="DB183" s="228"/>
    </row>
    <row r="184" ht="12.0" customHeight="1">
      <c r="A184" s="228"/>
      <c r="B184" s="228"/>
      <c r="C184" s="228"/>
      <c r="D184" s="228"/>
      <c r="E184" s="228"/>
      <c r="F184" s="228"/>
      <c r="G184" s="228"/>
      <c r="H184" s="228"/>
      <c r="I184" s="228"/>
      <c r="J184" s="228"/>
      <c r="K184" s="228"/>
      <c r="L184" s="228"/>
      <c r="M184" s="228"/>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T184" s="228"/>
      <c r="BU184" s="228"/>
      <c r="BV184" s="228"/>
      <c r="BW184" s="228"/>
      <c r="BX184" s="228"/>
      <c r="BY184" s="228"/>
      <c r="BZ184" s="228"/>
      <c r="CA184" s="228"/>
      <c r="CB184" s="228"/>
      <c r="CC184" s="228"/>
      <c r="CD184" s="228"/>
      <c r="CE184" s="228"/>
      <c r="CF184" s="228"/>
      <c r="CG184" s="228"/>
      <c r="CH184" s="228"/>
      <c r="CI184" s="228"/>
      <c r="CJ184" s="228"/>
      <c r="CK184" s="228"/>
      <c r="CL184" s="228"/>
      <c r="CM184" s="228"/>
      <c r="CN184" s="228"/>
      <c r="CO184" s="228"/>
      <c r="CP184" s="228"/>
      <c r="CQ184" s="228"/>
      <c r="CR184" s="228"/>
      <c r="CS184" s="228"/>
      <c r="CT184" s="228"/>
      <c r="CU184" s="228"/>
      <c r="CV184" s="228"/>
      <c r="CW184" s="228"/>
      <c r="CX184" s="228"/>
      <c r="CY184" s="228"/>
      <c r="CZ184" s="228"/>
      <c r="DA184" s="228"/>
      <c r="DB184" s="228"/>
    </row>
    <row r="185" ht="12.0" customHeight="1">
      <c r="A185" s="228"/>
      <c r="B185" s="228"/>
      <c r="C185" s="228"/>
      <c r="D185" s="228"/>
      <c r="E185" s="228"/>
      <c r="F185" s="228"/>
      <c r="G185" s="228"/>
      <c r="H185" s="228"/>
      <c r="I185" s="228"/>
      <c r="J185" s="228"/>
      <c r="K185" s="228"/>
      <c r="L185" s="228"/>
      <c r="M185" s="228"/>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T185" s="228"/>
      <c r="BU185" s="228"/>
      <c r="BV185" s="228"/>
      <c r="BW185" s="228"/>
      <c r="BX185" s="228"/>
      <c r="BY185" s="228"/>
      <c r="BZ185" s="228"/>
      <c r="CA185" s="228"/>
      <c r="CB185" s="228"/>
      <c r="CC185" s="228"/>
      <c r="CD185" s="228"/>
      <c r="CE185" s="228"/>
      <c r="CF185" s="228"/>
      <c r="CG185" s="228"/>
      <c r="CH185" s="228"/>
      <c r="CI185" s="228"/>
      <c r="CJ185" s="228"/>
      <c r="CK185" s="228"/>
      <c r="CL185" s="228"/>
      <c r="CM185" s="228"/>
      <c r="CN185" s="228"/>
      <c r="CO185" s="228"/>
      <c r="CP185" s="228"/>
      <c r="CQ185" s="228"/>
      <c r="CR185" s="228"/>
      <c r="CS185" s="228"/>
      <c r="CT185" s="228"/>
      <c r="CU185" s="228"/>
      <c r="CV185" s="228"/>
      <c r="CW185" s="228"/>
      <c r="CX185" s="228"/>
      <c r="CY185" s="228"/>
      <c r="CZ185" s="228"/>
      <c r="DA185" s="228"/>
      <c r="DB185" s="228"/>
    </row>
    <row r="186" ht="12.0" customHeight="1">
      <c r="A186" s="228"/>
      <c r="B186" s="228"/>
      <c r="C186" s="228"/>
      <c r="D186" s="228"/>
      <c r="E186" s="228"/>
      <c r="F186" s="228"/>
      <c r="G186" s="228"/>
      <c r="H186" s="228"/>
      <c r="I186" s="228"/>
      <c r="J186" s="228"/>
      <c r="K186" s="228"/>
      <c r="L186" s="228"/>
      <c r="M186" s="228"/>
      <c r="N186" s="228"/>
      <c r="O186" s="228"/>
      <c r="P186" s="228"/>
      <c r="Q186" s="228"/>
      <c r="R186" s="228"/>
      <c r="S186" s="228"/>
      <c r="T186" s="228"/>
      <c r="U186" s="228"/>
      <c r="V186" s="228"/>
      <c r="W186" s="228"/>
      <c r="X186" s="228"/>
      <c r="Y186" s="228"/>
      <c r="Z186" s="228"/>
      <c r="AA186" s="228"/>
      <c r="AB186" s="228"/>
      <c r="AC186" s="228"/>
      <c r="AD186" s="228"/>
      <c r="AE186" s="228"/>
      <c r="AF186" s="228"/>
      <c r="AG186" s="228"/>
      <c r="AH186" s="228"/>
      <c r="AI186" s="228"/>
      <c r="AJ186" s="228"/>
      <c r="AK186" s="228"/>
      <c r="AL186" s="228"/>
      <c r="AM186" s="228"/>
      <c r="AN186" s="228"/>
      <c r="AO186" s="228"/>
      <c r="AP186" s="228"/>
      <c r="AQ186" s="228"/>
      <c r="AR186" s="228"/>
      <c r="AS186" s="228"/>
      <c r="AT186" s="228"/>
      <c r="AU186" s="228"/>
      <c r="AV186" s="228"/>
      <c r="AW186" s="228"/>
      <c r="AX186" s="228"/>
      <c r="AY186" s="228"/>
      <c r="AZ186" s="228"/>
      <c r="BA186" s="228"/>
      <c r="BB186" s="228"/>
      <c r="BC186" s="228"/>
      <c r="BD186" s="228"/>
      <c r="BE186" s="228"/>
      <c r="BF186" s="228"/>
      <c r="BG186" s="228"/>
      <c r="BH186" s="228"/>
      <c r="BI186" s="228"/>
      <c r="BJ186" s="228"/>
      <c r="BK186" s="228"/>
      <c r="BL186" s="228"/>
      <c r="BM186" s="228"/>
      <c r="BN186" s="228"/>
      <c r="BO186" s="228"/>
      <c r="BP186" s="228"/>
      <c r="BQ186" s="228"/>
      <c r="BR186" s="228"/>
      <c r="BS186" s="228"/>
      <c r="BT186" s="228"/>
      <c r="BU186" s="228"/>
      <c r="BV186" s="228"/>
      <c r="BW186" s="228"/>
      <c r="BX186" s="228"/>
      <c r="BY186" s="228"/>
      <c r="BZ186" s="228"/>
      <c r="CA186" s="228"/>
      <c r="CB186" s="228"/>
      <c r="CC186" s="228"/>
      <c r="CD186" s="228"/>
      <c r="CE186" s="228"/>
      <c r="CF186" s="228"/>
      <c r="CG186" s="228"/>
      <c r="CH186" s="228"/>
      <c r="CI186" s="228"/>
      <c r="CJ186" s="228"/>
      <c r="CK186" s="228"/>
      <c r="CL186" s="228"/>
      <c r="CM186" s="228"/>
      <c r="CN186" s="228"/>
      <c r="CO186" s="228"/>
      <c r="CP186" s="228"/>
      <c r="CQ186" s="228"/>
      <c r="CR186" s="228"/>
      <c r="CS186" s="228"/>
      <c r="CT186" s="228"/>
      <c r="CU186" s="228"/>
      <c r="CV186" s="228"/>
      <c r="CW186" s="228"/>
      <c r="CX186" s="228"/>
      <c r="CY186" s="228"/>
      <c r="CZ186" s="228"/>
      <c r="DA186" s="228"/>
      <c r="DB186" s="228"/>
    </row>
    <row r="187" ht="12.0" customHeight="1">
      <c r="A187" s="228"/>
      <c r="B187" s="228"/>
      <c r="C187" s="228"/>
      <c r="D187" s="228"/>
      <c r="E187" s="228"/>
      <c r="F187" s="228"/>
      <c r="G187" s="228"/>
      <c r="H187" s="228"/>
      <c r="I187" s="228"/>
      <c r="J187" s="228"/>
      <c r="K187" s="228"/>
      <c r="L187" s="228"/>
      <c r="M187" s="228"/>
      <c r="N187" s="228"/>
      <c r="O187" s="228"/>
      <c r="P187" s="228"/>
      <c r="Q187" s="228"/>
      <c r="R187" s="228"/>
      <c r="S187" s="228"/>
      <c r="T187" s="228"/>
      <c r="U187" s="228"/>
      <c r="V187" s="228"/>
      <c r="W187" s="228"/>
      <c r="X187" s="228"/>
      <c r="Y187" s="228"/>
      <c r="Z187" s="228"/>
      <c r="AA187" s="228"/>
      <c r="AB187" s="228"/>
      <c r="AC187" s="228"/>
      <c r="AD187" s="228"/>
      <c r="AE187" s="228"/>
      <c r="AF187" s="228"/>
      <c r="AG187" s="228"/>
      <c r="AH187" s="228"/>
      <c r="AI187" s="228"/>
      <c r="AJ187" s="228"/>
      <c r="AK187" s="228"/>
      <c r="AL187" s="228"/>
      <c r="AM187" s="228"/>
      <c r="AN187" s="228"/>
      <c r="AO187" s="228"/>
      <c r="AP187" s="228"/>
      <c r="AQ187" s="228"/>
      <c r="AR187" s="228"/>
      <c r="AS187" s="228"/>
      <c r="AT187" s="228"/>
      <c r="AU187" s="228"/>
      <c r="AV187" s="228"/>
      <c r="AW187" s="228"/>
      <c r="AX187" s="228"/>
      <c r="AY187" s="228"/>
      <c r="AZ187" s="228"/>
      <c r="BA187" s="228"/>
      <c r="BB187" s="228"/>
      <c r="BC187" s="228"/>
      <c r="BD187" s="228"/>
      <c r="BE187" s="228"/>
      <c r="BF187" s="228"/>
      <c r="BG187" s="228"/>
      <c r="BH187" s="228"/>
      <c r="BI187" s="228"/>
      <c r="BJ187" s="228"/>
      <c r="BK187" s="228"/>
      <c r="BL187" s="228"/>
      <c r="BM187" s="228"/>
      <c r="BN187" s="228"/>
      <c r="BO187" s="228"/>
      <c r="BP187" s="228"/>
      <c r="BQ187" s="228"/>
      <c r="BR187" s="228"/>
      <c r="BS187" s="228"/>
      <c r="BT187" s="228"/>
      <c r="BU187" s="228"/>
      <c r="BV187" s="228"/>
      <c r="BW187" s="228"/>
      <c r="BX187" s="228"/>
      <c r="BY187" s="228"/>
      <c r="BZ187" s="228"/>
      <c r="CA187" s="228"/>
      <c r="CB187" s="228"/>
      <c r="CC187" s="228"/>
      <c r="CD187" s="228"/>
      <c r="CE187" s="228"/>
      <c r="CF187" s="228"/>
      <c r="CG187" s="228"/>
      <c r="CH187" s="228"/>
      <c r="CI187" s="228"/>
      <c r="CJ187" s="228"/>
      <c r="CK187" s="228"/>
      <c r="CL187" s="228"/>
      <c r="CM187" s="228"/>
      <c r="CN187" s="228"/>
      <c r="CO187" s="228"/>
      <c r="CP187" s="228"/>
      <c r="CQ187" s="228"/>
      <c r="CR187" s="228"/>
      <c r="CS187" s="228"/>
      <c r="CT187" s="228"/>
      <c r="CU187" s="228"/>
      <c r="CV187" s="228"/>
      <c r="CW187" s="228"/>
      <c r="CX187" s="228"/>
      <c r="CY187" s="228"/>
      <c r="CZ187" s="228"/>
      <c r="DA187" s="228"/>
      <c r="DB187" s="228"/>
    </row>
    <row r="188" ht="12.0" customHeight="1">
      <c r="A188" s="228"/>
      <c r="B188" s="228"/>
      <c r="C188" s="228"/>
      <c r="D188" s="228"/>
      <c r="E188" s="228"/>
      <c r="F188" s="228"/>
      <c r="G188" s="228"/>
      <c r="H188" s="228"/>
      <c r="I188" s="228"/>
      <c r="J188" s="228"/>
      <c r="K188" s="228"/>
      <c r="L188" s="228"/>
      <c r="M188" s="228"/>
      <c r="N188" s="228"/>
      <c r="O188" s="228"/>
      <c r="P188" s="228"/>
      <c r="Q188" s="228"/>
      <c r="R188" s="228"/>
      <c r="S188" s="228"/>
      <c r="T188" s="228"/>
      <c r="U188" s="228"/>
      <c r="V188" s="228"/>
      <c r="W188" s="228"/>
      <c r="X188" s="228"/>
      <c r="Y188" s="228"/>
      <c r="Z188" s="228"/>
      <c r="AA188" s="228"/>
      <c r="AB188" s="228"/>
      <c r="AC188" s="228"/>
      <c r="AD188" s="228"/>
      <c r="AE188" s="228"/>
      <c r="AF188" s="228"/>
      <c r="AG188" s="228"/>
      <c r="AH188" s="228"/>
      <c r="AI188" s="228"/>
      <c r="AJ188" s="228"/>
      <c r="AK188" s="228"/>
      <c r="AL188" s="228"/>
      <c r="AM188" s="228"/>
      <c r="AN188" s="228"/>
      <c r="AO188" s="228"/>
      <c r="AP188" s="228"/>
      <c r="AQ188" s="228"/>
      <c r="AR188" s="228"/>
      <c r="AS188" s="228"/>
      <c r="AT188" s="228"/>
      <c r="AU188" s="228"/>
      <c r="AV188" s="228"/>
      <c r="AW188" s="228"/>
      <c r="AX188" s="228"/>
      <c r="AY188" s="228"/>
      <c r="AZ188" s="228"/>
      <c r="BA188" s="228"/>
      <c r="BB188" s="228"/>
      <c r="BC188" s="228"/>
      <c r="BD188" s="228"/>
      <c r="BE188" s="228"/>
      <c r="BF188" s="228"/>
      <c r="BG188" s="228"/>
      <c r="BH188" s="228"/>
      <c r="BI188" s="228"/>
      <c r="BJ188" s="228"/>
      <c r="BK188" s="228"/>
      <c r="BL188" s="228"/>
      <c r="BM188" s="228"/>
      <c r="BN188" s="228"/>
      <c r="BO188" s="228"/>
      <c r="BP188" s="228"/>
      <c r="BQ188" s="228"/>
      <c r="BR188" s="228"/>
      <c r="BS188" s="228"/>
      <c r="BT188" s="228"/>
      <c r="BU188" s="228"/>
      <c r="BV188" s="228"/>
      <c r="BW188" s="228"/>
      <c r="BX188" s="228"/>
      <c r="BY188" s="228"/>
      <c r="BZ188" s="228"/>
      <c r="CA188" s="228"/>
      <c r="CB188" s="228"/>
      <c r="CC188" s="228"/>
      <c r="CD188" s="228"/>
      <c r="CE188" s="228"/>
      <c r="CF188" s="228"/>
      <c r="CG188" s="228"/>
      <c r="CH188" s="228"/>
      <c r="CI188" s="228"/>
      <c r="CJ188" s="228"/>
      <c r="CK188" s="228"/>
      <c r="CL188" s="228"/>
      <c r="CM188" s="228"/>
      <c r="CN188" s="228"/>
      <c r="CO188" s="228"/>
      <c r="CP188" s="228"/>
      <c r="CQ188" s="228"/>
      <c r="CR188" s="228"/>
      <c r="CS188" s="228"/>
      <c r="CT188" s="228"/>
      <c r="CU188" s="228"/>
      <c r="CV188" s="228"/>
      <c r="CW188" s="228"/>
      <c r="CX188" s="228"/>
      <c r="CY188" s="228"/>
      <c r="CZ188" s="228"/>
      <c r="DA188" s="228"/>
      <c r="DB188" s="228"/>
    </row>
    <row r="189" ht="12.0" customHeight="1">
      <c r="A189" s="228"/>
      <c r="B189" s="228"/>
      <c r="C189" s="228"/>
      <c r="D189" s="228"/>
      <c r="E189" s="228"/>
      <c r="F189" s="228"/>
      <c r="G189" s="228"/>
      <c r="H189" s="228"/>
      <c r="I189" s="228"/>
      <c r="J189" s="228"/>
      <c r="K189" s="228"/>
      <c r="L189" s="228"/>
      <c r="M189" s="228"/>
      <c r="N189" s="228"/>
      <c r="O189" s="228"/>
      <c r="P189" s="228"/>
      <c r="Q189" s="228"/>
      <c r="R189" s="228"/>
      <c r="S189" s="228"/>
      <c r="T189" s="228"/>
      <c r="U189" s="228"/>
      <c r="V189" s="228"/>
      <c r="W189" s="228"/>
      <c r="X189" s="228"/>
      <c r="Y189" s="228"/>
      <c r="Z189" s="228"/>
      <c r="AA189" s="228"/>
      <c r="AB189" s="228"/>
      <c r="AC189" s="228"/>
      <c r="AD189" s="228"/>
      <c r="AE189" s="228"/>
      <c r="AF189" s="228"/>
      <c r="AG189" s="228"/>
      <c r="AH189" s="228"/>
      <c r="AI189" s="228"/>
      <c r="AJ189" s="228"/>
      <c r="AK189" s="228"/>
      <c r="AL189" s="228"/>
      <c r="AM189" s="228"/>
      <c r="AN189" s="228"/>
      <c r="AO189" s="228"/>
      <c r="AP189" s="228"/>
      <c r="AQ189" s="228"/>
      <c r="AR189" s="228"/>
      <c r="AS189" s="228"/>
      <c r="AT189" s="228"/>
      <c r="AU189" s="228"/>
      <c r="AV189" s="228"/>
      <c r="AW189" s="228"/>
      <c r="AX189" s="228"/>
      <c r="AY189" s="228"/>
      <c r="AZ189" s="228"/>
      <c r="BA189" s="228"/>
      <c r="BB189" s="228"/>
      <c r="BC189" s="228"/>
      <c r="BD189" s="228"/>
      <c r="BE189" s="228"/>
      <c r="BF189" s="228"/>
      <c r="BG189" s="228"/>
      <c r="BH189" s="228"/>
      <c r="BI189" s="228"/>
      <c r="BJ189" s="228"/>
      <c r="BK189" s="228"/>
      <c r="BL189" s="228"/>
      <c r="BM189" s="228"/>
      <c r="BN189" s="228"/>
      <c r="BO189" s="228"/>
      <c r="BP189" s="228"/>
      <c r="BQ189" s="228"/>
      <c r="BR189" s="228"/>
      <c r="BS189" s="228"/>
      <c r="BT189" s="228"/>
      <c r="BU189" s="228"/>
      <c r="BV189" s="228"/>
      <c r="BW189" s="228"/>
      <c r="BX189" s="228"/>
      <c r="BY189" s="228"/>
      <c r="BZ189" s="228"/>
      <c r="CA189" s="228"/>
      <c r="CB189" s="228"/>
      <c r="CC189" s="228"/>
      <c r="CD189" s="228"/>
      <c r="CE189" s="228"/>
      <c r="CF189" s="228"/>
      <c r="CG189" s="228"/>
      <c r="CH189" s="228"/>
      <c r="CI189" s="228"/>
      <c r="CJ189" s="228"/>
      <c r="CK189" s="228"/>
      <c r="CL189" s="228"/>
      <c r="CM189" s="228"/>
      <c r="CN189" s="228"/>
      <c r="CO189" s="228"/>
      <c r="CP189" s="228"/>
      <c r="CQ189" s="228"/>
      <c r="CR189" s="228"/>
      <c r="CS189" s="228"/>
      <c r="CT189" s="228"/>
      <c r="CU189" s="228"/>
      <c r="CV189" s="228"/>
      <c r="CW189" s="228"/>
      <c r="CX189" s="228"/>
      <c r="CY189" s="228"/>
      <c r="CZ189" s="228"/>
      <c r="DA189" s="228"/>
      <c r="DB189" s="228"/>
    </row>
    <row r="190" ht="12.0" customHeight="1">
      <c r="A190" s="228"/>
      <c r="B190" s="228"/>
      <c r="C190" s="228"/>
      <c r="D190" s="228"/>
      <c r="E190" s="228"/>
      <c r="F190" s="228"/>
      <c r="G190" s="228"/>
      <c r="H190" s="228"/>
      <c r="I190" s="228"/>
      <c r="J190" s="228"/>
      <c r="K190" s="228"/>
      <c r="L190" s="228"/>
      <c r="M190" s="228"/>
      <c r="N190" s="228"/>
      <c r="O190" s="228"/>
      <c r="P190" s="228"/>
      <c r="Q190" s="228"/>
      <c r="R190" s="228"/>
      <c r="S190" s="228"/>
      <c r="T190" s="228"/>
      <c r="U190" s="228"/>
      <c r="V190" s="228"/>
      <c r="W190" s="228"/>
      <c r="X190" s="228"/>
      <c r="Y190" s="228"/>
      <c r="Z190" s="228"/>
      <c r="AA190" s="228"/>
      <c r="AB190" s="228"/>
      <c r="AC190" s="228"/>
      <c r="AD190" s="228"/>
      <c r="AE190" s="228"/>
      <c r="AF190" s="228"/>
      <c r="AG190" s="228"/>
      <c r="AH190" s="228"/>
      <c r="AI190" s="228"/>
      <c r="AJ190" s="228"/>
      <c r="AK190" s="228"/>
      <c r="AL190" s="228"/>
      <c r="AM190" s="228"/>
      <c r="AN190" s="228"/>
      <c r="AO190" s="228"/>
      <c r="AP190" s="228"/>
      <c r="AQ190" s="228"/>
      <c r="AR190" s="228"/>
      <c r="AS190" s="228"/>
      <c r="AT190" s="228"/>
      <c r="AU190" s="228"/>
      <c r="AV190" s="228"/>
      <c r="AW190" s="228"/>
      <c r="AX190" s="228"/>
      <c r="AY190" s="228"/>
      <c r="AZ190" s="228"/>
      <c r="BA190" s="228"/>
      <c r="BB190" s="228"/>
      <c r="BC190" s="228"/>
      <c r="BD190" s="228"/>
      <c r="BE190" s="228"/>
      <c r="BF190" s="228"/>
      <c r="BG190" s="228"/>
      <c r="BH190" s="228"/>
      <c r="BI190" s="228"/>
      <c r="BJ190" s="228"/>
      <c r="BK190" s="228"/>
      <c r="BL190" s="228"/>
      <c r="BM190" s="228"/>
      <c r="BN190" s="228"/>
      <c r="BO190" s="228"/>
      <c r="BP190" s="228"/>
      <c r="BQ190" s="228"/>
      <c r="BR190" s="228"/>
      <c r="BS190" s="228"/>
      <c r="BT190" s="228"/>
      <c r="BU190" s="228"/>
      <c r="BV190" s="228"/>
      <c r="BW190" s="228"/>
      <c r="BX190" s="228"/>
      <c r="BY190" s="228"/>
      <c r="BZ190" s="228"/>
      <c r="CA190" s="228"/>
      <c r="CB190" s="228"/>
      <c r="CC190" s="228"/>
      <c r="CD190" s="228"/>
      <c r="CE190" s="228"/>
      <c r="CF190" s="228"/>
      <c r="CG190" s="228"/>
      <c r="CH190" s="228"/>
      <c r="CI190" s="228"/>
      <c r="CJ190" s="228"/>
      <c r="CK190" s="228"/>
      <c r="CL190" s="228"/>
      <c r="CM190" s="228"/>
      <c r="CN190" s="228"/>
      <c r="CO190" s="228"/>
      <c r="CP190" s="228"/>
      <c r="CQ190" s="228"/>
      <c r="CR190" s="228"/>
      <c r="CS190" s="228"/>
      <c r="CT190" s="228"/>
      <c r="CU190" s="228"/>
      <c r="CV190" s="228"/>
      <c r="CW190" s="228"/>
      <c r="CX190" s="228"/>
      <c r="CY190" s="228"/>
      <c r="CZ190" s="228"/>
      <c r="DA190" s="228"/>
      <c r="DB190" s="228"/>
    </row>
    <row r="191" ht="12.0" customHeight="1">
      <c r="A191" s="228"/>
      <c r="B191" s="228"/>
      <c r="C191" s="228"/>
      <c r="D191" s="228"/>
      <c r="E191" s="228"/>
      <c r="F191" s="228"/>
      <c r="G191" s="228"/>
      <c r="H191" s="228"/>
      <c r="I191" s="228"/>
      <c r="J191" s="228"/>
      <c r="K191" s="228"/>
      <c r="L191" s="228"/>
      <c r="M191" s="228"/>
      <c r="N191" s="228"/>
      <c r="O191" s="228"/>
      <c r="P191" s="228"/>
      <c r="Q191" s="228"/>
      <c r="R191" s="228"/>
      <c r="S191" s="228"/>
      <c r="T191" s="228"/>
      <c r="U191" s="228"/>
      <c r="V191" s="228"/>
      <c r="W191" s="228"/>
      <c r="X191" s="228"/>
      <c r="Y191" s="228"/>
      <c r="Z191" s="228"/>
      <c r="AA191" s="228"/>
      <c r="AB191" s="228"/>
      <c r="AC191" s="228"/>
      <c r="AD191" s="228"/>
      <c r="AE191" s="228"/>
      <c r="AF191" s="228"/>
      <c r="AG191" s="228"/>
      <c r="AH191" s="228"/>
      <c r="AI191" s="228"/>
      <c r="AJ191" s="228"/>
      <c r="AK191" s="228"/>
      <c r="AL191" s="228"/>
      <c r="AM191" s="228"/>
      <c r="AN191" s="228"/>
      <c r="AO191" s="228"/>
      <c r="AP191" s="228"/>
      <c r="AQ191" s="228"/>
      <c r="AR191" s="228"/>
      <c r="AS191" s="228"/>
      <c r="AT191" s="228"/>
      <c r="AU191" s="228"/>
      <c r="AV191" s="228"/>
      <c r="AW191" s="228"/>
      <c r="AX191" s="228"/>
      <c r="AY191" s="228"/>
      <c r="AZ191" s="228"/>
      <c r="BA191" s="228"/>
      <c r="BB191" s="228"/>
      <c r="BC191" s="228"/>
      <c r="BD191" s="228"/>
      <c r="BE191" s="228"/>
      <c r="BF191" s="228"/>
      <c r="BG191" s="228"/>
      <c r="BH191" s="228"/>
      <c r="BI191" s="228"/>
      <c r="BJ191" s="228"/>
      <c r="BK191" s="228"/>
      <c r="BL191" s="228"/>
      <c r="BM191" s="228"/>
      <c r="BN191" s="228"/>
      <c r="BO191" s="228"/>
      <c r="BP191" s="228"/>
      <c r="BQ191" s="228"/>
      <c r="BR191" s="228"/>
      <c r="BS191" s="228"/>
      <c r="BT191" s="228"/>
      <c r="BU191" s="228"/>
      <c r="BV191" s="228"/>
      <c r="BW191" s="228"/>
      <c r="BX191" s="228"/>
      <c r="BY191" s="228"/>
      <c r="BZ191" s="228"/>
      <c r="CA191" s="228"/>
      <c r="CB191" s="228"/>
      <c r="CC191" s="228"/>
      <c r="CD191" s="228"/>
      <c r="CE191" s="228"/>
      <c r="CF191" s="228"/>
      <c r="CG191" s="228"/>
      <c r="CH191" s="228"/>
      <c r="CI191" s="228"/>
      <c r="CJ191" s="228"/>
      <c r="CK191" s="228"/>
      <c r="CL191" s="228"/>
      <c r="CM191" s="228"/>
      <c r="CN191" s="228"/>
      <c r="CO191" s="228"/>
      <c r="CP191" s="228"/>
      <c r="CQ191" s="228"/>
      <c r="CR191" s="228"/>
      <c r="CS191" s="228"/>
      <c r="CT191" s="228"/>
      <c r="CU191" s="228"/>
      <c r="CV191" s="228"/>
      <c r="CW191" s="228"/>
      <c r="CX191" s="228"/>
      <c r="CY191" s="228"/>
      <c r="CZ191" s="228"/>
      <c r="DA191" s="228"/>
      <c r="DB191" s="228"/>
    </row>
    <row r="192" ht="12.0" customHeight="1">
      <c r="A192" s="228"/>
      <c r="B192" s="228"/>
      <c r="C192" s="228"/>
      <c r="D192" s="228"/>
      <c r="E192" s="228"/>
      <c r="F192" s="228"/>
      <c r="G192" s="228"/>
      <c r="H192" s="228"/>
      <c r="I192" s="228"/>
      <c r="J192" s="228"/>
      <c r="K192" s="228"/>
      <c r="L192" s="228"/>
      <c r="M192" s="228"/>
      <c r="N192" s="228"/>
      <c r="O192" s="228"/>
      <c r="P192" s="228"/>
      <c r="Q192" s="228"/>
      <c r="R192" s="228"/>
      <c r="S192" s="228"/>
      <c r="T192" s="228"/>
      <c r="U192" s="228"/>
      <c r="V192" s="228"/>
      <c r="W192" s="228"/>
      <c r="X192" s="228"/>
      <c r="Y192" s="228"/>
      <c r="Z192" s="228"/>
      <c r="AA192" s="228"/>
      <c r="AB192" s="228"/>
      <c r="AC192" s="228"/>
      <c r="AD192" s="228"/>
      <c r="AE192" s="228"/>
      <c r="AF192" s="228"/>
      <c r="AG192" s="228"/>
      <c r="AH192" s="228"/>
      <c r="AI192" s="228"/>
      <c r="AJ192" s="228"/>
      <c r="AK192" s="228"/>
      <c r="AL192" s="228"/>
      <c r="AM192" s="228"/>
      <c r="AN192" s="228"/>
      <c r="AO192" s="228"/>
      <c r="AP192" s="228"/>
      <c r="AQ192" s="228"/>
      <c r="AR192" s="228"/>
      <c r="AS192" s="228"/>
      <c r="AT192" s="228"/>
      <c r="AU192" s="228"/>
      <c r="AV192" s="228"/>
      <c r="AW192" s="228"/>
      <c r="AX192" s="228"/>
      <c r="AY192" s="228"/>
      <c r="AZ192" s="228"/>
      <c r="BA192" s="228"/>
      <c r="BB192" s="228"/>
      <c r="BC192" s="228"/>
      <c r="BD192" s="228"/>
      <c r="BE192" s="228"/>
      <c r="BF192" s="228"/>
      <c r="BG192" s="228"/>
      <c r="BH192" s="228"/>
      <c r="BI192" s="228"/>
      <c r="BJ192" s="228"/>
      <c r="BK192" s="228"/>
      <c r="BL192" s="228"/>
      <c r="BM192" s="228"/>
      <c r="BN192" s="228"/>
      <c r="BO192" s="228"/>
      <c r="BP192" s="228"/>
      <c r="BQ192" s="228"/>
      <c r="BR192" s="228"/>
      <c r="BS192" s="228"/>
      <c r="BT192" s="228"/>
      <c r="BU192" s="228"/>
      <c r="BV192" s="228"/>
      <c r="BW192" s="228"/>
      <c r="BX192" s="228"/>
      <c r="BY192" s="228"/>
      <c r="BZ192" s="228"/>
      <c r="CA192" s="228"/>
      <c r="CB192" s="228"/>
      <c r="CC192" s="228"/>
      <c r="CD192" s="228"/>
      <c r="CE192" s="228"/>
      <c r="CF192" s="228"/>
      <c r="CG192" s="228"/>
      <c r="CH192" s="228"/>
      <c r="CI192" s="228"/>
      <c r="CJ192" s="228"/>
      <c r="CK192" s="228"/>
      <c r="CL192" s="228"/>
      <c r="CM192" s="228"/>
      <c r="CN192" s="228"/>
      <c r="CO192" s="228"/>
      <c r="CP192" s="228"/>
      <c r="CQ192" s="228"/>
      <c r="CR192" s="228"/>
      <c r="CS192" s="228"/>
      <c r="CT192" s="228"/>
      <c r="CU192" s="228"/>
      <c r="CV192" s="228"/>
      <c r="CW192" s="228"/>
      <c r="CX192" s="228"/>
      <c r="CY192" s="228"/>
      <c r="CZ192" s="228"/>
      <c r="DA192" s="228"/>
      <c r="DB192" s="228"/>
    </row>
    <row r="193" ht="12.0" customHeight="1">
      <c r="A193" s="228"/>
      <c r="B193" s="228"/>
      <c r="C193" s="228"/>
      <c r="D193" s="228"/>
      <c r="E193" s="228"/>
      <c r="F193" s="228"/>
      <c r="G193" s="228"/>
      <c r="H193" s="228"/>
      <c r="I193" s="228"/>
      <c r="J193" s="228"/>
      <c r="K193" s="228"/>
      <c r="L193" s="228"/>
      <c r="M193" s="228"/>
      <c r="N193" s="228"/>
      <c r="O193" s="228"/>
      <c r="P193" s="228"/>
      <c r="Q193" s="228"/>
      <c r="R193" s="228"/>
      <c r="S193" s="228"/>
      <c r="T193" s="228"/>
      <c r="U193" s="228"/>
      <c r="V193" s="228"/>
      <c r="W193" s="228"/>
      <c r="X193" s="228"/>
      <c r="Y193" s="228"/>
      <c r="Z193" s="228"/>
      <c r="AA193" s="228"/>
      <c r="AB193" s="228"/>
      <c r="AC193" s="228"/>
      <c r="AD193" s="228"/>
      <c r="AE193" s="228"/>
      <c r="AF193" s="228"/>
      <c r="AG193" s="228"/>
      <c r="AH193" s="228"/>
      <c r="AI193" s="228"/>
      <c r="AJ193" s="228"/>
      <c r="AK193" s="228"/>
      <c r="AL193" s="228"/>
      <c r="AM193" s="228"/>
      <c r="AN193" s="228"/>
      <c r="AO193" s="228"/>
      <c r="AP193" s="228"/>
      <c r="AQ193" s="228"/>
      <c r="AR193" s="228"/>
      <c r="AS193" s="228"/>
      <c r="AT193" s="228"/>
      <c r="AU193" s="228"/>
      <c r="AV193" s="228"/>
      <c r="AW193" s="228"/>
      <c r="AX193" s="228"/>
      <c r="AY193" s="228"/>
      <c r="AZ193" s="228"/>
      <c r="BA193" s="228"/>
      <c r="BB193" s="228"/>
      <c r="BC193" s="228"/>
      <c r="BD193" s="228"/>
      <c r="BE193" s="228"/>
      <c r="BF193" s="228"/>
      <c r="BG193" s="228"/>
      <c r="BH193" s="228"/>
      <c r="BI193" s="228"/>
      <c r="BJ193" s="228"/>
      <c r="BK193" s="228"/>
      <c r="BL193" s="228"/>
      <c r="BM193" s="228"/>
      <c r="BN193" s="228"/>
      <c r="BO193" s="228"/>
      <c r="BP193" s="228"/>
      <c r="BQ193" s="228"/>
      <c r="BR193" s="228"/>
      <c r="BS193" s="228"/>
      <c r="BT193" s="228"/>
      <c r="BU193" s="228"/>
      <c r="BV193" s="228"/>
      <c r="BW193" s="228"/>
      <c r="BX193" s="228"/>
      <c r="BY193" s="228"/>
      <c r="BZ193" s="228"/>
      <c r="CA193" s="228"/>
      <c r="CB193" s="228"/>
      <c r="CC193" s="228"/>
      <c r="CD193" s="228"/>
      <c r="CE193" s="228"/>
      <c r="CF193" s="228"/>
      <c r="CG193" s="228"/>
      <c r="CH193" s="228"/>
      <c r="CI193" s="228"/>
      <c r="CJ193" s="228"/>
      <c r="CK193" s="228"/>
      <c r="CL193" s="228"/>
      <c r="CM193" s="228"/>
      <c r="CN193" s="228"/>
      <c r="CO193" s="228"/>
      <c r="CP193" s="228"/>
      <c r="CQ193" s="228"/>
      <c r="CR193" s="228"/>
      <c r="CS193" s="228"/>
      <c r="CT193" s="228"/>
      <c r="CU193" s="228"/>
      <c r="CV193" s="228"/>
      <c r="CW193" s="228"/>
      <c r="CX193" s="228"/>
      <c r="CY193" s="228"/>
      <c r="CZ193" s="228"/>
      <c r="DA193" s="228"/>
      <c r="DB193" s="228"/>
    </row>
    <row r="194" ht="12.0" customHeight="1">
      <c r="A194" s="228"/>
      <c r="B194" s="228"/>
      <c r="C194" s="228"/>
      <c r="D194" s="228"/>
      <c r="E194" s="228"/>
      <c r="F194" s="228"/>
      <c r="G194" s="228"/>
      <c r="H194" s="228"/>
      <c r="I194" s="228"/>
      <c r="J194" s="228"/>
      <c r="K194" s="228"/>
      <c r="L194" s="228"/>
      <c r="M194" s="228"/>
      <c r="N194" s="228"/>
      <c r="O194" s="228"/>
      <c r="P194" s="228"/>
      <c r="Q194" s="228"/>
      <c r="R194" s="228"/>
      <c r="S194" s="228"/>
      <c r="T194" s="228"/>
      <c r="U194" s="228"/>
      <c r="V194" s="228"/>
      <c r="W194" s="228"/>
      <c r="X194" s="228"/>
      <c r="Y194" s="228"/>
      <c r="Z194" s="228"/>
      <c r="AA194" s="228"/>
      <c r="AB194" s="228"/>
      <c r="AC194" s="228"/>
      <c r="AD194" s="228"/>
      <c r="AE194" s="228"/>
      <c r="AF194" s="228"/>
      <c r="AG194" s="228"/>
      <c r="AH194" s="228"/>
      <c r="AI194" s="228"/>
      <c r="AJ194" s="228"/>
      <c r="AK194" s="228"/>
      <c r="AL194" s="228"/>
      <c r="AM194" s="228"/>
      <c r="AN194" s="228"/>
      <c r="AO194" s="228"/>
      <c r="AP194" s="228"/>
      <c r="AQ194" s="228"/>
      <c r="AR194" s="228"/>
      <c r="AS194" s="228"/>
      <c r="AT194" s="228"/>
      <c r="AU194" s="228"/>
      <c r="AV194" s="228"/>
      <c r="AW194" s="228"/>
      <c r="AX194" s="228"/>
      <c r="AY194" s="228"/>
      <c r="AZ194" s="228"/>
      <c r="BA194" s="228"/>
      <c r="BB194" s="228"/>
      <c r="BC194" s="228"/>
      <c r="BD194" s="228"/>
      <c r="BE194" s="228"/>
      <c r="BF194" s="228"/>
      <c r="BG194" s="228"/>
      <c r="BH194" s="228"/>
      <c r="BI194" s="228"/>
      <c r="BJ194" s="228"/>
      <c r="BK194" s="228"/>
      <c r="BL194" s="228"/>
      <c r="BM194" s="228"/>
      <c r="BN194" s="228"/>
      <c r="BO194" s="228"/>
      <c r="BP194" s="228"/>
      <c r="BQ194" s="228"/>
      <c r="BR194" s="228"/>
      <c r="BS194" s="228"/>
      <c r="BT194" s="228"/>
      <c r="BU194" s="228"/>
      <c r="BV194" s="228"/>
      <c r="BW194" s="228"/>
      <c r="BX194" s="228"/>
      <c r="BY194" s="228"/>
      <c r="BZ194" s="228"/>
      <c r="CA194" s="228"/>
      <c r="CB194" s="228"/>
      <c r="CC194" s="228"/>
      <c r="CD194" s="228"/>
      <c r="CE194" s="228"/>
      <c r="CF194" s="228"/>
      <c r="CG194" s="228"/>
      <c r="CH194" s="228"/>
      <c r="CI194" s="228"/>
      <c r="CJ194" s="228"/>
      <c r="CK194" s="228"/>
      <c r="CL194" s="228"/>
      <c r="CM194" s="228"/>
      <c r="CN194" s="228"/>
      <c r="CO194" s="228"/>
      <c r="CP194" s="228"/>
      <c r="CQ194" s="228"/>
      <c r="CR194" s="228"/>
      <c r="CS194" s="228"/>
      <c r="CT194" s="228"/>
      <c r="CU194" s="228"/>
      <c r="CV194" s="228"/>
      <c r="CW194" s="228"/>
      <c r="CX194" s="228"/>
      <c r="CY194" s="228"/>
      <c r="CZ194" s="228"/>
      <c r="DA194" s="228"/>
      <c r="DB194" s="228"/>
    </row>
    <row r="195" ht="12.0" customHeight="1">
      <c r="A195" s="228"/>
      <c r="B195" s="228"/>
      <c r="C195" s="228"/>
      <c r="D195" s="228"/>
      <c r="E195" s="228"/>
      <c r="F195" s="228"/>
      <c r="G195" s="228"/>
      <c r="H195" s="228"/>
      <c r="I195" s="228"/>
      <c r="J195" s="228"/>
      <c r="K195" s="228"/>
      <c r="L195" s="228"/>
      <c r="M195" s="228"/>
      <c r="N195" s="228"/>
      <c r="O195" s="228"/>
      <c r="P195" s="228"/>
      <c r="Q195" s="228"/>
      <c r="R195" s="228"/>
      <c r="S195" s="228"/>
      <c r="T195" s="228"/>
      <c r="U195" s="228"/>
      <c r="V195" s="228"/>
      <c r="W195" s="228"/>
      <c r="X195" s="228"/>
      <c r="Y195" s="228"/>
      <c r="Z195" s="228"/>
      <c r="AA195" s="228"/>
      <c r="AB195" s="228"/>
      <c r="AC195" s="228"/>
      <c r="AD195" s="228"/>
      <c r="AE195" s="228"/>
      <c r="AF195" s="228"/>
      <c r="AG195" s="228"/>
      <c r="AH195" s="228"/>
      <c r="AI195" s="228"/>
      <c r="AJ195" s="228"/>
      <c r="AK195" s="228"/>
      <c r="AL195" s="228"/>
      <c r="AM195" s="228"/>
      <c r="AN195" s="228"/>
      <c r="AO195" s="228"/>
      <c r="AP195" s="228"/>
      <c r="AQ195" s="228"/>
      <c r="AR195" s="228"/>
      <c r="AS195" s="228"/>
      <c r="AT195" s="228"/>
      <c r="AU195" s="228"/>
      <c r="AV195" s="228"/>
      <c r="AW195" s="228"/>
      <c r="AX195" s="228"/>
      <c r="AY195" s="228"/>
      <c r="AZ195" s="228"/>
      <c r="BA195" s="228"/>
      <c r="BB195" s="228"/>
      <c r="BC195" s="228"/>
      <c r="BD195" s="228"/>
      <c r="BE195" s="228"/>
      <c r="BF195" s="228"/>
      <c r="BG195" s="228"/>
      <c r="BH195" s="228"/>
      <c r="BI195" s="228"/>
      <c r="BJ195" s="228"/>
      <c r="BK195" s="228"/>
      <c r="BL195" s="228"/>
      <c r="BM195" s="228"/>
      <c r="BN195" s="228"/>
      <c r="BO195" s="228"/>
      <c r="BP195" s="228"/>
      <c r="BQ195" s="228"/>
      <c r="BR195" s="228"/>
      <c r="BS195" s="228"/>
      <c r="BT195" s="228"/>
      <c r="BU195" s="228"/>
      <c r="BV195" s="228"/>
      <c r="BW195" s="228"/>
      <c r="BX195" s="228"/>
      <c r="BY195" s="228"/>
      <c r="BZ195" s="228"/>
      <c r="CA195" s="228"/>
      <c r="CB195" s="228"/>
      <c r="CC195" s="228"/>
      <c r="CD195" s="228"/>
      <c r="CE195" s="228"/>
      <c r="CF195" s="228"/>
      <c r="CG195" s="228"/>
      <c r="CH195" s="228"/>
      <c r="CI195" s="228"/>
      <c r="CJ195" s="228"/>
      <c r="CK195" s="228"/>
      <c r="CL195" s="228"/>
      <c r="CM195" s="228"/>
      <c r="CN195" s="228"/>
      <c r="CO195" s="228"/>
      <c r="CP195" s="228"/>
      <c r="CQ195" s="228"/>
      <c r="CR195" s="228"/>
      <c r="CS195" s="228"/>
      <c r="CT195" s="228"/>
      <c r="CU195" s="228"/>
      <c r="CV195" s="228"/>
      <c r="CW195" s="228"/>
      <c r="CX195" s="228"/>
      <c r="CY195" s="228"/>
      <c r="CZ195" s="228"/>
      <c r="DA195" s="228"/>
      <c r="DB195" s="228"/>
    </row>
    <row r="196" ht="12.0" customHeight="1">
      <c r="A196" s="228"/>
      <c r="B196" s="228"/>
      <c r="C196" s="228"/>
      <c r="D196" s="228"/>
      <c r="E196" s="228"/>
      <c r="F196" s="228"/>
      <c r="G196" s="228"/>
      <c r="H196" s="228"/>
      <c r="I196" s="228"/>
      <c r="J196" s="228"/>
      <c r="K196" s="228"/>
      <c r="L196" s="228"/>
      <c r="M196" s="228"/>
      <c r="N196" s="228"/>
      <c r="O196" s="228"/>
      <c r="P196" s="228"/>
      <c r="Q196" s="228"/>
      <c r="R196" s="228"/>
      <c r="S196" s="228"/>
      <c r="T196" s="228"/>
      <c r="U196" s="228"/>
      <c r="V196" s="228"/>
      <c r="W196" s="228"/>
      <c r="X196" s="228"/>
      <c r="Y196" s="228"/>
      <c r="Z196" s="228"/>
      <c r="AA196" s="228"/>
      <c r="AB196" s="228"/>
      <c r="AC196" s="228"/>
      <c r="AD196" s="228"/>
      <c r="AE196" s="228"/>
      <c r="AF196" s="228"/>
      <c r="AG196" s="228"/>
      <c r="AH196" s="228"/>
      <c r="AI196" s="228"/>
      <c r="AJ196" s="228"/>
      <c r="AK196" s="228"/>
      <c r="AL196" s="228"/>
      <c r="AM196" s="228"/>
      <c r="AN196" s="228"/>
      <c r="AO196" s="228"/>
      <c r="AP196" s="228"/>
      <c r="AQ196" s="228"/>
      <c r="AR196" s="228"/>
      <c r="AS196" s="228"/>
      <c r="AT196" s="228"/>
      <c r="AU196" s="228"/>
      <c r="AV196" s="228"/>
      <c r="AW196" s="228"/>
      <c r="AX196" s="228"/>
      <c r="AY196" s="228"/>
      <c r="AZ196" s="228"/>
      <c r="BA196" s="228"/>
      <c r="BB196" s="228"/>
      <c r="BC196" s="228"/>
      <c r="BD196" s="228"/>
      <c r="BE196" s="228"/>
      <c r="BF196" s="228"/>
      <c r="BG196" s="228"/>
      <c r="BH196" s="228"/>
      <c r="BI196" s="228"/>
      <c r="BJ196" s="228"/>
      <c r="BK196" s="228"/>
      <c r="BL196" s="228"/>
      <c r="BM196" s="228"/>
      <c r="BN196" s="228"/>
      <c r="BO196" s="228"/>
      <c r="BP196" s="228"/>
      <c r="BQ196" s="228"/>
      <c r="BR196" s="228"/>
      <c r="BS196" s="228"/>
      <c r="BT196" s="228"/>
      <c r="BU196" s="228"/>
      <c r="BV196" s="228"/>
      <c r="BW196" s="228"/>
      <c r="BX196" s="228"/>
      <c r="BY196" s="228"/>
      <c r="BZ196" s="228"/>
      <c r="CA196" s="228"/>
      <c r="CB196" s="228"/>
      <c r="CC196" s="228"/>
      <c r="CD196" s="228"/>
      <c r="CE196" s="228"/>
      <c r="CF196" s="228"/>
      <c r="CG196" s="228"/>
      <c r="CH196" s="228"/>
      <c r="CI196" s="228"/>
      <c r="CJ196" s="228"/>
      <c r="CK196" s="228"/>
      <c r="CL196" s="228"/>
      <c r="CM196" s="228"/>
      <c r="CN196" s="228"/>
      <c r="CO196" s="228"/>
      <c r="CP196" s="228"/>
      <c r="CQ196" s="228"/>
      <c r="CR196" s="228"/>
      <c r="CS196" s="228"/>
      <c r="CT196" s="228"/>
      <c r="CU196" s="228"/>
      <c r="CV196" s="228"/>
      <c r="CW196" s="228"/>
      <c r="CX196" s="228"/>
      <c r="CY196" s="228"/>
      <c r="CZ196" s="228"/>
      <c r="DA196" s="228"/>
      <c r="DB196" s="228"/>
    </row>
    <row r="197" ht="12.0" customHeight="1">
      <c r="A197" s="228"/>
      <c r="B197" s="228"/>
      <c r="C197" s="228"/>
      <c r="D197" s="228"/>
      <c r="E197" s="228"/>
      <c r="F197" s="228"/>
      <c r="G197" s="228"/>
      <c r="H197" s="228"/>
      <c r="I197" s="228"/>
      <c r="J197" s="228"/>
      <c r="K197" s="228"/>
      <c r="L197" s="228"/>
      <c r="M197" s="228"/>
      <c r="N197" s="228"/>
      <c r="O197" s="228"/>
      <c r="P197" s="228"/>
      <c r="Q197" s="228"/>
      <c r="R197" s="228"/>
      <c r="S197" s="228"/>
      <c r="T197" s="228"/>
      <c r="U197" s="228"/>
      <c r="V197" s="228"/>
      <c r="W197" s="228"/>
      <c r="X197" s="228"/>
      <c r="Y197" s="228"/>
      <c r="Z197" s="228"/>
      <c r="AA197" s="228"/>
      <c r="AB197" s="228"/>
      <c r="AC197" s="228"/>
      <c r="AD197" s="228"/>
      <c r="AE197" s="228"/>
      <c r="AF197" s="228"/>
      <c r="AG197" s="228"/>
      <c r="AH197" s="228"/>
      <c r="AI197" s="228"/>
      <c r="AJ197" s="228"/>
      <c r="AK197" s="228"/>
      <c r="AL197" s="228"/>
      <c r="AM197" s="228"/>
      <c r="AN197" s="228"/>
      <c r="AO197" s="228"/>
      <c r="AP197" s="228"/>
      <c r="AQ197" s="228"/>
      <c r="AR197" s="228"/>
      <c r="AS197" s="228"/>
      <c r="AT197" s="228"/>
      <c r="AU197" s="228"/>
      <c r="AV197" s="228"/>
      <c r="AW197" s="228"/>
      <c r="AX197" s="228"/>
      <c r="AY197" s="228"/>
      <c r="AZ197" s="228"/>
      <c r="BA197" s="228"/>
      <c r="BB197" s="228"/>
      <c r="BC197" s="228"/>
      <c r="BD197" s="228"/>
      <c r="BE197" s="228"/>
      <c r="BF197" s="228"/>
      <c r="BG197" s="228"/>
      <c r="BH197" s="228"/>
      <c r="BI197" s="228"/>
      <c r="BJ197" s="228"/>
      <c r="BK197" s="228"/>
      <c r="BL197" s="228"/>
      <c r="BM197" s="228"/>
      <c r="BN197" s="228"/>
      <c r="BO197" s="228"/>
      <c r="BP197" s="228"/>
      <c r="BQ197" s="228"/>
      <c r="BR197" s="228"/>
      <c r="BS197" s="228"/>
      <c r="BT197" s="228"/>
      <c r="BU197" s="228"/>
      <c r="BV197" s="228"/>
      <c r="BW197" s="228"/>
      <c r="BX197" s="228"/>
      <c r="BY197" s="228"/>
      <c r="BZ197" s="228"/>
      <c r="CA197" s="228"/>
      <c r="CB197" s="228"/>
      <c r="CC197" s="228"/>
      <c r="CD197" s="228"/>
      <c r="CE197" s="228"/>
      <c r="CF197" s="228"/>
      <c r="CG197" s="228"/>
      <c r="CH197" s="228"/>
      <c r="CI197" s="228"/>
      <c r="CJ197" s="228"/>
      <c r="CK197" s="228"/>
      <c r="CL197" s="228"/>
      <c r="CM197" s="228"/>
      <c r="CN197" s="228"/>
      <c r="CO197" s="228"/>
      <c r="CP197" s="228"/>
      <c r="CQ197" s="228"/>
      <c r="CR197" s="228"/>
      <c r="CS197" s="228"/>
      <c r="CT197" s="228"/>
      <c r="CU197" s="228"/>
      <c r="CV197" s="228"/>
      <c r="CW197" s="228"/>
      <c r="CX197" s="228"/>
      <c r="CY197" s="228"/>
      <c r="CZ197" s="228"/>
      <c r="DA197" s="228"/>
      <c r="DB197" s="228"/>
    </row>
    <row r="198" ht="12.0" customHeight="1">
      <c r="A198" s="228"/>
      <c r="B198" s="228"/>
      <c r="C198" s="228"/>
      <c r="D198" s="228"/>
      <c r="E198" s="228"/>
      <c r="F198" s="228"/>
      <c r="G198" s="228"/>
      <c r="H198" s="228"/>
      <c r="I198" s="228"/>
      <c r="J198" s="228"/>
      <c r="K198" s="228"/>
      <c r="L198" s="228"/>
      <c r="M198" s="228"/>
      <c r="N198" s="228"/>
      <c r="O198" s="228"/>
      <c r="P198" s="228"/>
      <c r="Q198" s="228"/>
      <c r="R198" s="228"/>
      <c r="S198" s="228"/>
      <c r="T198" s="228"/>
      <c r="U198" s="228"/>
      <c r="V198" s="228"/>
      <c r="W198" s="228"/>
      <c r="X198" s="228"/>
      <c r="Y198" s="228"/>
      <c r="Z198" s="228"/>
      <c r="AA198" s="228"/>
      <c r="AB198" s="228"/>
      <c r="AC198" s="228"/>
      <c r="AD198" s="228"/>
      <c r="AE198" s="228"/>
      <c r="AF198" s="228"/>
      <c r="AG198" s="228"/>
      <c r="AH198" s="228"/>
      <c r="AI198" s="228"/>
      <c r="AJ198" s="228"/>
      <c r="AK198" s="228"/>
      <c r="AL198" s="228"/>
      <c r="AM198" s="228"/>
      <c r="AN198" s="228"/>
      <c r="AO198" s="228"/>
      <c r="AP198" s="228"/>
      <c r="AQ198" s="228"/>
      <c r="AR198" s="228"/>
      <c r="AS198" s="228"/>
      <c r="AT198" s="228"/>
      <c r="AU198" s="228"/>
      <c r="AV198" s="228"/>
      <c r="AW198" s="228"/>
      <c r="AX198" s="228"/>
      <c r="AY198" s="228"/>
      <c r="AZ198" s="228"/>
      <c r="BA198" s="228"/>
      <c r="BB198" s="228"/>
      <c r="BC198" s="228"/>
      <c r="BD198" s="228"/>
      <c r="BE198" s="228"/>
      <c r="BF198" s="228"/>
      <c r="BG198" s="228"/>
      <c r="BH198" s="228"/>
      <c r="BI198" s="228"/>
      <c r="BJ198" s="228"/>
      <c r="BK198" s="228"/>
      <c r="BL198" s="228"/>
      <c r="BM198" s="228"/>
      <c r="BN198" s="228"/>
      <c r="BO198" s="228"/>
      <c r="BP198" s="228"/>
      <c r="BQ198" s="228"/>
      <c r="BR198" s="228"/>
      <c r="BS198" s="228"/>
      <c r="BT198" s="228"/>
      <c r="BU198" s="228"/>
      <c r="BV198" s="228"/>
      <c r="BW198" s="228"/>
      <c r="BX198" s="228"/>
      <c r="BY198" s="228"/>
      <c r="BZ198" s="228"/>
      <c r="CA198" s="228"/>
      <c r="CB198" s="228"/>
      <c r="CC198" s="228"/>
      <c r="CD198" s="228"/>
      <c r="CE198" s="228"/>
      <c r="CF198" s="228"/>
      <c r="CG198" s="228"/>
      <c r="CH198" s="228"/>
      <c r="CI198" s="228"/>
      <c r="CJ198" s="228"/>
      <c r="CK198" s="228"/>
      <c r="CL198" s="228"/>
      <c r="CM198" s="228"/>
      <c r="CN198" s="228"/>
      <c r="CO198" s="228"/>
      <c r="CP198" s="228"/>
      <c r="CQ198" s="228"/>
      <c r="CR198" s="228"/>
      <c r="CS198" s="228"/>
      <c r="CT198" s="228"/>
      <c r="CU198" s="228"/>
      <c r="CV198" s="228"/>
      <c r="CW198" s="228"/>
      <c r="CX198" s="228"/>
      <c r="CY198" s="228"/>
      <c r="CZ198" s="228"/>
      <c r="DA198" s="228"/>
      <c r="DB198" s="228"/>
    </row>
    <row r="199" ht="12.0" customHeight="1">
      <c r="A199" s="228"/>
      <c r="B199" s="228"/>
      <c r="C199" s="228"/>
      <c r="D199" s="228"/>
      <c r="E199" s="228"/>
      <c r="F199" s="228"/>
      <c r="G199" s="228"/>
      <c r="H199" s="228"/>
      <c r="I199" s="228"/>
      <c r="J199" s="228"/>
      <c r="K199" s="228"/>
      <c r="L199" s="228"/>
      <c r="M199" s="228"/>
      <c r="N199" s="228"/>
      <c r="O199" s="228"/>
      <c r="P199" s="228"/>
      <c r="Q199" s="228"/>
      <c r="R199" s="228"/>
      <c r="S199" s="228"/>
      <c r="T199" s="228"/>
      <c r="U199" s="228"/>
      <c r="V199" s="228"/>
      <c r="W199" s="228"/>
      <c r="X199" s="228"/>
      <c r="Y199" s="228"/>
      <c r="Z199" s="228"/>
      <c r="AA199" s="228"/>
      <c r="AB199" s="228"/>
      <c r="AC199" s="228"/>
      <c r="AD199" s="228"/>
      <c r="AE199" s="228"/>
      <c r="AF199" s="228"/>
      <c r="AG199" s="228"/>
      <c r="AH199" s="228"/>
      <c r="AI199" s="228"/>
      <c r="AJ199" s="228"/>
      <c r="AK199" s="228"/>
      <c r="AL199" s="228"/>
      <c r="AM199" s="228"/>
      <c r="AN199" s="228"/>
      <c r="AO199" s="228"/>
      <c r="AP199" s="228"/>
      <c r="AQ199" s="228"/>
      <c r="AR199" s="228"/>
      <c r="AS199" s="228"/>
      <c r="AT199" s="228"/>
      <c r="AU199" s="228"/>
      <c r="AV199" s="228"/>
      <c r="AW199" s="228"/>
      <c r="AX199" s="228"/>
      <c r="AY199" s="228"/>
      <c r="AZ199" s="228"/>
      <c r="BA199" s="228"/>
      <c r="BB199" s="228"/>
      <c r="BC199" s="228"/>
      <c r="BD199" s="228"/>
      <c r="BE199" s="228"/>
      <c r="BF199" s="228"/>
      <c r="BG199" s="228"/>
      <c r="BH199" s="228"/>
      <c r="BI199" s="228"/>
      <c r="BJ199" s="228"/>
      <c r="BK199" s="228"/>
      <c r="BL199" s="228"/>
      <c r="BM199" s="228"/>
      <c r="BN199" s="228"/>
      <c r="BO199" s="228"/>
      <c r="BP199" s="228"/>
      <c r="BQ199" s="228"/>
      <c r="BR199" s="228"/>
      <c r="BS199" s="228"/>
      <c r="BT199" s="228"/>
      <c r="BU199" s="228"/>
      <c r="BV199" s="228"/>
      <c r="BW199" s="228"/>
      <c r="BX199" s="228"/>
      <c r="BY199" s="228"/>
      <c r="BZ199" s="228"/>
      <c r="CA199" s="228"/>
      <c r="CB199" s="228"/>
      <c r="CC199" s="228"/>
      <c r="CD199" s="228"/>
      <c r="CE199" s="228"/>
      <c r="CF199" s="228"/>
      <c r="CG199" s="228"/>
      <c r="CH199" s="228"/>
      <c r="CI199" s="228"/>
      <c r="CJ199" s="228"/>
      <c r="CK199" s="228"/>
      <c r="CL199" s="228"/>
      <c r="CM199" s="228"/>
      <c r="CN199" s="228"/>
      <c r="CO199" s="228"/>
      <c r="CP199" s="228"/>
      <c r="CQ199" s="228"/>
      <c r="CR199" s="228"/>
      <c r="CS199" s="228"/>
      <c r="CT199" s="228"/>
      <c r="CU199" s="228"/>
      <c r="CV199" s="228"/>
      <c r="CW199" s="228"/>
      <c r="CX199" s="228"/>
      <c r="CY199" s="228"/>
      <c r="CZ199" s="228"/>
      <c r="DA199" s="228"/>
      <c r="DB199" s="228"/>
    </row>
    <row r="200" ht="12.0" customHeight="1">
      <c r="A200" s="228"/>
      <c r="B200" s="228"/>
      <c r="C200" s="228"/>
      <c r="D200" s="228"/>
      <c r="E200" s="228"/>
      <c r="F200" s="228"/>
      <c r="G200" s="228"/>
      <c r="H200" s="228"/>
      <c r="I200" s="228"/>
      <c r="J200" s="228"/>
      <c r="K200" s="228"/>
      <c r="L200" s="228"/>
      <c r="M200" s="228"/>
      <c r="N200" s="228"/>
      <c r="O200" s="228"/>
      <c r="P200" s="228"/>
      <c r="Q200" s="228"/>
      <c r="R200" s="228"/>
      <c r="S200" s="228"/>
      <c r="T200" s="228"/>
      <c r="U200" s="228"/>
      <c r="V200" s="228"/>
      <c r="W200" s="228"/>
      <c r="X200" s="228"/>
      <c r="Y200" s="228"/>
      <c r="Z200" s="228"/>
      <c r="AA200" s="228"/>
      <c r="AB200" s="228"/>
      <c r="AC200" s="228"/>
      <c r="AD200" s="228"/>
      <c r="AE200" s="228"/>
      <c r="AF200" s="228"/>
      <c r="AG200" s="228"/>
      <c r="AH200" s="228"/>
      <c r="AI200" s="228"/>
      <c r="AJ200" s="228"/>
      <c r="AK200" s="228"/>
      <c r="AL200" s="228"/>
      <c r="AM200" s="228"/>
      <c r="AN200" s="228"/>
      <c r="AO200" s="228"/>
      <c r="AP200" s="228"/>
      <c r="AQ200" s="228"/>
      <c r="AR200" s="228"/>
      <c r="AS200" s="228"/>
      <c r="AT200" s="228"/>
      <c r="AU200" s="228"/>
      <c r="AV200" s="228"/>
      <c r="AW200" s="228"/>
      <c r="AX200" s="228"/>
      <c r="AY200" s="228"/>
      <c r="AZ200" s="228"/>
      <c r="BA200" s="228"/>
      <c r="BB200" s="228"/>
      <c r="BC200" s="228"/>
      <c r="BD200" s="228"/>
      <c r="BE200" s="228"/>
      <c r="BF200" s="228"/>
      <c r="BG200" s="228"/>
      <c r="BH200" s="228"/>
      <c r="BI200" s="228"/>
      <c r="BJ200" s="228"/>
      <c r="BK200" s="228"/>
      <c r="BL200" s="228"/>
      <c r="BM200" s="228"/>
      <c r="BN200" s="228"/>
      <c r="BO200" s="228"/>
      <c r="BP200" s="228"/>
      <c r="BQ200" s="228"/>
      <c r="BR200" s="228"/>
      <c r="BS200" s="228"/>
      <c r="BT200" s="228"/>
      <c r="BU200" s="228"/>
      <c r="BV200" s="228"/>
      <c r="BW200" s="228"/>
      <c r="BX200" s="228"/>
      <c r="BY200" s="228"/>
      <c r="BZ200" s="228"/>
      <c r="CA200" s="228"/>
      <c r="CB200" s="228"/>
      <c r="CC200" s="228"/>
      <c r="CD200" s="228"/>
      <c r="CE200" s="228"/>
      <c r="CF200" s="228"/>
      <c r="CG200" s="228"/>
      <c r="CH200" s="228"/>
      <c r="CI200" s="228"/>
      <c r="CJ200" s="228"/>
      <c r="CK200" s="228"/>
      <c r="CL200" s="228"/>
      <c r="CM200" s="228"/>
      <c r="CN200" s="228"/>
      <c r="CO200" s="228"/>
      <c r="CP200" s="228"/>
      <c r="CQ200" s="228"/>
      <c r="CR200" s="228"/>
      <c r="CS200" s="228"/>
      <c r="CT200" s="228"/>
      <c r="CU200" s="228"/>
      <c r="CV200" s="228"/>
      <c r="CW200" s="228"/>
      <c r="CX200" s="228"/>
      <c r="CY200" s="228"/>
      <c r="CZ200" s="228"/>
      <c r="DA200" s="228"/>
      <c r="DB200" s="228"/>
    </row>
    <row r="201" ht="12.0" customHeight="1">
      <c r="A201" s="228"/>
      <c r="B201" s="228"/>
      <c r="C201" s="228"/>
      <c r="D201" s="228"/>
      <c r="E201" s="228"/>
      <c r="F201" s="228"/>
      <c r="G201" s="228"/>
      <c r="H201" s="228"/>
      <c r="I201" s="228"/>
      <c r="J201" s="228"/>
      <c r="K201" s="228"/>
      <c r="L201" s="228"/>
      <c r="M201" s="228"/>
      <c r="N201" s="228"/>
      <c r="O201" s="228"/>
      <c r="P201" s="228"/>
      <c r="Q201" s="228"/>
      <c r="R201" s="228"/>
      <c r="S201" s="228"/>
      <c r="T201" s="228"/>
      <c r="U201" s="228"/>
      <c r="V201" s="228"/>
      <c r="W201" s="228"/>
      <c r="X201" s="228"/>
      <c r="Y201" s="228"/>
      <c r="Z201" s="228"/>
      <c r="AA201" s="228"/>
      <c r="AB201" s="228"/>
      <c r="AC201" s="228"/>
      <c r="AD201" s="228"/>
      <c r="AE201" s="228"/>
      <c r="AF201" s="228"/>
      <c r="AG201" s="228"/>
      <c r="AH201" s="228"/>
      <c r="AI201" s="228"/>
      <c r="AJ201" s="228"/>
      <c r="AK201" s="228"/>
      <c r="AL201" s="228"/>
      <c r="AM201" s="228"/>
      <c r="AN201" s="228"/>
      <c r="AO201" s="228"/>
      <c r="AP201" s="228"/>
      <c r="AQ201" s="228"/>
      <c r="AR201" s="228"/>
      <c r="AS201" s="228"/>
      <c r="AT201" s="228"/>
      <c r="AU201" s="228"/>
      <c r="AV201" s="228"/>
      <c r="AW201" s="228"/>
      <c r="AX201" s="228"/>
      <c r="AY201" s="228"/>
      <c r="AZ201" s="228"/>
      <c r="BA201" s="228"/>
      <c r="BB201" s="228"/>
      <c r="BC201" s="228"/>
      <c r="BD201" s="228"/>
      <c r="BE201" s="228"/>
      <c r="BF201" s="228"/>
      <c r="BG201" s="228"/>
      <c r="BH201" s="228"/>
      <c r="BI201" s="228"/>
      <c r="BJ201" s="228"/>
      <c r="BK201" s="228"/>
      <c r="BL201" s="228"/>
      <c r="BM201" s="228"/>
      <c r="BN201" s="228"/>
      <c r="BO201" s="228"/>
      <c r="BP201" s="228"/>
      <c r="BQ201" s="228"/>
      <c r="BR201" s="228"/>
      <c r="BS201" s="228"/>
      <c r="BT201" s="228"/>
      <c r="BU201" s="228"/>
      <c r="BV201" s="228"/>
      <c r="BW201" s="228"/>
      <c r="BX201" s="228"/>
      <c r="BY201" s="228"/>
      <c r="BZ201" s="228"/>
      <c r="CA201" s="228"/>
      <c r="CB201" s="228"/>
      <c r="CC201" s="228"/>
      <c r="CD201" s="228"/>
      <c r="CE201" s="228"/>
      <c r="CF201" s="228"/>
      <c r="CG201" s="228"/>
      <c r="CH201" s="228"/>
      <c r="CI201" s="228"/>
      <c r="CJ201" s="228"/>
      <c r="CK201" s="228"/>
      <c r="CL201" s="228"/>
      <c r="CM201" s="228"/>
      <c r="CN201" s="228"/>
      <c r="CO201" s="228"/>
      <c r="CP201" s="228"/>
      <c r="CQ201" s="228"/>
      <c r="CR201" s="228"/>
      <c r="CS201" s="228"/>
      <c r="CT201" s="228"/>
      <c r="CU201" s="228"/>
      <c r="CV201" s="228"/>
      <c r="CW201" s="228"/>
      <c r="CX201" s="228"/>
      <c r="CY201" s="228"/>
      <c r="CZ201" s="228"/>
      <c r="DA201" s="228"/>
      <c r="DB201" s="228"/>
    </row>
    <row r="202" ht="12.0" customHeight="1">
      <c r="A202" s="228"/>
      <c r="B202" s="228"/>
      <c r="C202" s="228"/>
      <c r="D202" s="228"/>
      <c r="E202" s="228"/>
      <c r="F202" s="228"/>
      <c r="G202" s="228"/>
      <c r="H202" s="228"/>
      <c r="I202" s="228"/>
      <c r="J202" s="228"/>
      <c r="K202" s="228"/>
      <c r="L202" s="228"/>
      <c r="M202" s="228"/>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T202" s="228"/>
      <c r="BU202" s="228"/>
      <c r="BV202" s="228"/>
      <c r="BW202" s="228"/>
      <c r="BX202" s="228"/>
      <c r="BY202" s="228"/>
      <c r="BZ202" s="228"/>
      <c r="CA202" s="228"/>
      <c r="CB202" s="228"/>
      <c r="CC202" s="228"/>
      <c r="CD202" s="228"/>
      <c r="CE202" s="228"/>
      <c r="CF202" s="228"/>
      <c r="CG202" s="228"/>
      <c r="CH202" s="228"/>
      <c r="CI202" s="228"/>
      <c r="CJ202" s="228"/>
      <c r="CK202" s="228"/>
      <c r="CL202" s="228"/>
      <c r="CM202" s="228"/>
      <c r="CN202" s="228"/>
      <c r="CO202" s="228"/>
      <c r="CP202" s="228"/>
      <c r="CQ202" s="228"/>
      <c r="CR202" s="228"/>
      <c r="CS202" s="228"/>
      <c r="CT202" s="228"/>
      <c r="CU202" s="228"/>
      <c r="CV202" s="228"/>
      <c r="CW202" s="228"/>
      <c r="CX202" s="228"/>
      <c r="CY202" s="228"/>
      <c r="CZ202" s="228"/>
      <c r="DA202" s="228"/>
      <c r="DB202" s="228"/>
    </row>
    <row r="203" ht="12.0" customHeight="1">
      <c r="A203" s="228"/>
      <c r="B203" s="228"/>
      <c r="C203" s="228"/>
      <c r="D203" s="228"/>
      <c r="E203" s="228"/>
      <c r="F203" s="228"/>
      <c r="G203" s="228"/>
      <c r="H203" s="228"/>
      <c r="I203" s="228"/>
      <c r="J203" s="228"/>
      <c r="K203" s="228"/>
      <c r="L203" s="228"/>
      <c r="M203" s="228"/>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T203" s="228"/>
      <c r="BU203" s="228"/>
      <c r="BV203" s="228"/>
      <c r="BW203" s="228"/>
      <c r="BX203" s="228"/>
      <c r="BY203" s="228"/>
      <c r="BZ203" s="228"/>
      <c r="CA203" s="228"/>
      <c r="CB203" s="228"/>
      <c r="CC203" s="228"/>
      <c r="CD203" s="228"/>
      <c r="CE203" s="228"/>
      <c r="CF203" s="228"/>
      <c r="CG203" s="228"/>
      <c r="CH203" s="228"/>
      <c r="CI203" s="228"/>
      <c r="CJ203" s="228"/>
      <c r="CK203" s="228"/>
      <c r="CL203" s="228"/>
      <c r="CM203" s="228"/>
      <c r="CN203" s="228"/>
      <c r="CO203" s="228"/>
      <c r="CP203" s="228"/>
      <c r="CQ203" s="228"/>
      <c r="CR203" s="228"/>
      <c r="CS203" s="228"/>
      <c r="CT203" s="228"/>
      <c r="CU203" s="228"/>
      <c r="CV203" s="228"/>
      <c r="CW203" s="228"/>
      <c r="CX203" s="228"/>
      <c r="CY203" s="228"/>
      <c r="CZ203" s="228"/>
      <c r="DA203" s="228"/>
      <c r="DB203" s="228"/>
    </row>
    <row r="204" ht="12.0" customHeight="1">
      <c r="A204" s="228"/>
      <c r="B204" s="228"/>
      <c r="C204" s="228"/>
      <c r="D204" s="228"/>
      <c r="E204" s="228"/>
      <c r="F204" s="228"/>
      <c r="G204" s="228"/>
      <c r="H204" s="228"/>
      <c r="I204" s="228"/>
      <c r="J204" s="228"/>
      <c r="K204" s="228"/>
      <c r="L204" s="228"/>
      <c r="M204" s="228"/>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T204" s="228"/>
      <c r="BU204" s="228"/>
      <c r="BV204" s="228"/>
      <c r="BW204" s="228"/>
      <c r="BX204" s="228"/>
      <c r="BY204" s="228"/>
      <c r="BZ204" s="228"/>
      <c r="CA204" s="228"/>
      <c r="CB204" s="228"/>
      <c r="CC204" s="228"/>
      <c r="CD204" s="228"/>
      <c r="CE204" s="228"/>
      <c r="CF204" s="228"/>
      <c r="CG204" s="228"/>
      <c r="CH204" s="228"/>
      <c r="CI204" s="228"/>
      <c r="CJ204" s="228"/>
      <c r="CK204" s="228"/>
      <c r="CL204" s="228"/>
      <c r="CM204" s="228"/>
      <c r="CN204" s="228"/>
      <c r="CO204" s="228"/>
      <c r="CP204" s="228"/>
      <c r="CQ204" s="228"/>
      <c r="CR204" s="228"/>
      <c r="CS204" s="228"/>
      <c r="CT204" s="228"/>
      <c r="CU204" s="228"/>
      <c r="CV204" s="228"/>
      <c r="CW204" s="228"/>
      <c r="CX204" s="228"/>
      <c r="CY204" s="228"/>
      <c r="CZ204" s="228"/>
      <c r="DA204" s="228"/>
      <c r="DB204" s="228"/>
    </row>
    <row r="205" ht="12.0" customHeight="1">
      <c r="A205" s="228"/>
      <c r="B205" s="228"/>
      <c r="C205" s="228"/>
      <c r="D205" s="228"/>
      <c r="E205" s="228"/>
      <c r="F205" s="228"/>
      <c r="G205" s="228"/>
      <c r="H205" s="228"/>
      <c r="I205" s="228"/>
      <c r="J205" s="228"/>
      <c r="K205" s="228"/>
      <c r="L205" s="228"/>
      <c r="M205" s="228"/>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T205" s="228"/>
      <c r="BU205" s="228"/>
      <c r="BV205" s="228"/>
      <c r="BW205" s="228"/>
      <c r="BX205" s="228"/>
      <c r="BY205" s="228"/>
      <c r="BZ205" s="228"/>
      <c r="CA205" s="228"/>
      <c r="CB205" s="228"/>
      <c r="CC205" s="228"/>
      <c r="CD205" s="228"/>
      <c r="CE205" s="228"/>
      <c r="CF205" s="228"/>
      <c r="CG205" s="228"/>
      <c r="CH205" s="228"/>
      <c r="CI205" s="228"/>
      <c r="CJ205" s="228"/>
      <c r="CK205" s="228"/>
      <c r="CL205" s="228"/>
      <c r="CM205" s="228"/>
      <c r="CN205" s="228"/>
      <c r="CO205" s="228"/>
      <c r="CP205" s="228"/>
      <c r="CQ205" s="228"/>
      <c r="CR205" s="228"/>
      <c r="CS205" s="228"/>
      <c r="CT205" s="228"/>
      <c r="CU205" s="228"/>
      <c r="CV205" s="228"/>
      <c r="CW205" s="228"/>
      <c r="CX205" s="228"/>
      <c r="CY205" s="228"/>
      <c r="CZ205" s="228"/>
      <c r="DA205" s="228"/>
      <c r="DB205" s="228"/>
    </row>
    <row r="206" ht="12.0" customHeight="1">
      <c r="A206" s="228"/>
      <c r="B206" s="228"/>
      <c r="C206" s="228"/>
      <c r="D206" s="228"/>
      <c r="E206" s="228"/>
      <c r="F206" s="228"/>
      <c r="G206" s="228"/>
      <c r="H206" s="228"/>
      <c r="I206" s="228"/>
      <c r="J206" s="228"/>
      <c r="K206" s="228"/>
      <c r="L206" s="228"/>
      <c r="M206" s="228"/>
      <c r="N206" s="228"/>
      <c r="O206" s="228"/>
      <c r="P206" s="228"/>
      <c r="Q206" s="228"/>
      <c r="R206" s="228"/>
      <c r="S206" s="228"/>
      <c r="T206" s="228"/>
      <c r="U206" s="228"/>
      <c r="V206" s="228"/>
      <c r="W206" s="228"/>
      <c r="X206" s="228"/>
      <c r="Y206" s="228"/>
      <c r="Z206" s="228"/>
      <c r="AA206" s="228"/>
      <c r="AB206" s="228"/>
      <c r="AC206" s="228"/>
      <c r="AD206" s="228"/>
      <c r="AE206" s="228"/>
      <c r="AF206" s="228"/>
      <c r="AG206" s="228"/>
      <c r="AH206" s="228"/>
      <c r="AI206" s="228"/>
      <c r="AJ206" s="228"/>
      <c r="AK206" s="228"/>
      <c r="AL206" s="228"/>
      <c r="AM206" s="228"/>
      <c r="AN206" s="228"/>
      <c r="AO206" s="228"/>
      <c r="AP206" s="228"/>
      <c r="AQ206" s="228"/>
      <c r="AR206" s="228"/>
      <c r="AS206" s="228"/>
      <c r="AT206" s="228"/>
      <c r="AU206" s="228"/>
      <c r="AV206" s="228"/>
      <c r="AW206" s="228"/>
      <c r="AX206" s="228"/>
      <c r="AY206" s="228"/>
      <c r="AZ206" s="228"/>
      <c r="BA206" s="228"/>
      <c r="BB206" s="228"/>
      <c r="BC206" s="228"/>
      <c r="BD206" s="228"/>
      <c r="BE206" s="228"/>
      <c r="BF206" s="228"/>
      <c r="BG206" s="228"/>
      <c r="BH206" s="228"/>
      <c r="BI206" s="228"/>
      <c r="BJ206" s="228"/>
      <c r="BK206" s="228"/>
      <c r="BL206" s="228"/>
      <c r="BM206" s="228"/>
      <c r="BN206" s="228"/>
      <c r="BO206" s="228"/>
      <c r="BP206" s="228"/>
      <c r="BQ206" s="228"/>
      <c r="BR206" s="228"/>
      <c r="BS206" s="228"/>
      <c r="BT206" s="228"/>
      <c r="BU206" s="228"/>
      <c r="BV206" s="228"/>
      <c r="BW206" s="228"/>
      <c r="BX206" s="228"/>
      <c r="BY206" s="228"/>
      <c r="BZ206" s="228"/>
      <c r="CA206" s="228"/>
      <c r="CB206" s="228"/>
      <c r="CC206" s="228"/>
      <c r="CD206" s="228"/>
      <c r="CE206" s="228"/>
      <c r="CF206" s="228"/>
      <c r="CG206" s="228"/>
      <c r="CH206" s="228"/>
      <c r="CI206" s="228"/>
      <c r="CJ206" s="228"/>
      <c r="CK206" s="228"/>
      <c r="CL206" s="228"/>
      <c r="CM206" s="228"/>
      <c r="CN206" s="228"/>
      <c r="CO206" s="228"/>
      <c r="CP206" s="228"/>
      <c r="CQ206" s="228"/>
      <c r="CR206" s="228"/>
      <c r="CS206" s="228"/>
      <c r="CT206" s="228"/>
      <c r="CU206" s="228"/>
      <c r="CV206" s="228"/>
      <c r="CW206" s="228"/>
      <c r="CX206" s="228"/>
      <c r="CY206" s="228"/>
      <c r="CZ206" s="228"/>
      <c r="DA206" s="228"/>
      <c r="DB206" s="228"/>
    </row>
    <row r="207" ht="12.0" customHeight="1">
      <c r="A207" s="228"/>
      <c r="B207" s="228"/>
      <c r="C207" s="228"/>
      <c r="D207" s="228"/>
      <c r="E207" s="228"/>
      <c r="F207" s="228"/>
      <c r="G207" s="228"/>
      <c r="H207" s="228"/>
      <c r="I207" s="228"/>
      <c r="J207" s="228"/>
      <c r="K207" s="228"/>
      <c r="L207" s="228"/>
      <c r="M207" s="228"/>
      <c r="N207" s="228"/>
      <c r="O207" s="228"/>
      <c r="P207" s="228"/>
      <c r="Q207" s="228"/>
      <c r="R207" s="228"/>
      <c r="S207" s="228"/>
      <c r="T207" s="228"/>
      <c r="U207" s="228"/>
      <c r="V207" s="228"/>
      <c r="W207" s="228"/>
      <c r="X207" s="228"/>
      <c r="Y207" s="228"/>
      <c r="Z207" s="228"/>
      <c r="AA207" s="228"/>
      <c r="AB207" s="228"/>
      <c r="AC207" s="228"/>
      <c r="AD207" s="228"/>
      <c r="AE207" s="228"/>
      <c r="AF207" s="228"/>
      <c r="AG207" s="228"/>
      <c r="AH207" s="228"/>
      <c r="AI207" s="228"/>
      <c r="AJ207" s="228"/>
      <c r="AK207" s="228"/>
      <c r="AL207" s="228"/>
      <c r="AM207" s="228"/>
      <c r="AN207" s="228"/>
      <c r="AO207" s="228"/>
      <c r="AP207" s="228"/>
      <c r="AQ207" s="228"/>
      <c r="AR207" s="228"/>
      <c r="AS207" s="228"/>
      <c r="AT207" s="228"/>
      <c r="AU207" s="228"/>
      <c r="AV207" s="228"/>
      <c r="AW207" s="228"/>
      <c r="AX207" s="228"/>
      <c r="AY207" s="228"/>
      <c r="AZ207" s="228"/>
      <c r="BA207" s="228"/>
      <c r="BB207" s="228"/>
      <c r="BC207" s="228"/>
      <c r="BD207" s="228"/>
      <c r="BE207" s="228"/>
      <c r="BF207" s="228"/>
      <c r="BG207" s="228"/>
      <c r="BH207" s="228"/>
      <c r="BI207" s="228"/>
      <c r="BJ207" s="228"/>
      <c r="BK207" s="228"/>
      <c r="BL207" s="228"/>
      <c r="BM207" s="228"/>
      <c r="BN207" s="228"/>
      <c r="BO207" s="228"/>
      <c r="BP207" s="228"/>
      <c r="BQ207" s="228"/>
      <c r="BR207" s="228"/>
      <c r="BS207" s="228"/>
      <c r="BT207" s="228"/>
      <c r="BU207" s="228"/>
      <c r="BV207" s="228"/>
      <c r="BW207" s="228"/>
      <c r="BX207" s="228"/>
      <c r="BY207" s="228"/>
      <c r="BZ207" s="228"/>
      <c r="CA207" s="228"/>
      <c r="CB207" s="228"/>
      <c r="CC207" s="228"/>
      <c r="CD207" s="228"/>
      <c r="CE207" s="228"/>
      <c r="CF207" s="228"/>
      <c r="CG207" s="228"/>
      <c r="CH207" s="228"/>
      <c r="CI207" s="228"/>
      <c r="CJ207" s="228"/>
      <c r="CK207" s="228"/>
      <c r="CL207" s="228"/>
      <c r="CM207" s="228"/>
      <c r="CN207" s="228"/>
      <c r="CO207" s="228"/>
      <c r="CP207" s="228"/>
      <c r="CQ207" s="228"/>
      <c r="CR207" s="228"/>
      <c r="CS207" s="228"/>
      <c r="CT207" s="228"/>
      <c r="CU207" s="228"/>
      <c r="CV207" s="228"/>
      <c r="CW207" s="228"/>
      <c r="CX207" s="228"/>
      <c r="CY207" s="228"/>
      <c r="CZ207" s="228"/>
      <c r="DA207" s="228"/>
      <c r="DB207" s="228"/>
    </row>
    <row r="208" ht="12.0" customHeight="1">
      <c r="A208" s="228"/>
      <c r="B208" s="228"/>
      <c r="C208" s="228"/>
      <c r="D208" s="228"/>
      <c r="E208" s="228"/>
      <c r="F208" s="228"/>
      <c r="G208" s="228"/>
      <c r="H208" s="228"/>
      <c r="I208" s="228"/>
      <c r="J208" s="228"/>
      <c r="K208" s="228"/>
      <c r="L208" s="228"/>
      <c r="M208" s="228"/>
      <c r="N208" s="228"/>
      <c r="O208" s="228"/>
      <c r="P208" s="228"/>
      <c r="Q208" s="228"/>
      <c r="R208" s="228"/>
      <c r="S208" s="228"/>
      <c r="T208" s="228"/>
      <c r="U208" s="228"/>
      <c r="V208" s="228"/>
      <c r="W208" s="228"/>
      <c r="X208" s="228"/>
      <c r="Y208" s="228"/>
      <c r="Z208" s="228"/>
      <c r="AA208" s="228"/>
      <c r="AB208" s="228"/>
      <c r="AC208" s="228"/>
      <c r="AD208" s="228"/>
      <c r="AE208" s="228"/>
      <c r="AF208" s="228"/>
      <c r="AG208" s="228"/>
      <c r="AH208" s="228"/>
      <c r="AI208" s="228"/>
      <c r="AJ208" s="228"/>
      <c r="AK208" s="228"/>
      <c r="AL208" s="228"/>
      <c r="AM208" s="228"/>
      <c r="AN208" s="228"/>
      <c r="AO208" s="228"/>
      <c r="AP208" s="228"/>
      <c r="AQ208" s="228"/>
      <c r="AR208" s="228"/>
      <c r="AS208" s="228"/>
      <c r="AT208" s="228"/>
      <c r="AU208" s="228"/>
      <c r="AV208" s="228"/>
      <c r="AW208" s="228"/>
      <c r="AX208" s="228"/>
      <c r="AY208" s="228"/>
      <c r="AZ208" s="228"/>
      <c r="BA208" s="228"/>
      <c r="BB208" s="228"/>
      <c r="BC208" s="228"/>
      <c r="BD208" s="228"/>
      <c r="BE208" s="228"/>
      <c r="BF208" s="228"/>
      <c r="BG208" s="228"/>
      <c r="BH208" s="228"/>
      <c r="BI208" s="228"/>
      <c r="BJ208" s="228"/>
      <c r="BK208" s="228"/>
      <c r="BL208" s="228"/>
      <c r="BM208" s="228"/>
      <c r="BN208" s="228"/>
      <c r="BO208" s="228"/>
      <c r="BP208" s="228"/>
      <c r="BQ208" s="228"/>
      <c r="BR208" s="228"/>
      <c r="BS208" s="228"/>
      <c r="BT208" s="228"/>
      <c r="BU208" s="228"/>
      <c r="BV208" s="228"/>
      <c r="BW208" s="228"/>
      <c r="BX208" s="228"/>
      <c r="BY208" s="228"/>
      <c r="BZ208" s="228"/>
      <c r="CA208" s="228"/>
      <c r="CB208" s="228"/>
      <c r="CC208" s="228"/>
      <c r="CD208" s="228"/>
      <c r="CE208" s="228"/>
      <c r="CF208" s="228"/>
      <c r="CG208" s="228"/>
      <c r="CH208" s="228"/>
      <c r="CI208" s="228"/>
      <c r="CJ208" s="228"/>
      <c r="CK208" s="228"/>
      <c r="CL208" s="228"/>
      <c r="CM208" s="228"/>
      <c r="CN208" s="228"/>
      <c r="CO208" s="228"/>
      <c r="CP208" s="228"/>
      <c r="CQ208" s="228"/>
      <c r="CR208" s="228"/>
      <c r="CS208" s="228"/>
      <c r="CT208" s="228"/>
      <c r="CU208" s="228"/>
      <c r="CV208" s="228"/>
      <c r="CW208" s="228"/>
      <c r="CX208" s="228"/>
      <c r="CY208" s="228"/>
      <c r="CZ208" s="228"/>
      <c r="DA208" s="228"/>
      <c r="DB208" s="228"/>
    </row>
    <row r="209" ht="12.0" customHeight="1">
      <c r="A209" s="228"/>
      <c r="B209" s="228"/>
      <c r="C209" s="228"/>
      <c r="D209" s="228"/>
      <c r="E209" s="228"/>
      <c r="F209" s="228"/>
      <c r="G209" s="228"/>
      <c r="H209" s="228"/>
      <c r="I209" s="228"/>
      <c r="J209" s="228"/>
      <c r="K209" s="228"/>
      <c r="L209" s="228"/>
      <c r="M209" s="228"/>
      <c r="N209" s="228"/>
      <c r="O209" s="228"/>
      <c r="P209" s="228"/>
      <c r="Q209" s="228"/>
      <c r="R209" s="228"/>
      <c r="S209" s="228"/>
      <c r="T209" s="228"/>
      <c r="U209" s="228"/>
      <c r="V209" s="228"/>
      <c r="W209" s="228"/>
      <c r="X209" s="228"/>
      <c r="Y209" s="228"/>
      <c r="Z209" s="228"/>
      <c r="AA209" s="228"/>
      <c r="AB209" s="228"/>
      <c r="AC209" s="228"/>
      <c r="AD209" s="228"/>
      <c r="AE209" s="228"/>
      <c r="AF209" s="228"/>
      <c r="AG209" s="228"/>
      <c r="AH209" s="228"/>
      <c r="AI209" s="228"/>
      <c r="AJ209" s="228"/>
      <c r="AK209" s="228"/>
      <c r="AL209" s="228"/>
      <c r="AM209" s="228"/>
      <c r="AN209" s="228"/>
      <c r="AO209" s="228"/>
      <c r="AP209" s="228"/>
      <c r="AQ209" s="228"/>
      <c r="AR209" s="228"/>
      <c r="AS209" s="228"/>
      <c r="AT209" s="228"/>
      <c r="AU209" s="228"/>
      <c r="AV209" s="228"/>
      <c r="AW209" s="228"/>
      <c r="AX209" s="228"/>
      <c r="AY209" s="228"/>
      <c r="AZ209" s="228"/>
      <c r="BA209" s="228"/>
      <c r="BB209" s="228"/>
      <c r="BC209" s="228"/>
      <c r="BD209" s="228"/>
      <c r="BE209" s="228"/>
      <c r="BF209" s="228"/>
      <c r="BG209" s="228"/>
      <c r="BH209" s="228"/>
      <c r="BI209" s="228"/>
      <c r="BJ209" s="228"/>
      <c r="BK209" s="228"/>
      <c r="BL209" s="228"/>
      <c r="BM209" s="228"/>
      <c r="BN209" s="228"/>
      <c r="BO209" s="228"/>
      <c r="BP209" s="228"/>
      <c r="BQ209" s="228"/>
      <c r="BR209" s="228"/>
      <c r="BS209" s="228"/>
      <c r="BT209" s="228"/>
      <c r="BU209" s="228"/>
      <c r="BV209" s="228"/>
      <c r="BW209" s="228"/>
      <c r="BX209" s="228"/>
      <c r="BY209" s="228"/>
      <c r="BZ209" s="228"/>
      <c r="CA209" s="228"/>
      <c r="CB209" s="228"/>
      <c r="CC209" s="228"/>
      <c r="CD209" s="228"/>
      <c r="CE209" s="228"/>
      <c r="CF209" s="228"/>
      <c r="CG209" s="228"/>
      <c r="CH209" s="228"/>
      <c r="CI209" s="228"/>
      <c r="CJ209" s="228"/>
      <c r="CK209" s="228"/>
      <c r="CL209" s="228"/>
      <c r="CM209" s="228"/>
      <c r="CN209" s="228"/>
      <c r="CO209" s="228"/>
      <c r="CP209" s="228"/>
      <c r="CQ209" s="228"/>
      <c r="CR209" s="228"/>
      <c r="CS209" s="228"/>
      <c r="CT209" s="228"/>
      <c r="CU209" s="228"/>
      <c r="CV209" s="228"/>
      <c r="CW209" s="228"/>
      <c r="CX209" s="228"/>
      <c r="CY209" s="228"/>
      <c r="CZ209" s="228"/>
      <c r="DA209" s="228"/>
      <c r="DB209" s="228"/>
    </row>
    <row r="210" ht="12.0" customHeight="1">
      <c r="A210" s="228"/>
      <c r="B210" s="228"/>
      <c r="C210" s="228"/>
      <c r="D210" s="228"/>
      <c r="E210" s="228"/>
      <c r="F210" s="228"/>
      <c r="G210" s="228"/>
      <c r="H210" s="228"/>
      <c r="I210" s="228"/>
      <c r="J210" s="228"/>
      <c r="K210" s="228"/>
      <c r="L210" s="228"/>
      <c r="M210" s="228"/>
      <c r="N210" s="228"/>
      <c r="O210" s="228"/>
      <c r="P210" s="228"/>
      <c r="Q210" s="228"/>
      <c r="R210" s="228"/>
      <c r="S210" s="228"/>
      <c r="T210" s="228"/>
      <c r="U210" s="228"/>
      <c r="V210" s="228"/>
      <c r="W210" s="228"/>
      <c r="X210" s="228"/>
      <c r="Y210" s="228"/>
      <c r="Z210" s="228"/>
      <c r="AA210" s="228"/>
      <c r="AB210" s="228"/>
      <c r="AC210" s="228"/>
      <c r="AD210" s="228"/>
      <c r="AE210" s="228"/>
      <c r="AF210" s="228"/>
      <c r="AG210" s="228"/>
      <c r="AH210" s="228"/>
      <c r="AI210" s="228"/>
      <c r="AJ210" s="228"/>
      <c r="AK210" s="228"/>
      <c r="AL210" s="228"/>
      <c r="AM210" s="228"/>
      <c r="AN210" s="228"/>
      <c r="AO210" s="228"/>
      <c r="AP210" s="228"/>
      <c r="AQ210" s="228"/>
      <c r="AR210" s="228"/>
      <c r="AS210" s="228"/>
      <c r="AT210" s="228"/>
      <c r="AU210" s="228"/>
      <c r="AV210" s="228"/>
      <c r="AW210" s="228"/>
      <c r="AX210" s="228"/>
      <c r="AY210" s="228"/>
      <c r="AZ210" s="228"/>
      <c r="BA210" s="228"/>
      <c r="BB210" s="228"/>
      <c r="BC210" s="228"/>
      <c r="BD210" s="228"/>
      <c r="BE210" s="228"/>
      <c r="BF210" s="228"/>
      <c r="BG210" s="228"/>
      <c r="BH210" s="228"/>
      <c r="BI210" s="228"/>
      <c r="BJ210" s="228"/>
      <c r="BK210" s="228"/>
      <c r="BL210" s="228"/>
      <c r="BM210" s="228"/>
      <c r="BN210" s="228"/>
      <c r="BO210" s="228"/>
      <c r="BP210" s="228"/>
      <c r="BQ210" s="228"/>
      <c r="BR210" s="228"/>
      <c r="BS210" s="228"/>
      <c r="BT210" s="228"/>
      <c r="BU210" s="228"/>
      <c r="BV210" s="228"/>
      <c r="BW210" s="228"/>
      <c r="BX210" s="228"/>
      <c r="BY210" s="228"/>
      <c r="BZ210" s="228"/>
      <c r="CA210" s="228"/>
      <c r="CB210" s="228"/>
      <c r="CC210" s="228"/>
      <c r="CD210" s="228"/>
      <c r="CE210" s="228"/>
      <c r="CF210" s="228"/>
      <c r="CG210" s="228"/>
      <c r="CH210" s="228"/>
      <c r="CI210" s="228"/>
      <c r="CJ210" s="228"/>
      <c r="CK210" s="228"/>
      <c r="CL210" s="228"/>
      <c r="CM210" s="228"/>
      <c r="CN210" s="228"/>
      <c r="CO210" s="228"/>
      <c r="CP210" s="228"/>
      <c r="CQ210" s="228"/>
      <c r="CR210" s="228"/>
      <c r="CS210" s="228"/>
      <c r="CT210" s="228"/>
      <c r="CU210" s="228"/>
      <c r="CV210" s="228"/>
      <c r="CW210" s="228"/>
      <c r="CX210" s="228"/>
      <c r="CY210" s="228"/>
      <c r="CZ210" s="228"/>
      <c r="DA210" s="228"/>
      <c r="DB210" s="228"/>
    </row>
    <row r="211" ht="12.0" customHeight="1">
      <c r="A211" s="228"/>
      <c r="B211" s="228"/>
      <c r="C211" s="228"/>
      <c r="D211" s="228"/>
      <c r="E211" s="228"/>
      <c r="F211" s="228"/>
      <c r="G211" s="228"/>
      <c r="H211" s="228"/>
      <c r="I211" s="228"/>
      <c r="J211" s="228"/>
      <c r="K211" s="228"/>
      <c r="L211" s="228"/>
      <c r="M211" s="228"/>
      <c r="N211" s="228"/>
      <c r="O211" s="228"/>
      <c r="P211" s="228"/>
      <c r="Q211" s="228"/>
      <c r="R211" s="228"/>
      <c r="S211" s="228"/>
      <c r="T211" s="228"/>
      <c r="U211" s="228"/>
      <c r="V211" s="228"/>
      <c r="W211" s="228"/>
      <c r="X211" s="228"/>
      <c r="Y211" s="228"/>
      <c r="Z211" s="228"/>
      <c r="AA211" s="228"/>
      <c r="AB211" s="228"/>
      <c r="AC211" s="228"/>
      <c r="AD211" s="228"/>
      <c r="AE211" s="228"/>
      <c r="AF211" s="228"/>
      <c r="AG211" s="228"/>
      <c r="AH211" s="228"/>
      <c r="AI211" s="228"/>
      <c r="AJ211" s="228"/>
      <c r="AK211" s="228"/>
      <c r="AL211" s="228"/>
      <c r="AM211" s="228"/>
      <c r="AN211" s="228"/>
      <c r="AO211" s="228"/>
      <c r="AP211" s="228"/>
      <c r="AQ211" s="228"/>
      <c r="AR211" s="228"/>
      <c r="AS211" s="228"/>
      <c r="AT211" s="228"/>
      <c r="AU211" s="228"/>
      <c r="AV211" s="228"/>
      <c r="AW211" s="228"/>
      <c r="AX211" s="228"/>
      <c r="AY211" s="228"/>
      <c r="AZ211" s="228"/>
      <c r="BA211" s="228"/>
      <c r="BB211" s="228"/>
      <c r="BC211" s="228"/>
      <c r="BD211" s="228"/>
      <c r="BE211" s="228"/>
      <c r="BF211" s="228"/>
      <c r="BG211" s="228"/>
      <c r="BH211" s="228"/>
      <c r="BI211" s="228"/>
      <c r="BJ211" s="228"/>
      <c r="BK211" s="228"/>
      <c r="BL211" s="228"/>
      <c r="BM211" s="228"/>
      <c r="BN211" s="228"/>
      <c r="BO211" s="228"/>
      <c r="BP211" s="228"/>
      <c r="BQ211" s="228"/>
      <c r="BR211" s="228"/>
      <c r="BS211" s="228"/>
      <c r="BT211" s="228"/>
      <c r="BU211" s="228"/>
      <c r="BV211" s="228"/>
      <c r="BW211" s="228"/>
      <c r="BX211" s="228"/>
      <c r="BY211" s="228"/>
      <c r="BZ211" s="228"/>
      <c r="CA211" s="228"/>
      <c r="CB211" s="228"/>
      <c r="CC211" s="228"/>
      <c r="CD211" s="228"/>
      <c r="CE211" s="228"/>
      <c r="CF211" s="228"/>
      <c r="CG211" s="228"/>
      <c r="CH211" s="228"/>
      <c r="CI211" s="228"/>
      <c r="CJ211" s="228"/>
      <c r="CK211" s="228"/>
      <c r="CL211" s="228"/>
      <c r="CM211" s="228"/>
      <c r="CN211" s="228"/>
      <c r="CO211" s="228"/>
      <c r="CP211" s="228"/>
      <c r="CQ211" s="228"/>
      <c r="CR211" s="228"/>
      <c r="CS211" s="228"/>
      <c r="CT211" s="228"/>
      <c r="CU211" s="228"/>
      <c r="CV211" s="228"/>
      <c r="CW211" s="228"/>
      <c r="CX211" s="228"/>
      <c r="CY211" s="228"/>
      <c r="CZ211" s="228"/>
      <c r="DA211" s="228"/>
      <c r="DB211" s="228"/>
    </row>
    <row r="212" ht="12.0" customHeight="1">
      <c r="A212" s="228"/>
      <c r="B212" s="228"/>
      <c r="C212" s="228"/>
      <c r="D212" s="228"/>
      <c r="E212" s="228"/>
      <c r="F212" s="228"/>
      <c r="G212" s="228"/>
      <c r="H212" s="228"/>
      <c r="I212" s="228"/>
      <c r="J212" s="228"/>
      <c r="K212" s="228"/>
      <c r="L212" s="228"/>
      <c r="M212" s="228"/>
      <c r="N212" s="228"/>
      <c r="O212" s="228"/>
      <c r="P212" s="228"/>
      <c r="Q212" s="228"/>
      <c r="R212" s="228"/>
      <c r="S212" s="228"/>
      <c r="T212" s="228"/>
      <c r="U212" s="228"/>
      <c r="V212" s="228"/>
      <c r="W212" s="228"/>
      <c r="X212" s="228"/>
      <c r="Y212" s="228"/>
      <c r="Z212" s="228"/>
      <c r="AA212" s="228"/>
      <c r="AB212" s="228"/>
      <c r="AC212" s="228"/>
      <c r="AD212" s="228"/>
      <c r="AE212" s="228"/>
      <c r="AF212" s="228"/>
      <c r="AG212" s="228"/>
      <c r="AH212" s="228"/>
      <c r="AI212" s="228"/>
      <c r="AJ212" s="228"/>
      <c r="AK212" s="228"/>
      <c r="AL212" s="228"/>
      <c r="AM212" s="228"/>
      <c r="AN212" s="228"/>
      <c r="AO212" s="228"/>
      <c r="AP212" s="228"/>
      <c r="AQ212" s="228"/>
      <c r="AR212" s="228"/>
      <c r="AS212" s="228"/>
      <c r="AT212" s="228"/>
      <c r="AU212" s="228"/>
      <c r="AV212" s="228"/>
      <c r="AW212" s="228"/>
      <c r="AX212" s="228"/>
      <c r="AY212" s="228"/>
      <c r="AZ212" s="228"/>
      <c r="BA212" s="228"/>
      <c r="BB212" s="228"/>
      <c r="BC212" s="228"/>
      <c r="BD212" s="228"/>
      <c r="BE212" s="228"/>
      <c r="BF212" s="228"/>
      <c r="BG212" s="228"/>
      <c r="BH212" s="228"/>
      <c r="BI212" s="228"/>
      <c r="BJ212" s="228"/>
      <c r="BK212" s="228"/>
      <c r="BL212" s="228"/>
      <c r="BM212" s="228"/>
      <c r="BN212" s="228"/>
      <c r="BO212" s="228"/>
      <c r="BP212" s="228"/>
      <c r="BQ212" s="228"/>
      <c r="BR212" s="228"/>
      <c r="BS212" s="228"/>
      <c r="BT212" s="228"/>
      <c r="BU212" s="228"/>
      <c r="BV212" s="228"/>
      <c r="BW212" s="228"/>
      <c r="BX212" s="228"/>
      <c r="BY212" s="228"/>
      <c r="BZ212" s="228"/>
      <c r="CA212" s="228"/>
      <c r="CB212" s="228"/>
      <c r="CC212" s="228"/>
      <c r="CD212" s="228"/>
      <c r="CE212" s="228"/>
      <c r="CF212" s="228"/>
      <c r="CG212" s="228"/>
      <c r="CH212" s="228"/>
      <c r="CI212" s="228"/>
      <c r="CJ212" s="228"/>
      <c r="CK212" s="228"/>
      <c r="CL212" s="228"/>
      <c r="CM212" s="228"/>
      <c r="CN212" s="228"/>
      <c r="CO212" s="228"/>
      <c r="CP212" s="228"/>
      <c r="CQ212" s="228"/>
      <c r="CR212" s="228"/>
      <c r="CS212" s="228"/>
      <c r="CT212" s="228"/>
      <c r="CU212" s="228"/>
      <c r="CV212" s="228"/>
      <c r="CW212" s="228"/>
      <c r="CX212" s="228"/>
      <c r="CY212" s="228"/>
      <c r="CZ212" s="228"/>
      <c r="DA212" s="228"/>
      <c r="DB212" s="228"/>
    </row>
    <row r="213" ht="12.0" customHeight="1">
      <c r="A213" s="228"/>
      <c r="B213" s="228"/>
      <c r="C213" s="228"/>
      <c r="D213" s="228"/>
      <c r="E213" s="228"/>
      <c r="F213" s="228"/>
      <c r="G213" s="228"/>
      <c r="H213" s="228"/>
      <c r="I213" s="228"/>
      <c r="J213" s="228"/>
      <c r="K213" s="228"/>
      <c r="L213" s="228"/>
      <c r="M213" s="228"/>
      <c r="N213" s="228"/>
      <c r="O213" s="228"/>
      <c r="P213" s="228"/>
      <c r="Q213" s="228"/>
      <c r="R213" s="228"/>
      <c r="S213" s="228"/>
      <c r="T213" s="228"/>
      <c r="U213" s="228"/>
      <c r="V213" s="228"/>
      <c r="W213" s="228"/>
      <c r="X213" s="228"/>
      <c r="Y213" s="228"/>
      <c r="Z213" s="228"/>
      <c r="AA213" s="228"/>
      <c r="AB213" s="228"/>
      <c r="AC213" s="228"/>
      <c r="AD213" s="228"/>
      <c r="AE213" s="228"/>
      <c r="AF213" s="228"/>
      <c r="AG213" s="228"/>
      <c r="AH213" s="228"/>
      <c r="AI213" s="228"/>
      <c r="AJ213" s="228"/>
      <c r="AK213" s="228"/>
      <c r="AL213" s="228"/>
      <c r="AM213" s="228"/>
      <c r="AN213" s="228"/>
      <c r="AO213" s="228"/>
      <c r="AP213" s="228"/>
      <c r="AQ213" s="228"/>
      <c r="AR213" s="228"/>
      <c r="AS213" s="228"/>
      <c r="AT213" s="228"/>
      <c r="AU213" s="228"/>
      <c r="AV213" s="228"/>
      <c r="AW213" s="228"/>
      <c r="AX213" s="228"/>
      <c r="AY213" s="228"/>
      <c r="AZ213" s="228"/>
      <c r="BA213" s="228"/>
      <c r="BB213" s="228"/>
      <c r="BC213" s="228"/>
      <c r="BD213" s="228"/>
      <c r="BE213" s="228"/>
      <c r="BF213" s="228"/>
      <c r="BG213" s="228"/>
      <c r="BH213" s="228"/>
      <c r="BI213" s="228"/>
      <c r="BJ213" s="228"/>
      <c r="BK213" s="228"/>
      <c r="BL213" s="228"/>
      <c r="BM213" s="228"/>
      <c r="BN213" s="228"/>
      <c r="BO213" s="228"/>
      <c r="BP213" s="228"/>
      <c r="BQ213" s="228"/>
      <c r="BR213" s="228"/>
      <c r="BS213" s="228"/>
      <c r="BT213" s="228"/>
      <c r="BU213" s="228"/>
      <c r="BV213" s="228"/>
      <c r="BW213" s="228"/>
      <c r="BX213" s="228"/>
      <c r="BY213" s="228"/>
      <c r="BZ213" s="228"/>
      <c r="CA213" s="228"/>
      <c r="CB213" s="228"/>
      <c r="CC213" s="228"/>
      <c r="CD213" s="228"/>
      <c r="CE213" s="228"/>
      <c r="CF213" s="228"/>
      <c r="CG213" s="228"/>
      <c r="CH213" s="228"/>
      <c r="CI213" s="228"/>
      <c r="CJ213" s="228"/>
      <c r="CK213" s="228"/>
      <c r="CL213" s="228"/>
      <c r="CM213" s="228"/>
      <c r="CN213" s="228"/>
      <c r="CO213" s="228"/>
      <c r="CP213" s="228"/>
      <c r="CQ213" s="228"/>
      <c r="CR213" s="228"/>
      <c r="CS213" s="228"/>
      <c r="CT213" s="228"/>
      <c r="CU213" s="228"/>
      <c r="CV213" s="228"/>
      <c r="CW213" s="228"/>
      <c r="CX213" s="228"/>
      <c r="CY213" s="228"/>
      <c r="CZ213" s="228"/>
      <c r="DA213" s="228"/>
      <c r="DB213" s="228"/>
    </row>
    <row r="214" ht="12.0" customHeight="1">
      <c r="A214" s="228"/>
      <c r="B214" s="228"/>
      <c r="C214" s="228"/>
      <c r="D214" s="228"/>
      <c r="E214" s="228"/>
      <c r="F214" s="228"/>
      <c r="G214" s="228"/>
      <c r="H214" s="228"/>
      <c r="I214" s="228"/>
      <c r="J214" s="228"/>
      <c r="K214" s="228"/>
      <c r="L214" s="228"/>
      <c r="M214" s="228"/>
      <c r="N214" s="228"/>
      <c r="O214" s="228"/>
      <c r="P214" s="228"/>
      <c r="Q214" s="228"/>
      <c r="R214" s="228"/>
      <c r="S214" s="228"/>
      <c r="T214" s="228"/>
      <c r="U214" s="228"/>
      <c r="V214" s="228"/>
      <c r="W214" s="228"/>
      <c r="X214" s="228"/>
      <c r="Y214" s="228"/>
      <c r="Z214" s="228"/>
      <c r="AA214" s="228"/>
      <c r="AB214" s="228"/>
      <c r="AC214" s="228"/>
      <c r="AD214" s="228"/>
      <c r="AE214" s="228"/>
      <c r="AF214" s="228"/>
      <c r="AG214" s="228"/>
      <c r="AH214" s="228"/>
      <c r="AI214" s="228"/>
      <c r="AJ214" s="228"/>
      <c r="AK214" s="228"/>
      <c r="AL214" s="228"/>
      <c r="AM214" s="228"/>
      <c r="AN214" s="228"/>
      <c r="AO214" s="228"/>
      <c r="AP214" s="228"/>
      <c r="AQ214" s="228"/>
      <c r="AR214" s="228"/>
      <c r="AS214" s="228"/>
      <c r="AT214" s="228"/>
      <c r="AU214" s="228"/>
      <c r="AV214" s="228"/>
      <c r="AW214" s="228"/>
      <c r="AX214" s="228"/>
      <c r="AY214" s="228"/>
      <c r="AZ214" s="228"/>
      <c r="BA214" s="228"/>
      <c r="BB214" s="228"/>
      <c r="BC214" s="228"/>
      <c r="BD214" s="228"/>
      <c r="BE214" s="228"/>
      <c r="BF214" s="228"/>
      <c r="BG214" s="228"/>
      <c r="BH214" s="228"/>
      <c r="BI214" s="228"/>
      <c r="BJ214" s="228"/>
      <c r="BK214" s="228"/>
      <c r="BL214" s="228"/>
      <c r="BM214" s="228"/>
      <c r="BN214" s="228"/>
      <c r="BO214" s="228"/>
      <c r="BP214" s="228"/>
      <c r="BQ214" s="228"/>
      <c r="BR214" s="228"/>
      <c r="BS214" s="228"/>
      <c r="BT214" s="228"/>
      <c r="BU214" s="228"/>
      <c r="BV214" s="228"/>
      <c r="BW214" s="228"/>
      <c r="BX214" s="228"/>
      <c r="BY214" s="228"/>
      <c r="BZ214" s="228"/>
      <c r="CA214" s="228"/>
      <c r="CB214" s="228"/>
      <c r="CC214" s="228"/>
      <c r="CD214" s="228"/>
      <c r="CE214" s="228"/>
      <c r="CF214" s="228"/>
      <c r="CG214" s="228"/>
      <c r="CH214" s="228"/>
      <c r="CI214" s="228"/>
      <c r="CJ214" s="228"/>
      <c r="CK214" s="228"/>
      <c r="CL214" s="228"/>
      <c r="CM214" s="228"/>
      <c r="CN214" s="228"/>
      <c r="CO214" s="228"/>
      <c r="CP214" s="228"/>
      <c r="CQ214" s="228"/>
      <c r="CR214" s="228"/>
      <c r="CS214" s="228"/>
      <c r="CT214" s="228"/>
      <c r="CU214" s="228"/>
      <c r="CV214" s="228"/>
      <c r="CW214" s="228"/>
      <c r="CX214" s="228"/>
      <c r="CY214" s="228"/>
      <c r="CZ214" s="228"/>
      <c r="DA214" s="228"/>
      <c r="DB214" s="228"/>
    </row>
    <row r="215" ht="12.0" customHeight="1">
      <c r="A215" s="228"/>
      <c r="B215" s="228"/>
      <c r="C215" s="228"/>
      <c r="D215" s="228"/>
      <c r="E215" s="228"/>
      <c r="F215" s="228"/>
      <c r="G215" s="228"/>
      <c r="H215" s="228"/>
      <c r="I215" s="228"/>
      <c r="J215" s="228"/>
      <c r="K215" s="228"/>
      <c r="L215" s="228"/>
      <c r="M215" s="228"/>
      <c r="N215" s="228"/>
      <c r="O215" s="228"/>
      <c r="P215" s="228"/>
      <c r="Q215" s="228"/>
      <c r="R215" s="228"/>
      <c r="S215" s="228"/>
      <c r="T215" s="228"/>
      <c r="U215" s="228"/>
      <c r="V215" s="228"/>
      <c r="W215" s="228"/>
      <c r="X215" s="228"/>
      <c r="Y215" s="228"/>
      <c r="Z215" s="228"/>
      <c r="AA215" s="228"/>
      <c r="AB215" s="228"/>
      <c r="AC215" s="228"/>
      <c r="AD215" s="228"/>
      <c r="AE215" s="228"/>
      <c r="AF215" s="228"/>
      <c r="AG215" s="228"/>
      <c r="AH215" s="228"/>
      <c r="AI215" s="228"/>
      <c r="AJ215" s="228"/>
      <c r="AK215" s="228"/>
      <c r="AL215" s="228"/>
      <c r="AM215" s="228"/>
      <c r="AN215" s="228"/>
      <c r="AO215" s="228"/>
      <c r="AP215" s="228"/>
      <c r="AQ215" s="228"/>
      <c r="AR215" s="228"/>
      <c r="AS215" s="228"/>
      <c r="AT215" s="228"/>
      <c r="AU215" s="228"/>
      <c r="AV215" s="228"/>
      <c r="AW215" s="228"/>
      <c r="AX215" s="228"/>
      <c r="AY215" s="228"/>
      <c r="AZ215" s="228"/>
      <c r="BA215" s="228"/>
      <c r="BB215" s="228"/>
      <c r="BC215" s="228"/>
      <c r="BD215" s="228"/>
      <c r="BE215" s="228"/>
      <c r="BF215" s="228"/>
      <c r="BG215" s="228"/>
      <c r="BH215" s="228"/>
      <c r="BI215" s="228"/>
      <c r="BJ215" s="228"/>
      <c r="BK215" s="228"/>
      <c r="BL215" s="228"/>
      <c r="BM215" s="228"/>
      <c r="BN215" s="228"/>
      <c r="BO215" s="228"/>
      <c r="BP215" s="228"/>
      <c r="BQ215" s="228"/>
      <c r="BR215" s="228"/>
      <c r="BS215" s="228"/>
      <c r="BT215" s="228"/>
      <c r="BU215" s="228"/>
      <c r="BV215" s="228"/>
      <c r="BW215" s="228"/>
      <c r="BX215" s="228"/>
      <c r="BY215" s="228"/>
      <c r="BZ215" s="228"/>
      <c r="CA215" s="228"/>
      <c r="CB215" s="228"/>
      <c r="CC215" s="228"/>
      <c r="CD215" s="228"/>
      <c r="CE215" s="228"/>
      <c r="CF215" s="228"/>
      <c r="CG215" s="228"/>
      <c r="CH215" s="228"/>
      <c r="CI215" s="228"/>
      <c r="CJ215" s="228"/>
      <c r="CK215" s="228"/>
      <c r="CL215" s="228"/>
      <c r="CM215" s="228"/>
      <c r="CN215" s="228"/>
      <c r="CO215" s="228"/>
      <c r="CP215" s="228"/>
      <c r="CQ215" s="228"/>
      <c r="CR215" s="228"/>
      <c r="CS215" s="228"/>
      <c r="CT215" s="228"/>
      <c r="CU215" s="228"/>
      <c r="CV215" s="228"/>
      <c r="CW215" s="228"/>
      <c r="CX215" s="228"/>
      <c r="CY215" s="228"/>
      <c r="CZ215" s="228"/>
      <c r="DA215" s="228"/>
      <c r="DB215" s="228"/>
    </row>
    <row r="216" ht="12.0" customHeight="1">
      <c r="A216" s="228"/>
      <c r="B216" s="228"/>
      <c r="C216" s="228"/>
      <c r="D216" s="228"/>
      <c r="E216" s="228"/>
      <c r="F216" s="228"/>
      <c r="G216" s="228"/>
      <c r="H216" s="228"/>
      <c r="I216" s="228"/>
      <c r="J216" s="228"/>
      <c r="K216" s="228"/>
      <c r="L216" s="228"/>
      <c r="M216" s="228"/>
      <c r="N216" s="228"/>
      <c r="O216" s="228"/>
      <c r="P216" s="228"/>
      <c r="Q216" s="228"/>
      <c r="R216" s="228"/>
      <c r="S216" s="228"/>
      <c r="T216" s="228"/>
      <c r="U216" s="228"/>
      <c r="V216" s="228"/>
      <c r="W216" s="228"/>
      <c r="X216" s="228"/>
      <c r="Y216" s="228"/>
      <c r="Z216" s="228"/>
      <c r="AA216" s="228"/>
      <c r="AB216" s="228"/>
      <c r="AC216" s="228"/>
      <c r="AD216" s="228"/>
      <c r="AE216" s="228"/>
      <c r="AF216" s="228"/>
      <c r="AG216" s="228"/>
      <c r="AH216" s="228"/>
      <c r="AI216" s="228"/>
      <c r="AJ216" s="228"/>
      <c r="AK216" s="228"/>
      <c r="AL216" s="228"/>
      <c r="AM216" s="228"/>
      <c r="AN216" s="228"/>
      <c r="AO216" s="228"/>
      <c r="AP216" s="228"/>
      <c r="AQ216" s="228"/>
      <c r="AR216" s="228"/>
      <c r="AS216" s="228"/>
      <c r="AT216" s="228"/>
      <c r="AU216" s="228"/>
      <c r="AV216" s="228"/>
      <c r="AW216" s="228"/>
      <c r="AX216" s="228"/>
      <c r="AY216" s="228"/>
      <c r="AZ216" s="228"/>
      <c r="BA216" s="228"/>
      <c r="BB216" s="228"/>
      <c r="BC216" s="228"/>
      <c r="BD216" s="228"/>
      <c r="BE216" s="228"/>
      <c r="BF216" s="228"/>
      <c r="BG216" s="228"/>
      <c r="BH216" s="228"/>
      <c r="BI216" s="228"/>
      <c r="BJ216" s="228"/>
      <c r="BK216" s="228"/>
      <c r="BL216" s="228"/>
      <c r="BM216" s="228"/>
      <c r="BN216" s="228"/>
      <c r="BO216" s="228"/>
      <c r="BP216" s="228"/>
      <c r="BQ216" s="228"/>
      <c r="BR216" s="228"/>
      <c r="BS216" s="228"/>
      <c r="BT216" s="228"/>
      <c r="BU216" s="228"/>
      <c r="BV216" s="228"/>
      <c r="BW216" s="228"/>
      <c r="BX216" s="228"/>
      <c r="BY216" s="228"/>
      <c r="BZ216" s="228"/>
      <c r="CA216" s="228"/>
      <c r="CB216" s="228"/>
      <c r="CC216" s="228"/>
      <c r="CD216" s="228"/>
      <c r="CE216" s="228"/>
      <c r="CF216" s="228"/>
      <c r="CG216" s="228"/>
      <c r="CH216" s="228"/>
      <c r="CI216" s="228"/>
      <c r="CJ216" s="228"/>
      <c r="CK216" s="228"/>
      <c r="CL216" s="228"/>
      <c r="CM216" s="228"/>
      <c r="CN216" s="228"/>
      <c r="CO216" s="228"/>
      <c r="CP216" s="228"/>
      <c r="CQ216" s="228"/>
      <c r="CR216" s="228"/>
      <c r="CS216" s="228"/>
      <c r="CT216" s="228"/>
      <c r="CU216" s="228"/>
      <c r="CV216" s="228"/>
      <c r="CW216" s="228"/>
      <c r="CX216" s="228"/>
      <c r="CY216" s="228"/>
      <c r="CZ216" s="228"/>
      <c r="DA216" s="228"/>
      <c r="DB216" s="228"/>
    </row>
    <row r="217" ht="12.0" customHeight="1">
      <c r="A217" s="228"/>
      <c r="B217" s="228"/>
      <c r="C217" s="228"/>
      <c r="D217" s="228"/>
      <c r="E217" s="228"/>
      <c r="F217" s="228"/>
      <c r="G217" s="228"/>
      <c r="H217" s="228"/>
      <c r="I217" s="228"/>
      <c r="J217" s="228"/>
      <c r="K217" s="228"/>
      <c r="L217" s="228"/>
      <c r="M217" s="228"/>
      <c r="N217" s="228"/>
      <c r="O217" s="228"/>
      <c r="P217" s="228"/>
      <c r="Q217" s="228"/>
      <c r="R217" s="228"/>
      <c r="S217" s="228"/>
      <c r="T217" s="228"/>
      <c r="U217" s="228"/>
      <c r="V217" s="228"/>
      <c r="W217" s="228"/>
      <c r="X217" s="228"/>
      <c r="Y217" s="228"/>
      <c r="Z217" s="228"/>
      <c r="AA217" s="228"/>
      <c r="AB217" s="228"/>
      <c r="AC217" s="228"/>
      <c r="AD217" s="228"/>
      <c r="AE217" s="228"/>
      <c r="AF217" s="228"/>
      <c r="AG217" s="228"/>
      <c r="AH217" s="228"/>
      <c r="AI217" s="228"/>
      <c r="AJ217" s="228"/>
      <c r="AK217" s="228"/>
      <c r="AL217" s="228"/>
      <c r="AM217" s="228"/>
      <c r="AN217" s="228"/>
      <c r="AO217" s="228"/>
      <c r="AP217" s="228"/>
      <c r="AQ217" s="228"/>
      <c r="AR217" s="228"/>
      <c r="AS217" s="228"/>
      <c r="AT217" s="228"/>
      <c r="AU217" s="228"/>
      <c r="AV217" s="228"/>
      <c r="AW217" s="228"/>
      <c r="AX217" s="228"/>
      <c r="AY217" s="228"/>
      <c r="AZ217" s="228"/>
      <c r="BA217" s="228"/>
      <c r="BB217" s="228"/>
      <c r="BC217" s="228"/>
      <c r="BD217" s="228"/>
      <c r="BE217" s="228"/>
      <c r="BF217" s="228"/>
      <c r="BG217" s="228"/>
      <c r="BH217" s="228"/>
      <c r="BI217" s="228"/>
      <c r="BJ217" s="228"/>
      <c r="BK217" s="228"/>
      <c r="BL217" s="228"/>
      <c r="BM217" s="228"/>
      <c r="BN217" s="228"/>
      <c r="BO217" s="228"/>
      <c r="BP217" s="228"/>
      <c r="BQ217" s="228"/>
      <c r="BR217" s="228"/>
      <c r="BS217" s="228"/>
      <c r="BT217" s="228"/>
      <c r="BU217" s="228"/>
      <c r="BV217" s="228"/>
      <c r="BW217" s="228"/>
      <c r="BX217" s="228"/>
      <c r="BY217" s="228"/>
      <c r="BZ217" s="228"/>
      <c r="CA217" s="228"/>
      <c r="CB217" s="228"/>
      <c r="CC217" s="228"/>
      <c r="CD217" s="228"/>
      <c r="CE217" s="228"/>
      <c r="CF217" s="228"/>
      <c r="CG217" s="228"/>
      <c r="CH217" s="228"/>
      <c r="CI217" s="228"/>
      <c r="CJ217" s="228"/>
      <c r="CK217" s="228"/>
      <c r="CL217" s="228"/>
      <c r="CM217" s="228"/>
      <c r="CN217" s="228"/>
      <c r="CO217" s="228"/>
      <c r="CP217" s="228"/>
      <c r="CQ217" s="228"/>
      <c r="CR217" s="228"/>
      <c r="CS217" s="228"/>
      <c r="CT217" s="228"/>
      <c r="CU217" s="228"/>
      <c r="CV217" s="228"/>
      <c r="CW217" s="228"/>
      <c r="CX217" s="228"/>
      <c r="CY217" s="228"/>
      <c r="CZ217" s="228"/>
      <c r="DA217" s="228"/>
      <c r="DB217" s="228"/>
    </row>
    <row r="218" ht="12.0" customHeight="1">
      <c r="A218" s="228"/>
      <c r="B218" s="228"/>
      <c r="C218" s="228"/>
      <c r="D218" s="228"/>
      <c r="E218" s="228"/>
      <c r="F218" s="228"/>
      <c r="G218" s="228"/>
      <c r="H218" s="228"/>
      <c r="I218" s="228"/>
      <c r="J218" s="228"/>
      <c r="K218" s="228"/>
      <c r="L218" s="228"/>
      <c r="M218" s="228"/>
      <c r="N218" s="228"/>
      <c r="O218" s="228"/>
      <c r="P218" s="228"/>
      <c r="Q218" s="228"/>
      <c r="R218" s="228"/>
      <c r="S218" s="228"/>
      <c r="T218" s="228"/>
      <c r="U218" s="228"/>
      <c r="V218" s="228"/>
      <c r="W218" s="228"/>
      <c r="X218" s="228"/>
      <c r="Y218" s="228"/>
      <c r="Z218" s="228"/>
      <c r="AA218" s="228"/>
      <c r="AB218" s="228"/>
      <c r="AC218" s="228"/>
      <c r="AD218" s="228"/>
      <c r="AE218" s="228"/>
      <c r="AF218" s="228"/>
      <c r="AG218" s="228"/>
      <c r="AH218" s="228"/>
      <c r="AI218" s="228"/>
      <c r="AJ218" s="228"/>
      <c r="AK218" s="228"/>
      <c r="AL218" s="228"/>
      <c r="AM218" s="228"/>
      <c r="AN218" s="228"/>
      <c r="AO218" s="228"/>
      <c r="AP218" s="228"/>
      <c r="AQ218" s="228"/>
      <c r="AR218" s="228"/>
      <c r="AS218" s="228"/>
      <c r="AT218" s="228"/>
      <c r="AU218" s="228"/>
      <c r="AV218" s="228"/>
      <c r="AW218" s="228"/>
      <c r="AX218" s="228"/>
      <c r="AY218" s="228"/>
      <c r="AZ218" s="228"/>
      <c r="BA218" s="228"/>
      <c r="BB218" s="228"/>
      <c r="BC218" s="228"/>
      <c r="BD218" s="228"/>
      <c r="BE218" s="228"/>
      <c r="BF218" s="228"/>
      <c r="BG218" s="228"/>
      <c r="BH218" s="228"/>
      <c r="BI218" s="228"/>
      <c r="BJ218" s="228"/>
      <c r="BK218" s="228"/>
      <c r="BL218" s="228"/>
      <c r="BM218" s="228"/>
      <c r="BN218" s="228"/>
      <c r="BO218" s="228"/>
      <c r="BP218" s="228"/>
      <c r="BQ218" s="228"/>
      <c r="BR218" s="228"/>
      <c r="BS218" s="228"/>
      <c r="BT218" s="228"/>
      <c r="BU218" s="228"/>
      <c r="BV218" s="228"/>
      <c r="BW218" s="228"/>
      <c r="BX218" s="228"/>
      <c r="BY218" s="228"/>
      <c r="BZ218" s="228"/>
      <c r="CA218" s="228"/>
      <c r="CB218" s="228"/>
      <c r="CC218" s="228"/>
      <c r="CD218" s="228"/>
      <c r="CE218" s="228"/>
      <c r="CF218" s="228"/>
      <c r="CG218" s="228"/>
      <c r="CH218" s="228"/>
      <c r="CI218" s="228"/>
      <c r="CJ218" s="228"/>
      <c r="CK218" s="228"/>
      <c r="CL218" s="228"/>
      <c r="CM218" s="228"/>
      <c r="CN218" s="228"/>
      <c r="CO218" s="228"/>
      <c r="CP218" s="228"/>
      <c r="CQ218" s="228"/>
      <c r="CR218" s="228"/>
      <c r="CS218" s="228"/>
      <c r="CT218" s="228"/>
      <c r="CU218" s="228"/>
      <c r="CV218" s="228"/>
      <c r="CW218" s="228"/>
      <c r="CX218" s="228"/>
      <c r="CY218" s="228"/>
      <c r="CZ218" s="228"/>
      <c r="DA218" s="228"/>
      <c r="DB218" s="228"/>
    </row>
    <row r="219" ht="12.0" customHeight="1">
      <c r="A219" s="228"/>
      <c r="B219" s="228"/>
      <c r="C219" s="228"/>
      <c r="D219" s="228"/>
      <c r="E219" s="228"/>
      <c r="F219" s="228"/>
      <c r="G219" s="228"/>
      <c r="H219" s="228"/>
      <c r="I219" s="228"/>
      <c r="J219" s="228"/>
      <c r="K219" s="228"/>
      <c r="L219" s="228"/>
      <c r="M219" s="228"/>
      <c r="N219" s="228"/>
      <c r="O219" s="228"/>
      <c r="P219" s="228"/>
      <c r="Q219" s="228"/>
      <c r="R219" s="228"/>
      <c r="S219" s="228"/>
      <c r="T219" s="228"/>
      <c r="U219" s="228"/>
      <c r="V219" s="228"/>
      <c r="W219" s="228"/>
      <c r="X219" s="228"/>
      <c r="Y219" s="228"/>
      <c r="Z219" s="228"/>
      <c r="AA219" s="228"/>
      <c r="AB219" s="228"/>
      <c r="AC219" s="228"/>
      <c r="AD219" s="228"/>
      <c r="AE219" s="228"/>
      <c r="AF219" s="228"/>
      <c r="AG219" s="228"/>
      <c r="AH219" s="228"/>
      <c r="AI219" s="228"/>
      <c r="AJ219" s="228"/>
      <c r="AK219" s="228"/>
      <c r="AL219" s="228"/>
      <c r="AM219" s="228"/>
      <c r="AN219" s="228"/>
      <c r="AO219" s="228"/>
      <c r="AP219" s="228"/>
      <c r="AQ219" s="228"/>
      <c r="AR219" s="228"/>
      <c r="AS219" s="228"/>
      <c r="AT219" s="228"/>
      <c r="AU219" s="228"/>
      <c r="AV219" s="228"/>
      <c r="AW219" s="228"/>
      <c r="AX219" s="228"/>
      <c r="AY219" s="228"/>
      <c r="AZ219" s="228"/>
      <c r="BA219" s="228"/>
      <c r="BB219" s="228"/>
      <c r="BC219" s="228"/>
      <c r="BD219" s="228"/>
      <c r="BE219" s="228"/>
      <c r="BF219" s="228"/>
      <c r="BG219" s="228"/>
      <c r="BH219" s="228"/>
      <c r="BI219" s="228"/>
      <c r="BJ219" s="228"/>
      <c r="BK219" s="228"/>
      <c r="BL219" s="228"/>
      <c r="BM219" s="228"/>
      <c r="BN219" s="228"/>
      <c r="BO219" s="228"/>
      <c r="BP219" s="228"/>
      <c r="BQ219" s="228"/>
      <c r="BR219" s="228"/>
      <c r="BS219" s="228"/>
      <c r="BT219" s="228"/>
      <c r="BU219" s="228"/>
      <c r="BV219" s="228"/>
      <c r="BW219" s="228"/>
      <c r="BX219" s="228"/>
      <c r="BY219" s="228"/>
      <c r="BZ219" s="228"/>
      <c r="CA219" s="228"/>
      <c r="CB219" s="228"/>
      <c r="CC219" s="228"/>
      <c r="CD219" s="228"/>
      <c r="CE219" s="228"/>
      <c r="CF219" s="228"/>
      <c r="CG219" s="228"/>
      <c r="CH219" s="228"/>
      <c r="CI219" s="228"/>
      <c r="CJ219" s="228"/>
      <c r="CK219" s="228"/>
      <c r="CL219" s="228"/>
      <c r="CM219" s="228"/>
      <c r="CN219" s="228"/>
      <c r="CO219" s="228"/>
      <c r="CP219" s="228"/>
      <c r="CQ219" s="228"/>
      <c r="CR219" s="228"/>
      <c r="CS219" s="228"/>
      <c r="CT219" s="228"/>
      <c r="CU219" s="228"/>
      <c r="CV219" s="228"/>
      <c r="CW219" s="228"/>
      <c r="CX219" s="228"/>
      <c r="CY219" s="228"/>
      <c r="CZ219" s="228"/>
      <c r="DA219" s="228"/>
      <c r="DB219" s="228"/>
    </row>
    <row r="220" ht="12.0" customHeight="1">
      <c r="A220" s="228"/>
      <c r="B220" s="228"/>
      <c r="C220" s="228"/>
      <c r="D220" s="228"/>
      <c r="E220" s="228"/>
      <c r="F220" s="228"/>
      <c r="G220" s="228"/>
      <c r="H220" s="228"/>
      <c r="I220" s="228"/>
      <c r="J220" s="228"/>
      <c r="K220" s="228"/>
      <c r="L220" s="228"/>
      <c r="M220" s="228"/>
      <c r="N220" s="228"/>
      <c r="O220" s="228"/>
      <c r="P220" s="228"/>
      <c r="Q220" s="228"/>
      <c r="R220" s="228"/>
      <c r="S220" s="228"/>
      <c r="T220" s="228"/>
      <c r="U220" s="228"/>
      <c r="V220" s="228"/>
      <c r="W220" s="228"/>
      <c r="X220" s="228"/>
      <c r="Y220" s="228"/>
      <c r="Z220" s="228"/>
      <c r="AA220" s="228"/>
      <c r="AB220" s="228"/>
      <c r="AC220" s="228"/>
      <c r="AD220" s="228"/>
      <c r="AE220" s="228"/>
      <c r="AF220" s="228"/>
      <c r="AG220" s="228"/>
      <c r="AH220" s="228"/>
      <c r="AI220" s="228"/>
      <c r="AJ220" s="228"/>
      <c r="AK220" s="228"/>
      <c r="AL220" s="228"/>
      <c r="AM220" s="228"/>
      <c r="AN220" s="228"/>
      <c r="AO220" s="228"/>
      <c r="AP220" s="228"/>
      <c r="AQ220" s="228"/>
      <c r="AR220" s="228"/>
      <c r="AS220" s="228"/>
      <c r="AT220" s="228"/>
      <c r="AU220" s="228"/>
      <c r="AV220" s="228"/>
      <c r="AW220" s="228"/>
      <c r="AX220" s="228"/>
      <c r="AY220" s="228"/>
      <c r="AZ220" s="228"/>
      <c r="BA220" s="228"/>
      <c r="BB220" s="228"/>
      <c r="BC220" s="228"/>
      <c r="BD220" s="228"/>
      <c r="BE220" s="228"/>
      <c r="BF220" s="228"/>
      <c r="BG220" s="228"/>
      <c r="BH220" s="228"/>
      <c r="BI220" s="228"/>
      <c r="BJ220" s="228"/>
      <c r="BK220" s="228"/>
      <c r="BL220" s="228"/>
      <c r="BM220" s="228"/>
      <c r="BN220" s="228"/>
      <c r="BO220" s="228"/>
      <c r="BP220" s="228"/>
      <c r="BQ220" s="228"/>
      <c r="BR220" s="228"/>
      <c r="BS220" s="228"/>
      <c r="BT220" s="228"/>
      <c r="BU220" s="228"/>
      <c r="BV220" s="228"/>
      <c r="BW220" s="228"/>
      <c r="BX220" s="228"/>
      <c r="BY220" s="228"/>
      <c r="BZ220" s="228"/>
      <c r="CA220" s="228"/>
      <c r="CB220" s="228"/>
      <c r="CC220" s="228"/>
      <c r="CD220" s="228"/>
      <c r="CE220" s="228"/>
      <c r="CF220" s="228"/>
      <c r="CG220" s="228"/>
      <c r="CH220" s="228"/>
      <c r="CI220" s="228"/>
      <c r="CJ220" s="228"/>
      <c r="CK220" s="228"/>
      <c r="CL220" s="228"/>
      <c r="CM220" s="228"/>
      <c r="CN220" s="228"/>
      <c r="CO220" s="228"/>
      <c r="CP220" s="228"/>
      <c r="CQ220" s="228"/>
      <c r="CR220" s="228"/>
      <c r="CS220" s="228"/>
      <c r="CT220" s="228"/>
      <c r="CU220" s="228"/>
      <c r="CV220" s="228"/>
      <c r="CW220" s="228"/>
      <c r="CX220" s="228"/>
      <c r="CY220" s="228"/>
      <c r="CZ220" s="228"/>
      <c r="DA220" s="228"/>
      <c r="DB220" s="228"/>
    </row>
    <row r="221" ht="12.0" customHeight="1">
      <c r="A221" s="228"/>
      <c r="B221" s="228"/>
      <c r="C221" s="228"/>
      <c r="D221" s="228"/>
      <c r="E221" s="228"/>
      <c r="F221" s="228"/>
      <c r="G221" s="228"/>
      <c r="H221" s="228"/>
      <c r="I221" s="228"/>
      <c r="J221" s="228"/>
      <c r="K221" s="228"/>
      <c r="L221" s="228"/>
      <c r="M221" s="228"/>
      <c r="N221" s="228"/>
      <c r="O221" s="228"/>
      <c r="P221" s="228"/>
      <c r="Q221" s="228"/>
      <c r="R221" s="228"/>
      <c r="S221" s="228"/>
      <c r="T221" s="228"/>
      <c r="U221" s="228"/>
      <c r="V221" s="228"/>
      <c r="W221" s="228"/>
      <c r="X221" s="228"/>
      <c r="Y221" s="228"/>
      <c r="Z221" s="228"/>
      <c r="AA221" s="228"/>
      <c r="AB221" s="228"/>
      <c r="AC221" s="228"/>
      <c r="AD221" s="228"/>
      <c r="AE221" s="228"/>
      <c r="AF221" s="228"/>
      <c r="AG221" s="228"/>
      <c r="AH221" s="228"/>
      <c r="AI221" s="228"/>
      <c r="AJ221" s="228"/>
      <c r="AK221" s="228"/>
      <c r="AL221" s="228"/>
      <c r="AM221" s="228"/>
      <c r="AN221" s="228"/>
      <c r="AO221" s="228"/>
      <c r="AP221" s="228"/>
      <c r="AQ221" s="228"/>
      <c r="AR221" s="228"/>
      <c r="AS221" s="228"/>
      <c r="AT221" s="228"/>
      <c r="AU221" s="228"/>
      <c r="AV221" s="228"/>
      <c r="AW221" s="228"/>
      <c r="AX221" s="228"/>
      <c r="AY221" s="228"/>
      <c r="AZ221" s="228"/>
      <c r="BA221" s="228"/>
      <c r="BB221" s="228"/>
      <c r="BC221" s="228"/>
      <c r="BD221" s="228"/>
      <c r="BE221" s="228"/>
      <c r="BF221" s="228"/>
      <c r="BG221" s="228"/>
      <c r="BH221" s="228"/>
      <c r="BI221" s="228"/>
      <c r="BJ221" s="228"/>
      <c r="BK221" s="228"/>
      <c r="BL221" s="228"/>
      <c r="BM221" s="228"/>
      <c r="BN221" s="228"/>
      <c r="BO221" s="228"/>
      <c r="BP221" s="228"/>
      <c r="BQ221" s="228"/>
      <c r="BR221" s="228"/>
      <c r="BS221" s="228"/>
      <c r="BT221" s="228"/>
      <c r="BU221" s="228"/>
      <c r="BV221" s="228"/>
      <c r="BW221" s="228"/>
      <c r="BX221" s="228"/>
      <c r="BY221" s="228"/>
      <c r="BZ221" s="228"/>
      <c r="CA221" s="228"/>
      <c r="CB221" s="228"/>
      <c r="CC221" s="228"/>
      <c r="CD221" s="228"/>
      <c r="CE221" s="228"/>
      <c r="CF221" s="228"/>
      <c r="CG221" s="228"/>
      <c r="CH221" s="228"/>
      <c r="CI221" s="228"/>
      <c r="CJ221" s="228"/>
      <c r="CK221" s="228"/>
      <c r="CL221" s="228"/>
      <c r="CM221" s="228"/>
      <c r="CN221" s="228"/>
      <c r="CO221" s="228"/>
      <c r="CP221" s="228"/>
      <c r="CQ221" s="228"/>
      <c r="CR221" s="228"/>
      <c r="CS221" s="228"/>
      <c r="CT221" s="228"/>
      <c r="CU221" s="228"/>
      <c r="CV221" s="228"/>
      <c r="CW221" s="228"/>
      <c r="CX221" s="228"/>
      <c r="CY221" s="228"/>
      <c r="CZ221" s="228"/>
      <c r="DA221" s="228"/>
      <c r="DB221" s="228"/>
    </row>
    <row r="222" ht="12.0" customHeight="1">
      <c r="A222" s="228"/>
      <c r="B222" s="228"/>
      <c r="C222" s="228"/>
      <c r="D222" s="228"/>
      <c r="E222" s="228"/>
      <c r="F222" s="228"/>
      <c r="G222" s="228"/>
      <c r="H222" s="228"/>
      <c r="I222" s="228"/>
      <c r="J222" s="228"/>
      <c r="K222" s="228"/>
      <c r="L222" s="228"/>
      <c r="M222" s="228"/>
      <c r="N222" s="228"/>
      <c r="O222" s="228"/>
      <c r="P222" s="228"/>
      <c r="Q222" s="228"/>
      <c r="R222" s="228"/>
      <c r="S222" s="228"/>
      <c r="T222" s="228"/>
      <c r="U222" s="228"/>
      <c r="V222" s="228"/>
      <c r="W222" s="228"/>
      <c r="X222" s="228"/>
      <c r="Y222" s="228"/>
      <c r="Z222" s="228"/>
      <c r="AA222" s="228"/>
      <c r="AB222" s="228"/>
      <c r="AC222" s="228"/>
      <c r="AD222" s="228"/>
      <c r="AE222" s="228"/>
      <c r="AF222" s="228"/>
      <c r="AG222" s="228"/>
      <c r="AH222" s="228"/>
      <c r="AI222" s="228"/>
      <c r="AJ222" s="228"/>
      <c r="AK222" s="228"/>
      <c r="AL222" s="228"/>
      <c r="AM222" s="228"/>
      <c r="AN222" s="228"/>
      <c r="AO222" s="228"/>
      <c r="AP222" s="228"/>
      <c r="AQ222" s="228"/>
      <c r="AR222" s="228"/>
      <c r="AS222" s="228"/>
      <c r="AT222" s="228"/>
      <c r="AU222" s="228"/>
      <c r="AV222" s="228"/>
      <c r="AW222" s="228"/>
      <c r="AX222" s="228"/>
      <c r="AY222" s="228"/>
      <c r="AZ222" s="228"/>
      <c r="BA222" s="228"/>
      <c r="BB222" s="228"/>
      <c r="BC222" s="228"/>
      <c r="BD222" s="228"/>
      <c r="BE222" s="228"/>
      <c r="BF222" s="228"/>
      <c r="BG222" s="228"/>
      <c r="BH222" s="228"/>
      <c r="BI222" s="228"/>
      <c r="BJ222" s="228"/>
      <c r="BK222" s="228"/>
      <c r="BL222" s="228"/>
      <c r="BM222" s="228"/>
      <c r="BN222" s="228"/>
      <c r="BO222" s="228"/>
      <c r="BP222" s="228"/>
      <c r="BQ222" s="228"/>
      <c r="BR222" s="228"/>
      <c r="BS222" s="228"/>
      <c r="BT222" s="228"/>
      <c r="BU222" s="228"/>
      <c r="BV222" s="228"/>
      <c r="BW222" s="228"/>
      <c r="BX222" s="228"/>
      <c r="BY222" s="228"/>
      <c r="BZ222" s="228"/>
      <c r="CA222" s="228"/>
      <c r="CB222" s="228"/>
      <c r="CC222" s="228"/>
      <c r="CD222" s="228"/>
      <c r="CE222" s="228"/>
      <c r="CF222" s="228"/>
      <c r="CG222" s="228"/>
      <c r="CH222" s="228"/>
      <c r="CI222" s="228"/>
      <c r="CJ222" s="228"/>
      <c r="CK222" s="228"/>
      <c r="CL222" s="228"/>
      <c r="CM222" s="228"/>
      <c r="CN222" s="228"/>
      <c r="CO222" s="228"/>
      <c r="CP222" s="228"/>
      <c r="CQ222" s="228"/>
      <c r="CR222" s="228"/>
      <c r="CS222" s="228"/>
      <c r="CT222" s="228"/>
      <c r="CU222" s="228"/>
      <c r="CV222" s="228"/>
      <c r="CW222" s="228"/>
      <c r="CX222" s="228"/>
      <c r="CY222" s="228"/>
      <c r="CZ222" s="228"/>
      <c r="DA222" s="228"/>
      <c r="DB222" s="228"/>
    </row>
    <row r="223" ht="12.0" customHeight="1">
      <c r="A223" s="228"/>
      <c r="B223" s="228"/>
      <c r="C223" s="228"/>
      <c r="D223" s="228"/>
      <c r="E223" s="228"/>
      <c r="F223" s="228"/>
      <c r="G223" s="228"/>
      <c r="H223" s="228"/>
      <c r="I223" s="228"/>
      <c r="J223" s="228"/>
      <c r="K223" s="228"/>
      <c r="L223" s="228"/>
      <c r="M223" s="228"/>
      <c r="N223" s="228"/>
      <c r="O223" s="228"/>
      <c r="P223" s="228"/>
      <c r="Q223" s="228"/>
      <c r="R223" s="228"/>
      <c r="S223" s="228"/>
      <c r="T223" s="228"/>
      <c r="U223" s="228"/>
      <c r="V223" s="228"/>
      <c r="W223" s="228"/>
      <c r="X223" s="228"/>
      <c r="Y223" s="228"/>
      <c r="Z223" s="228"/>
      <c r="AA223" s="228"/>
      <c r="AB223" s="228"/>
      <c r="AC223" s="228"/>
      <c r="AD223" s="228"/>
      <c r="AE223" s="228"/>
      <c r="AF223" s="228"/>
      <c r="AG223" s="228"/>
      <c r="AH223" s="228"/>
      <c r="AI223" s="228"/>
      <c r="AJ223" s="228"/>
      <c r="AK223" s="228"/>
      <c r="AL223" s="228"/>
      <c r="AM223" s="228"/>
      <c r="AN223" s="228"/>
      <c r="AO223" s="228"/>
      <c r="AP223" s="228"/>
      <c r="AQ223" s="228"/>
      <c r="AR223" s="228"/>
      <c r="AS223" s="228"/>
      <c r="AT223" s="228"/>
      <c r="AU223" s="228"/>
      <c r="AV223" s="228"/>
      <c r="AW223" s="228"/>
      <c r="AX223" s="228"/>
      <c r="AY223" s="228"/>
      <c r="AZ223" s="228"/>
      <c r="BA223" s="228"/>
      <c r="BB223" s="228"/>
      <c r="BC223" s="228"/>
      <c r="BD223" s="228"/>
      <c r="BE223" s="228"/>
      <c r="BF223" s="228"/>
      <c r="BG223" s="228"/>
      <c r="BH223" s="228"/>
      <c r="BI223" s="228"/>
      <c r="BJ223" s="228"/>
      <c r="BK223" s="228"/>
      <c r="BL223" s="228"/>
      <c r="BM223" s="228"/>
      <c r="BN223" s="228"/>
      <c r="BO223" s="228"/>
      <c r="BP223" s="228"/>
      <c r="BQ223" s="228"/>
      <c r="BR223" s="228"/>
      <c r="BS223" s="228"/>
      <c r="BT223" s="228"/>
      <c r="BU223" s="228"/>
      <c r="BV223" s="228"/>
      <c r="BW223" s="228"/>
      <c r="BX223" s="228"/>
      <c r="BY223" s="228"/>
      <c r="BZ223" s="228"/>
      <c r="CA223" s="228"/>
      <c r="CB223" s="228"/>
      <c r="CC223" s="228"/>
      <c r="CD223" s="228"/>
      <c r="CE223" s="228"/>
      <c r="CF223" s="228"/>
      <c r="CG223" s="228"/>
      <c r="CH223" s="228"/>
      <c r="CI223" s="228"/>
      <c r="CJ223" s="228"/>
      <c r="CK223" s="228"/>
      <c r="CL223" s="228"/>
      <c r="CM223" s="228"/>
      <c r="CN223" s="228"/>
      <c r="CO223" s="228"/>
      <c r="CP223" s="228"/>
      <c r="CQ223" s="228"/>
      <c r="CR223" s="228"/>
      <c r="CS223" s="228"/>
      <c r="CT223" s="228"/>
      <c r="CU223" s="228"/>
      <c r="CV223" s="228"/>
      <c r="CW223" s="228"/>
      <c r="CX223" s="228"/>
      <c r="CY223" s="228"/>
      <c r="CZ223" s="228"/>
      <c r="DA223" s="228"/>
      <c r="DB223" s="228"/>
    </row>
    <row r="224" ht="12.0" customHeight="1">
      <c r="A224" s="228"/>
      <c r="B224" s="228"/>
      <c r="C224" s="228"/>
      <c r="D224" s="228"/>
      <c r="E224" s="228"/>
      <c r="F224" s="228"/>
      <c r="G224" s="228"/>
      <c r="H224" s="228"/>
      <c r="I224" s="228"/>
      <c r="J224" s="228"/>
      <c r="K224" s="228"/>
      <c r="L224" s="228"/>
      <c r="M224" s="228"/>
      <c r="N224" s="228"/>
      <c r="O224" s="228"/>
      <c r="P224" s="228"/>
      <c r="Q224" s="228"/>
      <c r="R224" s="228"/>
      <c r="S224" s="228"/>
      <c r="T224" s="228"/>
      <c r="U224" s="228"/>
      <c r="V224" s="228"/>
      <c r="W224" s="228"/>
      <c r="X224" s="228"/>
      <c r="Y224" s="228"/>
      <c r="Z224" s="228"/>
      <c r="AA224" s="228"/>
      <c r="AB224" s="228"/>
      <c r="AC224" s="228"/>
      <c r="AD224" s="228"/>
      <c r="AE224" s="228"/>
      <c r="AF224" s="228"/>
      <c r="AG224" s="228"/>
      <c r="AH224" s="228"/>
      <c r="AI224" s="228"/>
      <c r="AJ224" s="228"/>
      <c r="AK224" s="228"/>
      <c r="AL224" s="228"/>
      <c r="AM224" s="228"/>
      <c r="AN224" s="228"/>
      <c r="AO224" s="228"/>
      <c r="AP224" s="228"/>
      <c r="AQ224" s="228"/>
      <c r="AR224" s="228"/>
      <c r="AS224" s="228"/>
      <c r="AT224" s="228"/>
      <c r="AU224" s="228"/>
      <c r="AV224" s="228"/>
      <c r="AW224" s="228"/>
      <c r="AX224" s="228"/>
      <c r="AY224" s="228"/>
      <c r="AZ224" s="228"/>
      <c r="BA224" s="228"/>
      <c r="BB224" s="228"/>
      <c r="BC224" s="228"/>
      <c r="BD224" s="228"/>
      <c r="BE224" s="228"/>
      <c r="BF224" s="228"/>
      <c r="BG224" s="228"/>
      <c r="BH224" s="228"/>
      <c r="BI224" s="228"/>
      <c r="BJ224" s="228"/>
      <c r="BK224" s="228"/>
      <c r="BL224" s="228"/>
      <c r="BM224" s="228"/>
      <c r="BN224" s="228"/>
      <c r="BO224" s="228"/>
      <c r="BP224" s="228"/>
      <c r="BQ224" s="228"/>
      <c r="BR224" s="228"/>
      <c r="BS224" s="228"/>
      <c r="BT224" s="228"/>
      <c r="BU224" s="228"/>
      <c r="BV224" s="228"/>
      <c r="BW224" s="228"/>
      <c r="BX224" s="228"/>
      <c r="BY224" s="228"/>
      <c r="BZ224" s="228"/>
      <c r="CA224" s="228"/>
      <c r="CB224" s="228"/>
      <c r="CC224" s="228"/>
      <c r="CD224" s="228"/>
      <c r="CE224" s="228"/>
      <c r="CF224" s="228"/>
      <c r="CG224" s="228"/>
      <c r="CH224" s="228"/>
      <c r="CI224" s="228"/>
      <c r="CJ224" s="228"/>
      <c r="CK224" s="228"/>
      <c r="CL224" s="228"/>
      <c r="CM224" s="228"/>
      <c r="CN224" s="228"/>
      <c r="CO224" s="228"/>
      <c r="CP224" s="228"/>
      <c r="CQ224" s="228"/>
      <c r="CR224" s="228"/>
      <c r="CS224" s="228"/>
      <c r="CT224" s="228"/>
      <c r="CU224" s="228"/>
      <c r="CV224" s="228"/>
      <c r="CW224" s="228"/>
      <c r="CX224" s="228"/>
      <c r="CY224" s="228"/>
      <c r="CZ224" s="228"/>
      <c r="DA224" s="228"/>
      <c r="DB224" s="228"/>
    </row>
    <row r="225" ht="12.0" customHeight="1">
      <c r="A225" s="228"/>
      <c r="B225" s="228"/>
      <c r="C225" s="228"/>
      <c r="D225" s="228"/>
      <c r="E225" s="228"/>
      <c r="F225" s="228"/>
      <c r="G225" s="228"/>
      <c r="H225" s="228"/>
      <c r="I225" s="228"/>
      <c r="J225" s="228"/>
      <c r="K225" s="228"/>
      <c r="L225" s="228"/>
      <c r="M225" s="228"/>
      <c r="N225" s="228"/>
      <c r="O225" s="228"/>
      <c r="P225" s="228"/>
      <c r="Q225" s="228"/>
      <c r="R225" s="228"/>
      <c r="S225" s="228"/>
      <c r="T225" s="228"/>
      <c r="U225" s="228"/>
      <c r="V225" s="228"/>
      <c r="W225" s="228"/>
      <c r="X225" s="228"/>
      <c r="Y225" s="228"/>
      <c r="Z225" s="228"/>
      <c r="AA225" s="228"/>
      <c r="AB225" s="228"/>
      <c r="AC225" s="228"/>
      <c r="AD225" s="228"/>
      <c r="AE225" s="228"/>
      <c r="AF225" s="228"/>
      <c r="AG225" s="228"/>
      <c r="AH225" s="228"/>
      <c r="AI225" s="228"/>
      <c r="AJ225" s="228"/>
      <c r="AK225" s="228"/>
      <c r="AL225" s="228"/>
      <c r="AM225" s="228"/>
      <c r="AN225" s="228"/>
      <c r="AO225" s="228"/>
      <c r="AP225" s="228"/>
      <c r="AQ225" s="228"/>
      <c r="AR225" s="228"/>
      <c r="AS225" s="228"/>
      <c r="AT225" s="228"/>
      <c r="AU225" s="228"/>
      <c r="AV225" s="228"/>
      <c r="AW225" s="228"/>
      <c r="AX225" s="228"/>
      <c r="AY225" s="228"/>
      <c r="AZ225" s="228"/>
      <c r="BA225" s="228"/>
      <c r="BB225" s="228"/>
      <c r="BC225" s="228"/>
      <c r="BD225" s="228"/>
      <c r="BE225" s="228"/>
      <c r="BF225" s="228"/>
      <c r="BG225" s="228"/>
      <c r="BH225" s="228"/>
      <c r="BI225" s="228"/>
      <c r="BJ225" s="228"/>
      <c r="BK225" s="228"/>
      <c r="BL225" s="228"/>
      <c r="BM225" s="228"/>
      <c r="BN225" s="228"/>
      <c r="BO225" s="228"/>
      <c r="BP225" s="228"/>
      <c r="BQ225" s="228"/>
      <c r="BR225" s="228"/>
      <c r="BS225" s="228"/>
      <c r="BT225" s="228"/>
      <c r="BU225" s="228"/>
      <c r="BV225" s="228"/>
      <c r="BW225" s="228"/>
      <c r="BX225" s="228"/>
      <c r="BY225" s="228"/>
      <c r="BZ225" s="228"/>
      <c r="CA225" s="228"/>
      <c r="CB225" s="228"/>
      <c r="CC225" s="228"/>
      <c r="CD225" s="228"/>
      <c r="CE225" s="228"/>
      <c r="CF225" s="228"/>
      <c r="CG225" s="228"/>
      <c r="CH225" s="228"/>
      <c r="CI225" s="228"/>
      <c r="CJ225" s="228"/>
      <c r="CK225" s="228"/>
      <c r="CL225" s="228"/>
      <c r="CM225" s="228"/>
      <c r="CN225" s="228"/>
      <c r="CO225" s="228"/>
      <c r="CP225" s="228"/>
      <c r="CQ225" s="228"/>
      <c r="CR225" s="228"/>
      <c r="CS225" s="228"/>
      <c r="CT225" s="228"/>
      <c r="CU225" s="228"/>
      <c r="CV225" s="228"/>
      <c r="CW225" s="228"/>
      <c r="CX225" s="228"/>
      <c r="CY225" s="228"/>
      <c r="CZ225" s="228"/>
      <c r="DA225" s="228"/>
      <c r="DB225" s="228"/>
    </row>
    <row r="226" ht="12.0" customHeight="1">
      <c r="A226" s="228"/>
      <c r="B226" s="228"/>
      <c r="C226" s="228"/>
      <c r="D226" s="228"/>
      <c r="E226" s="228"/>
      <c r="F226" s="228"/>
      <c r="G226" s="228"/>
      <c r="H226" s="228"/>
      <c r="I226" s="228"/>
      <c r="J226" s="228"/>
      <c r="K226" s="228"/>
      <c r="L226" s="228"/>
      <c r="M226" s="228"/>
      <c r="N226" s="228"/>
      <c r="O226" s="228"/>
      <c r="P226" s="228"/>
      <c r="Q226" s="228"/>
      <c r="R226" s="228"/>
      <c r="S226" s="228"/>
      <c r="T226" s="228"/>
      <c r="U226" s="228"/>
      <c r="V226" s="228"/>
      <c r="W226" s="228"/>
      <c r="X226" s="228"/>
      <c r="Y226" s="228"/>
      <c r="Z226" s="228"/>
      <c r="AA226" s="228"/>
      <c r="AB226" s="228"/>
      <c r="AC226" s="228"/>
      <c r="AD226" s="228"/>
      <c r="AE226" s="228"/>
      <c r="AF226" s="228"/>
      <c r="AG226" s="228"/>
      <c r="AH226" s="228"/>
      <c r="AI226" s="228"/>
      <c r="AJ226" s="228"/>
      <c r="AK226" s="228"/>
      <c r="AL226" s="228"/>
      <c r="AM226" s="228"/>
      <c r="AN226" s="228"/>
      <c r="AO226" s="228"/>
      <c r="AP226" s="228"/>
      <c r="AQ226" s="228"/>
      <c r="AR226" s="228"/>
      <c r="AS226" s="228"/>
      <c r="AT226" s="228"/>
      <c r="AU226" s="228"/>
      <c r="AV226" s="228"/>
      <c r="AW226" s="228"/>
      <c r="AX226" s="228"/>
      <c r="AY226" s="228"/>
      <c r="AZ226" s="228"/>
      <c r="BA226" s="228"/>
      <c r="BB226" s="228"/>
      <c r="BC226" s="228"/>
      <c r="BD226" s="228"/>
      <c r="BE226" s="228"/>
      <c r="BF226" s="228"/>
      <c r="BG226" s="228"/>
      <c r="BH226" s="228"/>
      <c r="BI226" s="228"/>
      <c r="BJ226" s="228"/>
      <c r="BK226" s="228"/>
      <c r="BL226" s="228"/>
      <c r="BM226" s="228"/>
      <c r="BN226" s="228"/>
      <c r="BO226" s="228"/>
      <c r="BP226" s="228"/>
      <c r="BQ226" s="228"/>
      <c r="BR226" s="228"/>
      <c r="BS226" s="228"/>
      <c r="BT226" s="228"/>
      <c r="BU226" s="228"/>
      <c r="BV226" s="228"/>
      <c r="BW226" s="228"/>
      <c r="BX226" s="228"/>
      <c r="BY226" s="228"/>
      <c r="BZ226" s="228"/>
      <c r="CA226" s="228"/>
      <c r="CB226" s="228"/>
      <c r="CC226" s="228"/>
      <c r="CD226" s="228"/>
      <c r="CE226" s="228"/>
      <c r="CF226" s="228"/>
      <c r="CG226" s="228"/>
      <c r="CH226" s="228"/>
      <c r="CI226" s="228"/>
      <c r="CJ226" s="228"/>
      <c r="CK226" s="228"/>
      <c r="CL226" s="228"/>
      <c r="CM226" s="228"/>
      <c r="CN226" s="228"/>
      <c r="CO226" s="228"/>
      <c r="CP226" s="228"/>
      <c r="CQ226" s="228"/>
      <c r="CR226" s="228"/>
      <c r="CS226" s="228"/>
      <c r="CT226" s="228"/>
      <c r="CU226" s="228"/>
      <c r="CV226" s="228"/>
      <c r="CW226" s="228"/>
      <c r="CX226" s="228"/>
      <c r="CY226" s="228"/>
      <c r="CZ226" s="228"/>
      <c r="DA226" s="228"/>
      <c r="DB226" s="228"/>
    </row>
    <row r="227" ht="12.0" customHeight="1">
      <c r="A227" s="228"/>
      <c r="B227" s="228"/>
      <c r="C227" s="228"/>
      <c r="D227" s="228"/>
      <c r="E227" s="228"/>
      <c r="F227" s="228"/>
      <c r="G227" s="228"/>
      <c r="H227" s="228"/>
      <c r="I227" s="228"/>
      <c r="J227" s="228"/>
      <c r="K227" s="228"/>
      <c r="L227" s="228"/>
      <c r="M227" s="228"/>
      <c r="N227" s="228"/>
      <c r="O227" s="228"/>
      <c r="P227" s="228"/>
      <c r="Q227" s="228"/>
      <c r="R227" s="228"/>
      <c r="S227" s="228"/>
      <c r="T227" s="228"/>
      <c r="U227" s="228"/>
      <c r="V227" s="228"/>
      <c r="W227" s="228"/>
      <c r="X227" s="228"/>
      <c r="Y227" s="228"/>
      <c r="Z227" s="228"/>
      <c r="AA227" s="228"/>
      <c r="AB227" s="228"/>
      <c r="AC227" s="228"/>
      <c r="AD227" s="228"/>
      <c r="AE227" s="228"/>
      <c r="AF227" s="228"/>
      <c r="AG227" s="228"/>
      <c r="AH227" s="228"/>
      <c r="AI227" s="228"/>
      <c r="AJ227" s="228"/>
      <c r="AK227" s="228"/>
      <c r="AL227" s="228"/>
      <c r="AM227" s="228"/>
      <c r="AN227" s="228"/>
      <c r="AO227" s="228"/>
      <c r="AP227" s="228"/>
      <c r="AQ227" s="228"/>
      <c r="AR227" s="228"/>
      <c r="AS227" s="228"/>
      <c r="AT227" s="228"/>
      <c r="AU227" s="228"/>
      <c r="AV227" s="228"/>
      <c r="AW227" s="228"/>
      <c r="AX227" s="228"/>
      <c r="AY227" s="228"/>
      <c r="AZ227" s="228"/>
      <c r="BA227" s="228"/>
      <c r="BB227" s="228"/>
      <c r="BC227" s="228"/>
      <c r="BD227" s="228"/>
      <c r="BE227" s="228"/>
      <c r="BF227" s="228"/>
      <c r="BG227" s="228"/>
      <c r="BH227" s="228"/>
      <c r="BI227" s="228"/>
      <c r="BJ227" s="228"/>
      <c r="BK227" s="228"/>
      <c r="BL227" s="228"/>
      <c r="BM227" s="228"/>
      <c r="BN227" s="228"/>
      <c r="BO227" s="228"/>
      <c r="BP227" s="228"/>
      <c r="BQ227" s="228"/>
      <c r="BR227" s="228"/>
      <c r="BS227" s="228"/>
      <c r="BT227" s="228"/>
      <c r="BU227" s="228"/>
      <c r="BV227" s="228"/>
      <c r="BW227" s="228"/>
      <c r="BX227" s="228"/>
      <c r="BY227" s="228"/>
      <c r="BZ227" s="228"/>
      <c r="CA227" s="228"/>
      <c r="CB227" s="228"/>
      <c r="CC227" s="228"/>
      <c r="CD227" s="228"/>
      <c r="CE227" s="228"/>
      <c r="CF227" s="228"/>
      <c r="CG227" s="228"/>
      <c r="CH227" s="228"/>
      <c r="CI227" s="228"/>
      <c r="CJ227" s="228"/>
      <c r="CK227" s="228"/>
      <c r="CL227" s="228"/>
      <c r="CM227" s="228"/>
      <c r="CN227" s="228"/>
      <c r="CO227" s="228"/>
      <c r="CP227" s="228"/>
      <c r="CQ227" s="228"/>
      <c r="CR227" s="228"/>
      <c r="CS227" s="228"/>
      <c r="CT227" s="228"/>
      <c r="CU227" s="228"/>
      <c r="CV227" s="228"/>
      <c r="CW227" s="228"/>
      <c r="CX227" s="228"/>
      <c r="CY227" s="228"/>
      <c r="CZ227" s="228"/>
      <c r="DA227" s="228"/>
      <c r="DB227" s="228"/>
    </row>
    <row r="228" ht="12.0" customHeight="1">
      <c r="A228" s="228"/>
      <c r="B228" s="228"/>
      <c r="C228" s="228"/>
      <c r="D228" s="228"/>
      <c r="E228" s="228"/>
      <c r="F228" s="228"/>
      <c r="G228" s="228"/>
      <c r="H228" s="228"/>
      <c r="I228" s="228"/>
      <c r="J228" s="228"/>
      <c r="K228" s="228"/>
      <c r="L228" s="228"/>
      <c r="M228" s="228"/>
      <c r="N228" s="228"/>
      <c r="O228" s="228"/>
      <c r="P228" s="228"/>
      <c r="Q228" s="228"/>
      <c r="R228" s="228"/>
      <c r="S228" s="228"/>
      <c r="T228" s="228"/>
      <c r="U228" s="228"/>
      <c r="V228" s="228"/>
      <c r="W228" s="228"/>
      <c r="X228" s="228"/>
      <c r="Y228" s="228"/>
      <c r="Z228" s="228"/>
      <c r="AA228" s="228"/>
      <c r="AB228" s="228"/>
      <c r="AC228" s="228"/>
      <c r="AD228" s="228"/>
      <c r="AE228" s="228"/>
      <c r="AF228" s="228"/>
      <c r="AG228" s="228"/>
      <c r="AH228" s="228"/>
      <c r="AI228" s="228"/>
      <c r="AJ228" s="228"/>
      <c r="AK228" s="228"/>
      <c r="AL228" s="228"/>
      <c r="AM228" s="228"/>
      <c r="AN228" s="228"/>
      <c r="AO228" s="228"/>
      <c r="AP228" s="228"/>
      <c r="AQ228" s="228"/>
      <c r="AR228" s="228"/>
      <c r="AS228" s="228"/>
      <c r="AT228" s="228"/>
      <c r="AU228" s="228"/>
      <c r="AV228" s="228"/>
      <c r="AW228" s="228"/>
      <c r="AX228" s="228"/>
      <c r="AY228" s="228"/>
      <c r="AZ228" s="228"/>
      <c r="BA228" s="228"/>
      <c r="BB228" s="228"/>
      <c r="BC228" s="228"/>
      <c r="BD228" s="228"/>
      <c r="BE228" s="228"/>
      <c r="BF228" s="228"/>
      <c r="BG228" s="228"/>
      <c r="BH228" s="228"/>
      <c r="BI228" s="228"/>
      <c r="BJ228" s="228"/>
      <c r="BK228" s="228"/>
      <c r="BL228" s="228"/>
      <c r="BM228" s="228"/>
      <c r="BN228" s="228"/>
      <c r="BO228" s="228"/>
      <c r="BP228" s="228"/>
      <c r="BQ228" s="228"/>
      <c r="BR228" s="228"/>
      <c r="BS228" s="228"/>
      <c r="BT228" s="228"/>
      <c r="BU228" s="228"/>
      <c r="BV228" s="228"/>
      <c r="BW228" s="228"/>
      <c r="BX228" s="228"/>
      <c r="BY228" s="228"/>
      <c r="BZ228" s="228"/>
      <c r="CA228" s="228"/>
      <c r="CB228" s="228"/>
      <c r="CC228" s="228"/>
      <c r="CD228" s="228"/>
      <c r="CE228" s="228"/>
      <c r="CF228" s="228"/>
      <c r="CG228" s="228"/>
      <c r="CH228" s="228"/>
      <c r="CI228" s="228"/>
      <c r="CJ228" s="228"/>
      <c r="CK228" s="228"/>
      <c r="CL228" s="228"/>
      <c r="CM228" s="228"/>
      <c r="CN228" s="228"/>
      <c r="CO228" s="228"/>
      <c r="CP228" s="228"/>
      <c r="CQ228" s="228"/>
      <c r="CR228" s="228"/>
      <c r="CS228" s="228"/>
      <c r="CT228" s="228"/>
      <c r="CU228" s="228"/>
      <c r="CV228" s="228"/>
      <c r="CW228" s="228"/>
      <c r="CX228" s="228"/>
      <c r="CY228" s="228"/>
      <c r="CZ228" s="228"/>
      <c r="DA228" s="228"/>
      <c r="DB228" s="228"/>
    </row>
    <row r="229" ht="12.0" customHeight="1">
      <c r="A229" s="228"/>
      <c r="B229" s="228"/>
      <c r="C229" s="228"/>
      <c r="D229" s="228"/>
      <c r="E229" s="228"/>
      <c r="F229" s="228"/>
      <c r="G229" s="228"/>
      <c r="H229" s="228"/>
      <c r="I229" s="228"/>
      <c r="J229" s="228"/>
      <c r="K229" s="228"/>
      <c r="L229" s="228"/>
      <c r="M229" s="228"/>
      <c r="N229" s="228"/>
      <c r="O229" s="228"/>
      <c r="P229" s="228"/>
      <c r="Q229" s="228"/>
      <c r="R229" s="228"/>
      <c r="S229" s="228"/>
      <c r="T229" s="228"/>
      <c r="U229" s="228"/>
      <c r="V229" s="228"/>
      <c r="W229" s="228"/>
      <c r="X229" s="228"/>
      <c r="Y229" s="228"/>
      <c r="Z229" s="228"/>
      <c r="AA229" s="228"/>
      <c r="AB229" s="228"/>
      <c r="AC229" s="228"/>
      <c r="AD229" s="228"/>
      <c r="AE229" s="228"/>
      <c r="AF229" s="228"/>
      <c r="AG229" s="228"/>
      <c r="AH229" s="228"/>
      <c r="AI229" s="228"/>
      <c r="AJ229" s="228"/>
      <c r="AK229" s="228"/>
      <c r="AL229" s="228"/>
      <c r="AM229" s="228"/>
      <c r="AN229" s="228"/>
      <c r="AO229" s="228"/>
      <c r="AP229" s="228"/>
      <c r="AQ229" s="228"/>
      <c r="AR229" s="228"/>
      <c r="AS229" s="228"/>
      <c r="AT229" s="228"/>
      <c r="AU229" s="228"/>
      <c r="AV229" s="228"/>
      <c r="AW229" s="228"/>
      <c r="AX229" s="228"/>
      <c r="AY229" s="228"/>
      <c r="AZ229" s="228"/>
      <c r="BA229" s="228"/>
      <c r="BB229" s="228"/>
      <c r="BC229" s="228"/>
      <c r="BD229" s="228"/>
      <c r="BE229" s="228"/>
      <c r="BF229" s="228"/>
      <c r="BG229" s="228"/>
      <c r="BH229" s="228"/>
      <c r="BI229" s="228"/>
      <c r="BJ229" s="228"/>
      <c r="BK229" s="228"/>
      <c r="BL229" s="228"/>
      <c r="BM229" s="228"/>
      <c r="BN229" s="228"/>
      <c r="BO229" s="228"/>
      <c r="BP229" s="228"/>
      <c r="BQ229" s="228"/>
      <c r="BR229" s="228"/>
      <c r="BS229" s="228"/>
      <c r="BT229" s="228"/>
      <c r="BU229" s="228"/>
      <c r="BV229" s="228"/>
      <c r="BW229" s="228"/>
      <c r="BX229" s="228"/>
      <c r="BY229" s="228"/>
      <c r="BZ229" s="228"/>
      <c r="CA229" s="228"/>
      <c r="CB229" s="228"/>
      <c r="CC229" s="228"/>
      <c r="CD229" s="228"/>
      <c r="CE229" s="228"/>
      <c r="CF229" s="228"/>
      <c r="CG229" s="228"/>
      <c r="CH229" s="228"/>
      <c r="CI229" s="228"/>
      <c r="CJ229" s="228"/>
      <c r="CK229" s="228"/>
      <c r="CL229" s="228"/>
      <c r="CM229" s="228"/>
      <c r="CN229" s="228"/>
      <c r="CO229" s="228"/>
      <c r="CP229" s="228"/>
      <c r="CQ229" s="228"/>
      <c r="CR229" s="228"/>
      <c r="CS229" s="228"/>
      <c r="CT229" s="228"/>
      <c r="CU229" s="228"/>
      <c r="CV229" s="228"/>
      <c r="CW229" s="228"/>
      <c r="CX229" s="228"/>
      <c r="CY229" s="228"/>
      <c r="CZ229" s="228"/>
      <c r="DA229" s="228"/>
      <c r="DB229" s="228"/>
    </row>
    <row r="230" ht="12.0" customHeight="1">
      <c r="A230" s="228"/>
      <c r="B230" s="228"/>
      <c r="C230" s="228"/>
      <c r="D230" s="228"/>
      <c r="E230" s="228"/>
      <c r="F230" s="228"/>
      <c r="G230" s="228"/>
      <c r="H230" s="228"/>
      <c r="I230" s="228"/>
      <c r="J230" s="228"/>
      <c r="K230" s="228"/>
      <c r="L230" s="228"/>
      <c r="M230" s="228"/>
      <c r="N230" s="228"/>
      <c r="O230" s="228"/>
      <c r="P230" s="228"/>
      <c r="Q230" s="228"/>
      <c r="R230" s="228"/>
      <c r="S230" s="228"/>
      <c r="T230" s="228"/>
      <c r="U230" s="228"/>
      <c r="V230" s="228"/>
      <c r="W230" s="228"/>
      <c r="X230" s="228"/>
      <c r="Y230" s="228"/>
      <c r="Z230" s="228"/>
      <c r="AA230" s="228"/>
      <c r="AB230" s="228"/>
      <c r="AC230" s="228"/>
      <c r="AD230" s="228"/>
      <c r="AE230" s="228"/>
      <c r="AF230" s="228"/>
      <c r="AG230" s="228"/>
      <c r="AH230" s="228"/>
      <c r="AI230" s="228"/>
      <c r="AJ230" s="228"/>
      <c r="AK230" s="228"/>
      <c r="AL230" s="228"/>
      <c r="AM230" s="228"/>
      <c r="AN230" s="228"/>
      <c r="AO230" s="228"/>
      <c r="AP230" s="228"/>
      <c r="AQ230" s="228"/>
      <c r="AR230" s="228"/>
      <c r="AS230" s="228"/>
      <c r="AT230" s="228"/>
      <c r="AU230" s="228"/>
      <c r="AV230" s="228"/>
      <c r="AW230" s="228"/>
      <c r="AX230" s="228"/>
      <c r="AY230" s="228"/>
      <c r="AZ230" s="228"/>
      <c r="BA230" s="228"/>
      <c r="BB230" s="228"/>
      <c r="BC230" s="228"/>
      <c r="BD230" s="228"/>
      <c r="BE230" s="228"/>
      <c r="BF230" s="228"/>
      <c r="BG230" s="228"/>
      <c r="BH230" s="228"/>
      <c r="BI230" s="228"/>
      <c r="BJ230" s="228"/>
      <c r="BK230" s="228"/>
      <c r="BL230" s="228"/>
      <c r="BM230" s="228"/>
      <c r="BN230" s="228"/>
      <c r="BO230" s="228"/>
      <c r="BP230" s="228"/>
      <c r="BQ230" s="228"/>
      <c r="BR230" s="228"/>
      <c r="BS230" s="228"/>
      <c r="BT230" s="228"/>
      <c r="BU230" s="228"/>
      <c r="BV230" s="228"/>
      <c r="BW230" s="228"/>
      <c r="BX230" s="228"/>
      <c r="BY230" s="228"/>
      <c r="BZ230" s="228"/>
      <c r="CA230" s="228"/>
      <c r="CB230" s="228"/>
      <c r="CC230" s="228"/>
      <c r="CD230" s="228"/>
      <c r="CE230" s="228"/>
      <c r="CF230" s="228"/>
      <c r="CG230" s="228"/>
      <c r="CH230" s="228"/>
      <c r="CI230" s="228"/>
      <c r="CJ230" s="228"/>
      <c r="CK230" s="228"/>
      <c r="CL230" s="228"/>
      <c r="CM230" s="228"/>
      <c r="CN230" s="228"/>
      <c r="CO230" s="228"/>
      <c r="CP230" s="228"/>
      <c r="CQ230" s="228"/>
      <c r="CR230" s="228"/>
      <c r="CS230" s="228"/>
      <c r="CT230" s="228"/>
      <c r="CU230" s="228"/>
      <c r="CV230" s="228"/>
      <c r="CW230" s="228"/>
      <c r="CX230" s="228"/>
      <c r="CY230" s="228"/>
      <c r="CZ230" s="228"/>
      <c r="DA230" s="228"/>
      <c r="DB230" s="228"/>
    </row>
    <row r="231" ht="12.0" customHeight="1">
      <c r="A231" s="228"/>
      <c r="B231" s="228"/>
      <c r="C231" s="228"/>
      <c r="D231" s="228"/>
      <c r="E231" s="228"/>
      <c r="F231" s="228"/>
      <c r="G231" s="228"/>
      <c r="H231" s="228"/>
      <c r="I231" s="228"/>
      <c r="J231" s="228"/>
      <c r="K231" s="228"/>
      <c r="L231" s="228"/>
      <c r="M231" s="228"/>
      <c r="N231" s="228"/>
      <c r="O231" s="228"/>
      <c r="P231" s="228"/>
      <c r="Q231" s="228"/>
      <c r="R231" s="228"/>
      <c r="S231" s="228"/>
      <c r="T231" s="228"/>
      <c r="U231" s="228"/>
      <c r="V231" s="228"/>
      <c r="W231" s="228"/>
      <c r="X231" s="228"/>
      <c r="Y231" s="228"/>
      <c r="Z231" s="228"/>
      <c r="AA231" s="228"/>
      <c r="AB231" s="228"/>
      <c r="AC231" s="228"/>
      <c r="AD231" s="228"/>
      <c r="AE231" s="228"/>
      <c r="AF231" s="228"/>
      <c r="AG231" s="228"/>
      <c r="AH231" s="228"/>
      <c r="AI231" s="228"/>
      <c r="AJ231" s="228"/>
      <c r="AK231" s="228"/>
      <c r="AL231" s="228"/>
      <c r="AM231" s="228"/>
      <c r="AN231" s="228"/>
      <c r="AO231" s="228"/>
      <c r="AP231" s="228"/>
      <c r="AQ231" s="228"/>
      <c r="AR231" s="228"/>
      <c r="AS231" s="228"/>
      <c r="AT231" s="228"/>
      <c r="AU231" s="228"/>
      <c r="AV231" s="228"/>
      <c r="AW231" s="228"/>
      <c r="AX231" s="228"/>
      <c r="AY231" s="228"/>
      <c r="AZ231" s="228"/>
      <c r="BA231" s="228"/>
      <c r="BB231" s="228"/>
      <c r="BC231" s="228"/>
      <c r="BD231" s="228"/>
      <c r="BE231" s="228"/>
      <c r="BF231" s="228"/>
      <c r="BG231" s="228"/>
      <c r="BH231" s="228"/>
      <c r="BI231" s="228"/>
      <c r="BJ231" s="228"/>
      <c r="BK231" s="228"/>
      <c r="BL231" s="228"/>
      <c r="BM231" s="228"/>
      <c r="BN231" s="228"/>
      <c r="BO231" s="228"/>
      <c r="BP231" s="228"/>
      <c r="BQ231" s="228"/>
      <c r="BR231" s="228"/>
      <c r="BS231" s="228"/>
      <c r="BT231" s="228"/>
      <c r="BU231" s="228"/>
      <c r="BV231" s="228"/>
      <c r="BW231" s="228"/>
      <c r="BX231" s="228"/>
      <c r="BY231" s="228"/>
      <c r="BZ231" s="228"/>
      <c r="CA231" s="228"/>
      <c r="CB231" s="228"/>
      <c r="CC231" s="228"/>
      <c r="CD231" s="228"/>
      <c r="CE231" s="228"/>
      <c r="CF231" s="228"/>
      <c r="CG231" s="228"/>
      <c r="CH231" s="228"/>
      <c r="CI231" s="228"/>
      <c r="CJ231" s="228"/>
      <c r="CK231" s="228"/>
      <c r="CL231" s="228"/>
      <c r="CM231" s="228"/>
      <c r="CN231" s="228"/>
      <c r="CO231" s="228"/>
      <c r="CP231" s="228"/>
      <c r="CQ231" s="228"/>
      <c r="CR231" s="228"/>
      <c r="CS231" s="228"/>
      <c r="CT231" s="228"/>
      <c r="CU231" s="228"/>
      <c r="CV231" s="228"/>
      <c r="CW231" s="228"/>
      <c r="CX231" s="228"/>
      <c r="CY231" s="228"/>
      <c r="CZ231" s="228"/>
      <c r="DA231" s="228"/>
      <c r="DB231" s="228"/>
    </row>
    <row r="232" ht="12.0" customHeight="1">
      <c r="A232" s="228"/>
      <c r="B232" s="228"/>
      <c r="C232" s="228"/>
      <c r="D232" s="228"/>
      <c r="E232" s="228"/>
      <c r="F232" s="228"/>
      <c r="G232" s="228"/>
      <c r="H232" s="228"/>
      <c r="I232" s="228"/>
      <c r="J232" s="228"/>
      <c r="K232" s="228"/>
      <c r="L232" s="228"/>
      <c r="M232" s="228"/>
      <c r="N232" s="228"/>
      <c r="O232" s="228"/>
      <c r="P232" s="228"/>
      <c r="Q232" s="228"/>
      <c r="R232" s="228"/>
      <c r="S232" s="228"/>
      <c r="T232" s="228"/>
      <c r="U232" s="228"/>
      <c r="V232" s="228"/>
      <c r="W232" s="228"/>
      <c r="X232" s="228"/>
      <c r="Y232" s="228"/>
      <c r="Z232" s="228"/>
      <c r="AA232" s="228"/>
      <c r="AB232" s="228"/>
      <c r="AC232" s="228"/>
      <c r="AD232" s="228"/>
      <c r="AE232" s="228"/>
      <c r="AF232" s="228"/>
      <c r="AG232" s="228"/>
      <c r="AH232" s="228"/>
      <c r="AI232" s="228"/>
      <c r="AJ232" s="228"/>
      <c r="AK232" s="228"/>
      <c r="AL232" s="228"/>
      <c r="AM232" s="228"/>
      <c r="AN232" s="228"/>
      <c r="AO232" s="228"/>
      <c r="AP232" s="228"/>
      <c r="AQ232" s="228"/>
      <c r="AR232" s="228"/>
      <c r="AS232" s="228"/>
      <c r="AT232" s="228"/>
      <c r="AU232" s="228"/>
      <c r="AV232" s="228"/>
      <c r="AW232" s="228"/>
      <c r="AX232" s="228"/>
      <c r="AY232" s="228"/>
      <c r="AZ232" s="228"/>
      <c r="BA232" s="228"/>
      <c r="BB232" s="228"/>
      <c r="BC232" s="228"/>
      <c r="BD232" s="228"/>
      <c r="BE232" s="228"/>
      <c r="BF232" s="228"/>
      <c r="BG232" s="228"/>
      <c r="BH232" s="228"/>
      <c r="BI232" s="228"/>
      <c r="BJ232" s="228"/>
      <c r="BK232" s="228"/>
      <c r="BL232" s="228"/>
      <c r="BM232" s="228"/>
      <c r="BN232" s="228"/>
      <c r="BO232" s="228"/>
      <c r="BP232" s="228"/>
      <c r="BQ232" s="228"/>
      <c r="BR232" s="228"/>
      <c r="BS232" s="228"/>
      <c r="BT232" s="228"/>
      <c r="BU232" s="228"/>
      <c r="BV232" s="228"/>
      <c r="BW232" s="228"/>
      <c r="BX232" s="228"/>
      <c r="BY232" s="228"/>
      <c r="BZ232" s="228"/>
      <c r="CA232" s="228"/>
      <c r="CB232" s="228"/>
      <c r="CC232" s="228"/>
      <c r="CD232" s="228"/>
      <c r="CE232" s="228"/>
      <c r="CF232" s="228"/>
      <c r="CG232" s="228"/>
      <c r="CH232" s="228"/>
      <c r="CI232" s="228"/>
      <c r="CJ232" s="228"/>
      <c r="CK232" s="228"/>
      <c r="CL232" s="228"/>
      <c r="CM232" s="228"/>
      <c r="CN232" s="228"/>
      <c r="CO232" s="228"/>
      <c r="CP232" s="228"/>
      <c r="CQ232" s="228"/>
      <c r="CR232" s="228"/>
      <c r="CS232" s="228"/>
      <c r="CT232" s="228"/>
      <c r="CU232" s="228"/>
      <c r="CV232" s="228"/>
      <c r="CW232" s="228"/>
      <c r="CX232" s="228"/>
      <c r="CY232" s="228"/>
      <c r="CZ232" s="228"/>
      <c r="DA232" s="228"/>
      <c r="DB232" s="228"/>
    </row>
    <row r="233" ht="12.0" customHeight="1">
      <c r="A233" s="228"/>
      <c r="B233" s="228"/>
      <c r="C233" s="228"/>
      <c r="D233" s="228"/>
      <c r="E233" s="228"/>
      <c r="F233" s="228"/>
      <c r="G233" s="228"/>
      <c r="H233" s="228"/>
      <c r="I233" s="228"/>
      <c r="J233" s="228"/>
      <c r="K233" s="228"/>
      <c r="L233" s="228"/>
      <c r="M233" s="228"/>
      <c r="N233" s="228"/>
      <c r="O233" s="228"/>
      <c r="P233" s="228"/>
      <c r="Q233" s="228"/>
      <c r="R233" s="228"/>
      <c r="S233" s="228"/>
      <c r="T233" s="228"/>
      <c r="U233" s="228"/>
      <c r="V233" s="228"/>
      <c r="W233" s="228"/>
      <c r="X233" s="228"/>
      <c r="Y233" s="228"/>
      <c r="Z233" s="228"/>
      <c r="AA233" s="228"/>
      <c r="AB233" s="228"/>
      <c r="AC233" s="228"/>
      <c r="AD233" s="228"/>
      <c r="AE233" s="228"/>
      <c r="AF233" s="228"/>
      <c r="AG233" s="228"/>
      <c r="AH233" s="228"/>
      <c r="AI233" s="228"/>
      <c r="AJ233" s="228"/>
      <c r="AK233" s="228"/>
      <c r="AL233" s="228"/>
      <c r="AM233" s="228"/>
      <c r="AN233" s="228"/>
      <c r="AO233" s="228"/>
      <c r="AP233" s="228"/>
      <c r="AQ233" s="228"/>
      <c r="AR233" s="228"/>
      <c r="AS233" s="228"/>
      <c r="AT233" s="228"/>
      <c r="AU233" s="228"/>
      <c r="AV233" s="228"/>
      <c r="AW233" s="228"/>
      <c r="AX233" s="228"/>
      <c r="AY233" s="228"/>
      <c r="AZ233" s="228"/>
      <c r="BA233" s="228"/>
      <c r="BB233" s="228"/>
      <c r="BC233" s="228"/>
      <c r="BD233" s="228"/>
      <c r="BE233" s="228"/>
      <c r="BF233" s="228"/>
      <c r="BG233" s="228"/>
      <c r="BH233" s="228"/>
      <c r="BI233" s="228"/>
      <c r="BJ233" s="228"/>
      <c r="BK233" s="228"/>
      <c r="BL233" s="228"/>
      <c r="BM233" s="228"/>
      <c r="BN233" s="228"/>
      <c r="BO233" s="228"/>
      <c r="BP233" s="228"/>
      <c r="BQ233" s="228"/>
      <c r="BR233" s="228"/>
      <c r="BS233" s="228"/>
      <c r="BT233" s="228"/>
      <c r="BU233" s="228"/>
      <c r="BV233" s="228"/>
      <c r="BW233" s="228"/>
      <c r="BX233" s="228"/>
      <c r="BY233" s="228"/>
      <c r="BZ233" s="228"/>
      <c r="CA233" s="228"/>
      <c r="CB233" s="228"/>
      <c r="CC233" s="228"/>
      <c r="CD233" s="228"/>
      <c r="CE233" s="228"/>
      <c r="CF233" s="228"/>
      <c r="CG233" s="228"/>
      <c r="CH233" s="228"/>
      <c r="CI233" s="228"/>
      <c r="CJ233" s="228"/>
      <c r="CK233" s="228"/>
      <c r="CL233" s="228"/>
      <c r="CM233" s="228"/>
      <c r="CN233" s="228"/>
      <c r="CO233" s="228"/>
      <c r="CP233" s="228"/>
      <c r="CQ233" s="228"/>
      <c r="CR233" s="228"/>
      <c r="CS233" s="228"/>
      <c r="CT233" s="228"/>
      <c r="CU233" s="228"/>
      <c r="CV233" s="228"/>
      <c r="CW233" s="228"/>
      <c r="CX233" s="228"/>
      <c r="CY233" s="228"/>
      <c r="CZ233" s="228"/>
      <c r="DA233" s="228"/>
      <c r="DB233" s="228"/>
    </row>
    <row r="234" ht="12.0" customHeight="1">
      <c r="A234" s="228"/>
      <c r="B234" s="228"/>
      <c r="C234" s="228"/>
      <c r="D234" s="228"/>
      <c r="E234" s="228"/>
      <c r="F234" s="228"/>
      <c r="G234" s="228"/>
      <c r="H234" s="228"/>
      <c r="I234" s="228"/>
      <c r="J234" s="228"/>
      <c r="K234" s="228"/>
      <c r="L234" s="228"/>
      <c r="M234" s="228"/>
      <c r="N234" s="228"/>
      <c r="O234" s="228"/>
      <c r="P234" s="228"/>
      <c r="Q234" s="228"/>
      <c r="R234" s="228"/>
      <c r="S234" s="228"/>
      <c r="T234" s="228"/>
      <c r="U234" s="228"/>
      <c r="V234" s="228"/>
      <c r="W234" s="228"/>
      <c r="X234" s="228"/>
      <c r="Y234" s="228"/>
      <c r="Z234" s="228"/>
      <c r="AA234" s="228"/>
      <c r="AB234" s="228"/>
      <c r="AC234" s="228"/>
      <c r="AD234" s="228"/>
      <c r="AE234" s="228"/>
      <c r="AF234" s="228"/>
      <c r="AG234" s="228"/>
      <c r="AH234" s="228"/>
      <c r="AI234" s="228"/>
      <c r="AJ234" s="228"/>
      <c r="AK234" s="228"/>
      <c r="AL234" s="228"/>
      <c r="AM234" s="228"/>
      <c r="AN234" s="228"/>
      <c r="AO234" s="228"/>
      <c r="AP234" s="228"/>
      <c r="AQ234" s="228"/>
      <c r="AR234" s="228"/>
      <c r="AS234" s="228"/>
      <c r="AT234" s="228"/>
      <c r="AU234" s="228"/>
      <c r="AV234" s="228"/>
      <c r="AW234" s="228"/>
      <c r="AX234" s="228"/>
      <c r="AY234" s="228"/>
      <c r="AZ234" s="228"/>
      <c r="BA234" s="228"/>
      <c r="BB234" s="228"/>
      <c r="BC234" s="228"/>
      <c r="BD234" s="228"/>
      <c r="BE234" s="228"/>
      <c r="BF234" s="228"/>
      <c r="BG234" s="228"/>
      <c r="BH234" s="228"/>
      <c r="BI234" s="228"/>
      <c r="BJ234" s="228"/>
      <c r="BK234" s="228"/>
      <c r="BL234" s="228"/>
      <c r="BM234" s="228"/>
      <c r="BN234" s="228"/>
      <c r="BO234" s="228"/>
      <c r="BP234" s="228"/>
      <c r="BQ234" s="228"/>
      <c r="BR234" s="228"/>
      <c r="BS234" s="228"/>
      <c r="BT234" s="228"/>
      <c r="BU234" s="228"/>
      <c r="BV234" s="228"/>
      <c r="BW234" s="228"/>
      <c r="BX234" s="228"/>
      <c r="BY234" s="228"/>
      <c r="BZ234" s="228"/>
      <c r="CA234" s="228"/>
      <c r="CB234" s="228"/>
      <c r="CC234" s="228"/>
      <c r="CD234" s="228"/>
      <c r="CE234" s="228"/>
      <c r="CF234" s="228"/>
      <c r="CG234" s="228"/>
      <c r="CH234" s="228"/>
      <c r="CI234" s="228"/>
      <c r="CJ234" s="228"/>
      <c r="CK234" s="228"/>
      <c r="CL234" s="228"/>
      <c r="CM234" s="228"/>
      <c r="CN234" s="228"/>
      <c r="CO234" s="228"/>
      <c r="CP234" s="228"/>
      <c r="CQ234" s="228"/>
      <c r="CR234" s="228"/>
      <c r="CS234" s="228"/>
      <c r="CT234" s="228"/>
      <c r="CU234" s="228"/>
      <c r="CV234" s="228"/>
      <c r="CW234" s="228"/>
      <c r="CX234" s="228"/>
      <c r="CY234" s="228"/>
      <c r="CZ234" s="228"/>
      <c r="DA234" s="228"/>
      <c r="DB234" s="228"/>
    </row>
    <row r="235" ht="12.0" customHeight="1">
      <c r="A235" s="228"/>
      <c r="B235" s="228"/>
      <c r="C235" s="228"/>
      <c r="D235" s="228"/>
      <c r="E235" s="228"/>
      <c r="F235" s="228"/>
      <c r="G235" s="228"/>
      <c r="H235" s="228"/>
      <c r="I235" s="228"/>
      <c r="J235" s="228"/>
      <c r="K235" s="228"/>
      <c r="L235" s="228"/>
      <c r="M235" s="228"/>
      <c r="N235" s="228"/>
      <c r="O235" s="228"/>
      <c r="P235" s="228"/>
      <c r="Q235" s="228"/>
      <c r="R235" s="228"/>
      <c r="S235" s="228"/>
      <c r="T235" s="228"/>
      <c r="U235" s="228"/>
      <c r="V235" s="228"/>
      <c r="W235" s="228"/>
      <c r="X235" s="228"/>
      <c r="Y235" s="228"/>
      <c r="Z235" s="228"/>
      <c r="AA235" s="228"/>
      <c r="AB235" s="228"/>
      <c r="AC235" s="228"/>
      <c r="AD235" s="228"/>
      <c r="AE235" s="228"/>
      <c r="AF235" s="228"/>
      <c r="AG235" s="228"/>
      <c r="AH235" s="228"/>
      <c r="AI235" s="228"/>
      <c r="AJ235" s="228"/>
      <c r="AK235" s="228"/>
      <c r="AL235" s="228"/>
      <c r="AM235" s="228"/>
      <c r="AN235" s="228"/>
      <c r="AO235" s="228"/>
      <c r="AP235" s="228"/>
      <c r="AQ235" s="228"/>
      <c r="AR235" s="228"/>
      <c r="AS235" s="228"/>
      <c r="AT235" s="228"/>
      <c r="AU235" s="228"/>
      <c r="AV235" s="228"/>
      <c r="AW235" s="228"/>
      <c r="AX235" s="228"/>
      <c r="AY235" s="228"/>
      <c r="AZ235" s="228"/>
      <c r="BA235" s="228"/>
      <c r="BB235" s="228"/>
      <c r="BC235" s="228"/>
      <c r="BD235" s="228"/>
      <c r="BE235" s="228"/>
      <c r="BF235" s="228"/>
      <c r="BG235" s="228"/>
      <c r="BH235" s="228"/>
      <c r="BI235" s="228"/>
      <c r="BJ235" s="228"/>
      <c r="BK235" s="228"/>
      <c r="BL235" s="228"/>
      <c r="BM235" s="228"/>
      <c r="BN235" s="228"/>
      <c r="BO235" s="228"/>
      <c r="BP235" s="228"/>
      <c r="BQ235" s="228"/>
      <c r="BR235" s="228"/>
      <c r="BS235" s="228"/>
      <c r="BT235" s="228"/>
      <c r="BU235" s="228"/>
      <c r="BV235" s="228"/>
      <c r="BW235" s="228"/>
      <c r="BX235" s="228"/>
      <c r="BY235" s="228"/>
      <c r="BZ235" s="228"/>
      <c r="CA235" s="228"/>
      <c r="CB235" s="228"/>
      <c r="CC235" s="228"/>
      <c r="CD235" s="228"/>
      <c r="CE235" s="228"/>
      <c r="CF235" s="228"/>
      <c r="CG235" s="228"/>
      <c r="CH235" s="228"/>
      <c r="CI235" s="228"/>
      <c r="CJ235" s="228"/>
      <c r="CK235" s="228"/>
      <c r="CL235" s="228"/>
      <c r="CM235" s="228"/>
      <c r="CN235" s="228"/>
      <c r="CO235" s="228"/>
      <c r="CP235" s="228"/>
      <c r="CQ235" s="228"/>
      <c r="CR235" s="228"/>
      <c r="CS235" s="228"/>
      <c r="CT235" s="228"/>
      <c r="CU235" s="228"/>
      <c r="CV235" s="228"/>
      <c r="CW235" s="228"/>
      <c r="CX235" s="228"/>
      <c r="CY235" s="228"/>
      <c r="CZ235" s="228"/>
      <c r="DA235" s="228"/>
      <c r="DB235" s="228"/>
    </row>
    <row r="236" ht="12.0" customHeight="1">
      <c r="A236" s="228"/>
      <c r="B236" s="228"/>
      <c r="C236" s="228"/>
      <c r="D236" s="228"/>
      <c r="E236" s="228"/>
      <c r="F236" s="228"/>
      <c r="G236" s="228"/>
      <c r="H236" s="228"/>
      <c r="I236" s="228"/>
      <c r="J236" s="228"/>
      <c r="K236" s="228"/>
      <c r="L236" s="228"/>
      <c r="M236" s="228"/>
      <c r="N236" s="228"/>
      <c r="O236" s="228"/>
      <c r="P236" s="228"/>
      <c r="Q236" s="228"/>
      <c r="R236" s="228"/>
      <c r="S236" s="228"/>
      <c r="T236" s="228"/>
      <c r="U236" s="228"/>
      <c r="V236" s="228"/>
      <c r="W236" s="228"/>
      <c r="X236" s="228"/>
      <c r="Y236" s="228"/>
      <c r="Z236" s="228"/>
      <c r="AA236" s="228"/>
      <c r="AB236" s="228"/>
      <c r="AC236" s="228"/>
      <c r="AD236" s="228"/>
      <c r="AE236" s="228"/>
      <c r="AF236" s="228"/>
      <c r="AG236" s="228"/>
      <c r="AH236" s="228"/>
      <c r="AI236" s="228"/>
      <c r="AJ236" s="228"/>
      <c r="AK236" s="228"/>
      <c r="AL236" s="228"/>
      <c r="AM236" s="228"/>
      <c r="AN236" s="228"/>
      <c r="AO236" s="228"/>
      <c r="AP236" s="228"/>
      <c r="AQ236" s="228"/>
      <c r="AR236" s="228"/>
      <c r="AS236" s="228"/>
      <c r="AT236" s="228"/>
      <c r="AU236" s="228"/>
      <c r="AV236" s="228"/>
      <c r="AW236" s="228"/>
      <c r="AX236" s="228"/>
      <c r="AY236" s="228"/>
      <c r="AZ236" s="228"/>
      <c r="BA236" s="228"/>
      <c r="BB236" s="228"/>
      <c r="BC236" s="228"/>
      <c r="BD236" s="228"/>
      <c r="BE236" s="228"/>
      <c r="BF236" s="228"/>
      <c r="BG236" s="228"/>
      <c r="BH236" s="228"/>
      <c r="BI236" s="228"/>
      <c r="BJ236" s="228"/>
      <c r="BK236" s="228"/>
      <c r="BL236" s="228"/>
      <c r="BM236" s="228"/>
      <c r="BN236" s="228"/>
      <c r="BO236" s="228"/>
      <c r="BP236" s="228"/>
      <c r="BQ236" s="228"/>
      <c r="BR236" s="228"/>
      <c r="BS236" s="228"/>
      <c r="BT236" s="228"/>
      <c r="BU236" s="228"/>
      <c r="BV236" s="228"/>
      <c r="BW236" s="228"/>
      <c r="BX236" s="228"/>
      <c r="BY236" s="228"/>
      <c r="BZ236" s="228"/>
      <c r="CA236" s="228"/>
      <c r="CB236" s="228"/>
      <c r="CC236" s="228"/>
      <c r="CD236" s="228"/>
      <c r="CE236" s="228"/>
      <c r="CF236" s="228"/>
      <c r="CG236" s="228"/>
      <c r="CH236" s="228"/>
      <c r="CI236" s="228"/>
      <c r="CJ236" s="228"/>
      <c r="CK236" s="228"/>
      <c r="CL236" s="228"/>
      <c r="CM236" s="228"/>
      <c r="CN236" s="228"/>
      <c r="CO236" s="228"/>
      <c r="CP236" s="228"/>
      <c r="CQ236" s="228"/>
      <c r="CR236" s="228"/>
      <c r="CS236" s="228"/>
      <c r="CT236" s="228"/>
      <c r="CU236" s="228"/>
      <c r="CV236" s="228"/>
      <c r="CW236" s="228"/>
      <c r="CX236" s="228"/>
      <c r="CY236" s="228"/>
      <c r="CZ236" s="228"/>
      <c r="DA236" s="228"/>
      <c r="DB236" s="228"/>
    </row>
    <row r="237" ht="12.0" customHeight="1">
      <c r="A237" s="228"/>
      <c r="B237" s="228"/>
      <c r="C237" s="228"/>
      <c r="D237" s="228"/>
      <c r="E237" s="228"/>
      <c r="F237" s="228"/>
      <c r="G237" s="228"/>
      <c r="H237" s="228"/>
      <c r="I237" s="228"/>
      <c r="J237" s="228"/>
      <c r="K237" s="228"/>
      <c r="L237" s="228"/>
      <c r="M237" s="228"/>
      <c r="N237" s="228"/>
      <c r="O237" s="228"/>
      <c r="P237" s="228"/>
      <c r="Q237" s="228"/>
      <c r="R237" s="228"/>
      <c r="S237" s="228"/>
      <c r="T237" s="228"/>
      <c r="U237" s="228"/>
      <c r="V237" s="228"/>
      <c r="W237" s="228"/>
      <c r="X237" s="228"/>
      <c r="Y237" s="228"/>
      <c r="Z237" s="228"/>
      <c r="AA237" s="228"/>
      <c r="AB237" s="228"/>
      <c r="AC237" s="228"/>
      <c r="AD237" s="228"/>
      <c r="AE237" s="228"/>
      <c r="AF237" s="228"/>
      <c r="AG237" s="228"/>
      <c r="AH237" s="228"/>
      <c r="AI237" s="228"/>
      <c r="AJ237" s="228"/>
      <c r="AK237" s="228"/>
      <c r="AL237" s="228"/>
      <c r="AM237" s="228"/>
      <c r="AN237" s="228"/>
      <c r="AO237" s="228"/>
      <c r="AP237" s="228"/>
      <c r="AQ237" s="228"/>
      <c r="AR237" s="228"/>
      <c r="AS237" s="228"/>
      <c r="AT237" s="228"/>
      <c r="AU237" s="228"/>
      <c r="AV237" s="228"/>
      <c r="AW237" s="228"/>
      <c r="AX237" s="228"/>
      <c r="AY237" s="228"/>
      <c r="AZ237" s="228"/>
      <c r="BA237" s="228"/>
      <c r="BB237" s="228"/>
      <c r="BC237" s="228"/>
      <c r="BD237" s="228"/>
      <c r="BE237" s="228"/>
      <c r="BF237" s="228"/>
      <c r="BG237" s="228"/>
      <c r="BH237" s="228"/>
      <c r="BI237" s="228"/>
      <c r="BJ237" s="228"/>
      <c r="BK237" s="228"/>
      <c r="BL237" s="228"/>
      <c r="BM237" s="228"/>
      <c r="BN237" s="228"/>
      <c r="BO237" s="228"/>
      <c r="BP237" s="228"/>
      <c r="BQ237" s="228"/>
      <c r="BR237" s="228"/>
      <c r="BS237" s="228"/>
      <c r="BT237" s="228"/>
      <c r="BU237" s="228"/>
      <c r="BV237" s="228"/>
      <c r="BW237" s="228"/>
      <c r="BX237" s="228"/>
      <c r="BY237" s="228"/>
      <c r="BZ237" s="228"/>
      <c r="CA237" s="228"/>
      <c r="CB237" s="228"/>
      <c r="CC237" s="228"/>
      <c r="CD237" s="228"/>
      <c r="CE237" s="228"/>
      <c r="CF237" s="228"/>
      <c r="CG237" s="228"/>
      <c r="CH237" s="228"/>
      <c r="CI237" s="228"/>
      <c r="CJ237" s="228"/>
      <c r="CK237" s="228"/>
      <c r="CL237" s="228"/>
      <c r="CM237" s="228"/>
      <c r="CN237" s="228"/>
      <c r="CO237" s="228"/>
      <c r="CP237" s="228"/>
      <c r="CQ237" s="228"/>
      <c r="CR237" s="228"/>
      <c r="CS237" s="228"/>
      <c r="CT237" s="228"/>
      <c r="CU237" s="228"/>
      <c r="CV237" s="228"/>
      <c r="CW237" s="228"/>
      <c r="CX237" s="228"/>
      <c r="CY237" s="228"/>
      <c r="CZ237" s="228"/>
      <c r="DA237" s="228"/>
      <c r="DB237" s="228"/>
    </row>
    <row r="238" ht="12.0" customHeight="1">
      <c r="A238" s="228"/>
      <c r="B238" s="228"/>
      <c r="C238" s="228"/>
      <c r="D238" s="228"/>
      <c r="E238" s="228"/>
      <c r="F238" s="228"/>
      <c r="G238" s="228"/>
      <c r="H238" s="228"/>
      <c r="I238" s="228"/>
      <c r="J238" s="228"/>
      <c r="K238" s="228"/>
      <c r="L238" s="228"/>
      <c r="M238" s="228"/>
      <c r="N238" s="228"/>
      <c r="O238" s="228"/>
      <c r="P238" s="228"/>
      <c r="Q238" s="228"/>
      <c r="R238" s="228"/>
      <c r="S238" s="228"/>
      <c r="T238" s="228"/>
      <c r="U238" s="228"/>
      <c r="V238" s="228"/>
      <c r="W238" s="228"/>
      <c r="X238" s="228"/>
      <c r="Y238" s="228"/>
      <c r="Z238" s="228"/>
      <c r="AA238" s="228"/>
      <c r="AB238" s="228"/>
      <c r="AC238" s="228"/>
      <c r="AD238" s="228"/>
      <c r="AE238" s="228"/>
      <c r="AF238" s="228"/>
      <c r="AG238" s="228"/>
      <c r="AH238" s="228"/>
      <c r="AI238" s="228"/>
      <c r="AJ238" s="228"/>
      <c r="AK238" s="228"/>
      <c r="AL238" s="228"/>
      <c r="AM238" s="228"/>
      <c r="AN238" s="228"/>
      <c r="AO238" s="228"/>
      <c r="AP238" s="228"/>
      <c r="AQ238" s="228"/>
      <c r="AR238" s="228"/>
      <c r="AS238" s="228"/>
      <c r="AT238" s="228"/>
      <c r="AU238" s="228"/>
      <c r="AV238" s="228"/>
      <c r="AW238" s="228"/>
      <c r="AX238" s="228"/>
      <c r="AY238" s="228"/>
      <c r="AZ238" s="228"/>
      <c r="BA238" s="228"/>
      <c r="BB238" s="228"/>
      <c r="BC238" s="228"/>
      <c r="BD238" s="228"/>
      <c r="BE238" s="228"/>
      <c r="BF238" s="228"/>
      <c r="BG238" s="228"/>
      <c r="BH238" s="228"/>
      <c r="BI238" s="228"/>
      <c r="BJ238" s="228"/>
      <c r="BK238" s="228"/>
      <c r="BL238" s="228"/>
      <c r="BM238" s="228"/>
      <c r="BN238" s="228"/>
      <c r="BO238" s="228"/>
      <c r="BP238" s="228"/>
      <c r="BQ238" s="228"/>
      <c r="BR238" s="228"/>
      <c r="BS238" s="228"/>
      <c r="BT238" s="228"/>
      <c r="BU238" s="228"/>
      <c r="BV238" s="228"/>
      <c r="BW238" s="228"/>
      <c r="BX238" s="228"/>
      <c r="BY238" s="228"/>
      <c r="BZ238" s="228"/>
      <c r="CA238" s="228"/>
      <c r="CB238" s="228"/>
      <c r="CC238" s="228"/>
      <c r="CD238" s="228"/>
      <c r="CE238" s="228"/>
      <c r="CF238" s="228"/>
      <c r="CG238" s="228"/>
      <c r="CH238" s="228"/>
      <c r="CI238" s="228"/>
      <c r="CJ238" s="228"/>
      <c r="CK238" s="228"/>
      <c r="CL238" s="228"/>
      <c r="CM238" s="228"/>
      <c r="CN238" s="228"/>
      <c r="CO238" s="228"/>
      <c r="CP238" s="228"/>
      <c r="CQ238" s="228"/>
      <c r="CR238" s="228"/>
      <c r="CS238" s="228"/>
      <c r="CT238" s="228"/>
      <c r="CU238" s="228"/>
      <c r="CV238" s="228"/>
      <c r="CW238" s="228"/>
      <c r="CX238" s="228"/>
      <c r="CY238" s="228"/>
      <c r="CZ238" s="228"/>
      <c r="DA238" s="228"/>
      <c r="DB238" s="228"/>
    </row>
    <row r="239" ht="12.0" customHeight="1">
      <c r="A239" s="228"/>
      <c r="B239" s="228"/>
      <c r="C239" s="228"/>
      <c r="D239" s="228"/>
      <c r="E239" s="228"/>
      <c r="F239" s="228"/>
      <c r="G239" s="228"/>
      <c r="H239" s="228"/>
      <c r="I239" s="228"/>
      <c r="J239" s="228"/>
      <c r="K239" s="228"/>
      <c r="L239" s="228"/>
      <c r="M239" s="228"/>
      <c r="N239" s="228"/>
      <c r="O239" s="228"/>
      <c r="P239" s="228"/>
      <c r="Q239" s="228"/>
      <c r="R239" s="228"/>
      <c r="S239" s="228"/>
      <c r="T239" s="228"/>
      <c r="U239" s="228"/>
      <c r="V239" s="228"/>
      <c r="W239" s="228"/>
      <c r="X239" s="228"/>
      <c r="Y239" s="228"/>
      <c r="Z239" s="228"/>
      <c r="AA239" s="228"/>
      <c r="AB239" s="228"/>
      <c r="AC239" s="228"/>
      <c r="AD239" s="228"/>
      <c r="AE239" s="228"/>
      <c r="AF239" s="228"/>
      <c r="AG239" s="228"/>
      <c r="AH239" s="228"/>
      <c r="AI239" s="228"/>
      <c r="AJ239" s="228"/>
      <c r="AK239" s="228"/>
      <c r="AL239" s="228"/>
      <c r="AM239" s="228"/>
      <c r="AN239" s="228"/>
      <c r="AO239" s="228"/>
      <c r="AP239" s="228"/>
      <c r="AQ239" s="228"/>
      <c r="AR239" s="228"/>
      <c r="AS239" s="228"/>
      <c r="AT239" s="228"/>
      <c r="AU239" s="228"/>
      <c r="AV239" s="228"/>
      <c r="AW239" s="228"/>
      <c r="AX239" s="228"/>
      <c r="AY239" s="228"/>
      <c r="AZ239" s="228"/>
      <c r="BA239" s="228"/>
      <c r="BB239" s="228"/>
      <c r="BC239" s="228"/>
      <c r="BD239" s="228"/>
      <c r="BE239" s="228"/>
      <c r="BF239" s="228"/>
      <c r="BG239" s="228"/>
      <c r="BH239" s="228"/>
      <c r="BI239" s="228"/>
      <c r="BJ239" s="228"/>
      <c r="BK239" s="228"/>
      <c r="BL239" s="228"/>
      <c r="BM239" s="228"/>
      <c r="BN239" s="228"/>
      <c r="BO239" s="228"/>
      <c r="BP239" s="228"/>
      <c r="BQ239" s="228"/>
      <c r="BR239" s="228"/>
      <c r="BS239" s="228"/>
      <c r="BT239" s="228"/>
      <c r="BU239" s="228"/>
      <c r="BV239" s="228"/>
      <c r="BW239" s="228"/>
      <c r="BX239" s="228"/>
      <c r="BY239" s="228"/>
      <c r="BZ239" s="228"/>
      <c r="CA239" s="228"/>
      <c r="CB239" s="228"/>
      <c r="CC239" s="228"/>
      <c r="CD239" s="228"/>
      <c r="CE239" s="228"/>
      <c r="CF239" s="228"/>
      <c r="CG239" s="228"/>
      <c r="CH239" s="228"/>
      <c r="CI239" s="228"/>
      <c r="CJ239" s="228"/>
      <c r="CK239" s="228"/>
      <c r="CL239" s="228"/>
      <c r="CM239" s="228"/>
      <c r="CN239" s="228"/>
      <c r="CO239" s="228"/>
      <c r="CP239" s="228"/>
      <c r="CQ239" s="228"/>
      <c r="CR239" s="228"/>
      <c r="CS239" s="228"/>
      <c r="CT239" s="228"/>
      <c r="CU239" s="228"/>
      <c r="CV239" s="228"/>
      <c r="CW239" s="228"/>
      <c r="CX239" s="228"/>
      <c r="CY239" s="228"/>
      <c r="CZ239" s="228"/>
      <c r="DA239" s="228"/>
      <c r="DB239" s="228"/>
    </row>
    <row r="240" ht="12.0" customHeight="1">
      <c r="A240" s="228"/>
      <c r="B240" s="228"/>
      <c r="C240" s="228"/>
      <c r="D240" s="228"/>
      <c r="E240" s="228"/>
      <c r="F240" s="228"/>
      <c r="G240" s="228"/>
      <c r="H240" s="228"/>
      <c r="I240" s="228"/>
      <c r="J240" s="228"/>
      <c r="K240" s="228"/>
      <c r="L240" s="228"/>
      <c r="M240" s="228"/>
      <c r="N240" s="228"/>
      <c r="O240" s="228"/>
      <c r="P240" s="228"/>
      <c r="Q240" s="228"/>
      <c r="R240" s="228"/>
      <c r="S240" s="228"/>
      <c r="T240" s="228"/>
      <c r="U240" s="228"/>
      <c r="V240" s="228"/>
      <c r="W240" s="228"/>
      <c r="X240" s="228"/>
      <c r="Y240" s="228"/>
      <c r="Z240" s="228"/>
      <c r="AA240" s="228"/>
      <c r="AB240" s="228"/>
      <c r="AC240" s="228"/>
      <c r="AD240" s="228"/>
      <c r="AE240" s="228"/>
      <c r="AF240" s="228"/>
      <c r="AG240" s="228"/>
      <c r="AH240" s="228"/>
      <c r="AI240" s="228"/>
      <c r="AJ240" s="228"/>
      <c r="AK240" s="228"/>
      <c r="AL240" s="228"/>
      <c r="AM240" s="228"/>
      <c r="AN240" s="228"/>
      <c r="AO240" s="228"/>
      <c r="AP240" s="228"/>
      <c r="AQ240" s="228"/>
      <c r="AR240" s="228"/>
      <c r="AS240" s="228"/>
      <c r="AT240" s="228"/>
      <c r="AU240" s="228"/>
      <c r="AV240" s="228"/>
      <c r="AW240" s="228"/>
      <c r="AX240" s="228"/>
      <c r="AY240" s="228"/>
      <c r="AZ240" s="228"/>
      <c r="BA240" s="228"/>
      <c r="BB240" s="228"/>
      <c r="BC240" s="228"/>
      <c r="BD240" s="228"/>
      <c r="BE240" s="228"/>
      <c r="BF240" s="228"/>
      <c r="BG240" s="228"/>
      <c r="BH240" s="228"/>
      <c r="BI240" s="228"/>
      <c r="BJ240" s="228"/>
      <c r="BK240" s="228"/>
      <c r="BL240" s="228"/>
      <c r="BM240" s="228"/>
      <c r="BN240" s="228"/>
      <c r="BO240" s="228"/>
      <c r="BP240" s="228"/>
      <c r="BQ240" s="228"/>
      <c r="BR240" s="228"/>
      <c r="BS240" s="228"/>
      <c r="BT240" s="228"/>
      <c r="BU240" s="228"/>
      <c r="BV240" s="228"/>
      <c r="BW240" s="228"/>
      <c r="BX240" s="228"/>
      <c r="BY240" s="228"/>
      <c r="BZ240" s="228"/>
      <c r="CA240" s="228"/>
      <c r="CB240" s="228"/>
      <c r="CC240" s="228"/>
      <c r="CD240" s="228"/>
      <c r="CE240" s="228"/>
      <c r="CF240" s="228"/>
      <c r="CG240" s="228"/>
      <c r="CH240" s="228"/>
      <c r="CI240" s="228"/>
      <c r="CJ240" s="228"/>
      <c r="CK240" s="228"/>
      <c r="CL240" s="228"/>
      <c r="CM240" s="228"/>
      <c r="CN240" s="228"/>
      <c r="CO240" s="228"/>
      <c r="CP240" s="228"/>
      <c r="CQ240" s="228"/>
      <c r="CR240" s="228"/>
      <c r="CS240" s="228"/>
      <c r="CT240" s="228"/>
      <c r="CU240" s="228"/>
      <c r="CV240" s="228"/>
      <c r="CW240" s="228"/>
      <c r="CX240" s="228"/>
      <c r="CY240" s="228"/>
      <c r="CZ240" s="228"/>
      <c r="DA240" s="228"/>
      <c r="DB240" s="228"/>
    </row>
    <row r="241" ht="12.0" customHeight="1">
      <c r="A241" s="228"/>
      <c r="B241" s="228"/>
      <c r="C241" s="228"/>
      <c r="D241" s="228"/>
      <c r="E241" s="228"/>
      <c r="F241" s="228"/>
      <c r="G241" s="228"/>
      <c r="H241" s="228"/>
      <c r="I241" s="228"/>
      <c r="J241" s="228"/>
      <c r="K241" s="228"/>
      <c r="L241" s="228"/>
      <c r="M241" s="228"/>
      <c r="N241" s="228"/>
      <c r="O241" s="228"/>
      <c r="P241" s="228"/>
      <c r="Q241" s="228"/>
      <c r="R241" s="228"/>
      <c r="S241" s="228"/>
      <c r="T241" s="228"/>
      <c r="U241" s="228"/>
      <c r="V241" s="228"/>
      <c r="W241" s="228"/>
      <c r="X241" s="228"/>
      <c r="Y241" s="228"/>
      <c r="Z241" s="228"/>
      <c r="AA241" s="228"/>
      <c r="AB241" s="228"/>
      <c r="AC241" s="228"/>
      <c r="AD241" s="228"/>
      <c r="AE241" s="228"/>
      <c r="AF241" s="228"/>
      <c r="AG241" s="228"/>
      <c r="AH241" s="228"/>
      <c r="AI241" s="228"/>
      <c r="AJ241" s="228"/>
      <c r="AK241" s="228"/>
      <c r="AL241" s="228"/>
      <c r="AM241" s="228"/>
      <c r="AN241" s="228"/>
      <c r="AO241" s="228"/>
      <c r="AP241" s="228"/>
      <c r="AQ241" s="228"/>
      <c r="AR241" s="228"/>
      <c r="AS241" s="228"/>
      <c r="AT241" s="228"/>
      <c r="AU241" s="228"/>
      <c r="AV241" s="228"/>
      <c r="AW241" s="228"/>
      <c r="AX241" s="228"/>
      <c r="AY241" s="228"/>
      <c r="AZ241" s="228"/>
      <c r="BA241" s="228"/>
      <c r="BB241" s="228"/>
      <c r="BC241" s="228"/>
      <c r="BD241" s="228"/>
      <c r="BE241" s="228"/>
      <c r="BF241" s="228"/>
      <c r="BG241" s="228"/>
      <c r="BH241" s="228"/>
      <c r="BI241" s="228"/>
      <c r="BJ241" s="228"/>
      <c r="BK241" s="228"/>
      <c r="BL241" s="228"/>
      <c r="BM241" s="228"/>
      <c r="BN241" s="228"/>
      <c r="BO241" s="228"/>
      <c r="BP241" s="228"/>
      <c r="BQ241" s="228"/>
      <c r="BR241" s="228"/>
      <c r="BS241" s="228"/>
      <c r="BT241" s="228"/>
      <c r="BU241" s="228"/>
      <c r="BV241" s="228"/>
      <c r="BW241" s="228"/>
      <c r="BX241" s="228"/>
      <c r="BY241" s="228"/>
      <c r="BZ241" s="228"/>
      <c r="CA241" s="228"/>
      <c r="CB241" s="228"/>
      <c r="CC241" s="228"/>
      <c r="CD241" s="228"/>
      <c r="CE241" s="228"/>
      <c r="CF241" s="228"/>
      <c r="CG241" s="228"/>
      <c r="CH241" s="228"/>
      <c r="CI241" s="228"/>
      <c r="CJ241" s="228"/>
      <c r="CK241" s="228"/>
      <c r="CL241" s="228"/>
      <c r="CM241" s="228"/>
      <c r="CN241" s="228"/>
      <c r="CO241" s="228"/>
      <c r="CP241" s="228"/>
      <c r="CQ241" s="228"/>
      <c r="CR241" s="228"/>
      <c r="CS241" s="228"/>
      <c r="CT241" s="228"/>
      <c r="CU241" s="228"/>
      <c r="CV241" s="228"/>
      <c r="CW241" s="228"/>
      <c r="CX241" s="228"/>
      <c r="CY241" s="228"/>
      <c r="CZ241" s="228"/>
      <c r="DA241" s="228"/>
      <c r="DB241" s="228"/>
    </row>
    <row r="242" ht="12.0" customHeight="1">
      <c r="A242" s="228"/>
      <c r="B242" s="228"/>
      <c r="C242" s="228"/>
      <c r="D242" s="228"/>
      <c r="E242" s="228"/>
      <c r="F242" s="228"/>
      <c r="G242" s="228"/>
      <c r="H242" s="228"/>
      <c r="I242" s="228"/>
      <c r="J242" s="228"/>
      <c r="K242" s="228"/>
      <c r="L242" s="228"/>
      <c r="M242" s="228"/>
      <c r="N242" s="228"/>
      <c r="O242" s="228"/>
      <c r="P242" s="228"/>
      <c r="Q242" s="228"/>
      <c r="R242" s="228"/>
      <c r="S242" s="228"/>
      <c r="T242" s="228"/>
      <c r="U242" s="228"/>
      <c r="V242" s="228"/>
      <c r="W242" s="228"/>
      <c r="X242" s="228"/>
      <c r="Y242" s="228"/>
      <c r="Z242" s="228"/>
      <c r="AA242" s="228"/>
      <c r="AB242" s="228"/>
      <c r="AC242" s="228"/>
      <c r="AD242" s="228"/>
      <c r="AE242" s="228"/>
      <c r="AF242" s="228"/>
      <c r="AG242" s="228"/>
      <c r="AH242" s="228"/>
      <c r="AI242" s="228"/>
      <c r="AJ242" s="228"/>
      <c r="AK242" s="228"/>
      <c r="AL242" s="228"/>
      <c r="AM242" s="228"/>
      <c r="AN242" s="228"/>
      <c r="AO242" s="228"/>
      <c r="AP242" s="228"/>
      <c r="AQ242" s="228"/>
      <c r="AR242" s="228"/>
      <c r="AS242" s="228"/>
      <c r="AT242" s="228"/>
      <c r="AU242" s="228"/>
      <c r="AV242" s="228"/>
      <c r="AW242" s="228"/>
      <c r="AX242" s="228"/>
      <c r="AY242" s="228"/>
      <c r="AZ242" s="228"/>
      <c r="BA242" s="228"/>
      <c r="BB242" s="228"/>
      <c r="BC242" s="228"/>
      <c r="BD242" s="228"/>
      <c r="BE242" s="228"/>
      <c r="BF242" s="228"/>
      <c r="BG242" s="228"/>
      <c r="BH242" s="228"/>
      <c r="BI242" s="228"/>
      <c r="BJ242" s="228"/>
      <c r="BK242" s="228"/>
      <c r="BL242" s="228"/>
      <c r="BM242" s="228"/>
      <c r="BN242" s="228"/>
      <c r="BO242" s="228"/>
      <c r="BP242" s="228"/>
      <c r="BQ242" s="228"/>
      <c r="BR242" s="228"/>
      <c r="BS242" s="228"/>
      <c r="BT242" s="228"/>
      <c r="BU242" s="228"/>
      <c r="BV242" s="228"/>
      <c r="BW242" s="228"/>
      <c r="BX242" s="228"/>
      <c r="BY242" s="228"/>
      <c r="BZ242" s="228"/>
      <c r="CA242" s="228"/>
      <c r="CB242" s="228"/>
      <c r="CC242" s="228"/>
      <c r="CD242" s="228"/>
      <c r="CE242" s="228"/>
      <c r="CF242" s="228"/>
      <c r="CG242" s="228"/>
      <c r="CH242" s="228"/>
      <c r="CI242" s="228"/>
      <c r="CJ242" s="228"/>
      <c r="CK242" s="228"/>
      <c r="CL242" s="228"/>
      <c r="CM242" s="228"/>
      <c r="CN242" s="228"/>
      <c r="CO242" s="228"/>
      <c r="CP242" s="228"/>
      <c r="CQ242" s="228"/>
      <c r="CR242" s="228"/>
      <c r="CS242" s="228"/>
      <c r="CT242" s="228"/>
      <c r="CU242" s="228"/>
      <c r="CV242" s="228"/>
      <c r="CW242" s="228"/>
      <c r="CX242" s="228"/>
      <c r="CY242" s="228"/>
      <c r="CZ242" s="228"/>
      <c r="DA242" s="228"/>
      <c r="DB242" s="228"/>
    </row>
    <row r="243" ht="12.0" customHeight="1">
      <c r="A243" s="228"/>
      <c r="B243" s="228"/>
      <c r="C243" s="228"/>
      <c r="D243" s="228"/>
      <c r="E243" s="228"/>
      <c r="F243" s="228"/>
      <c r="G243" s="228"/>
      <c r="H243" s="228"/>
      <c r="I243" s="228"/>
      <c r="J243" s="228"/>
      <c r="K243" s="228"/>
      <c r="L243" s="228"/>
      <c r="M243" s="228"/>
      <c r="N243" s="228"/>
      <c r="O243" s="228"/>
      <c r="P243" s="228"/>
      <c r="Q243" s="228"/>
      <c r="R243" s="228"/>
      <c r="S243" s="228"/>
      <c r="T243" s="228"/>
      <c r="U243" s="228"/>
      <c r="V243" s="228"/>
      <c r="W243" s="228"/>
      <c r="X243" s="228"/>
      <c r="Y243" s="228"/>
      <c r="Z243" s="228"/>
      <c r="AA243" s="228"/>
      <c r="AB243" s="228"/>
      <c r="AC243" s="228"/>
      <c r="AD243" s="228"/>
      <c r="AE243" s="228"/>
      <c r="AF243" s="228"/>
      <c r="AG243" s="228"/>
      <c r="AH243" s="228"/>
      <c r="AI243" s="228"/>
      <c r="AJ243" s="228"/>
      <c r="AK243" s="228"/>
      <c r="AL243" s="228"/>
      <c r="AM243" s="228"/>
      <c r="AN243" s="228"/>
      <c r="AO243" s="228"/>
      <c r="AP243" s="228"/>
      <c r="AQ243" s="228"/>
      <c r="AR243" s="228"/>
      <c r="AS243" s="228"/>
      <c r="AT243" s="228"/>
      <c r="AU243" s="228"/>
      <c r="AV243" s="228"/>
      <c r="AW243" s="228"/>
      <c r="AX243" s="228"/>
      <c r="AY243" s="228"/>
      <c r="AZ243" s="228"/>
      <c r="BA243" s="228"/>
      <c r="BB243" s="228"/>
      <c r="BC243" s="228"/>
      <c r="BD243" s="228"/>
      <c r="BE243" s="228"/>
      <c r="BF243" s="228"/>
      <c r="BG243" s="228"/>
      <c r="BH243" s="228"/>
      <c r="BI243" s="228"/>
      <c r="BJ243" s="228"/>
      <c r="BK243" s="228"/>
      <c r="BL243" s="228"/>
      <c r="BM243" s="228"/>
      <c r="BN243" s="228"/>
      <c r="BO243" s="228"/>
      <c r="BP243" s="228"/>
      <c r="BQ243" s="228"/>
      <c r="BR243" s="228"/>
      <c r="BS243" s="228"/>
      <c r="BT243" s="228"/>
      <c r="BU243" s="228"/>
      <c r="BV243" s="228"/>
      <c r="BW243" s="228"/>
      <c r="BX243" s="228"/>
      <c r="BY243" s="228"/>
      <c r="BZ243" s="228"/>
      <c r="CA243" s="228"/>
      <c r="CB243" s="228"/>
      <c r="CC243" s="228"/>
      <c r="CD243" s="228"/>
      <c r="CE243" s="228"/>
      <c r="CF243" s="228"/>
      <c r="CG243" s="228"/>
      <c r="CH243" s="228"/>
      <c r="CI243" s="228"/>
      <c r="CJ243" s="228"/>
      <c r="CK243" s="228"/>
      <c r="CL243" s="228"/>
      <c r="CM243" s="228"/>
      <c r="CN243" s="228"/>
      <c r="CO243" s="228"/>
      <c r="CP243" s="228"/>
      <c r="CQ243" s="228"/>
      <c r="CR243" s="228"/>
      <c r="CS243" s="228"/>
      <c r="CT243" s="228"/>
      <c r="CU243" s="228"/>
      <c r="CV243" s="228"/>
      <c r="CW243" s="228"/>
      <c r="CX243" s="228"/>
      <c r="CY243" s="228"/>
      <c r="CZ243" s="228"/>
      <c r="DA243" s="228"/>
      <c r="DB243" s="228"/>
    </row>
    <row r="244" ht="12.0" customHeight="1">
      <c r="A244" s="228"/>
      <c r="B244" s="228"/>
      <c r="C244" s="228"/>
      <c r="D244" s="228"/>
      <c r="E244" s="228"/>
      <c r="F244" s="228"/>
      <c r="G244" s="228"/>
      <c r="H244" s="228"/>
      <c r="I244" s="228"/>
      <c r="J244" s="228"/>
      <c r="K244" s="228"/>
      <c r="L244" s="228"/>
      <c r="M244" s="228"/>
      <c r="N244" s="228"/>
      <c r="O244" s="228"/>
      <c r="P244" s="228"/>
      <c r="Q244" s="228"/>
      <c r="R244" s="228"/>
      <c r="S244" s="228"/>
      <c r="T244" s="228"/>
      <c r="U244" s="228"/>
      <c r="V244" s="228"/>
      <c r="W244" s="228"/>
      <c r="X244" s="228"/>
      <c r="Y244" s="228"/>
      <c r="Z244" s="228"/>
      <c r="AA244" s="228"/>
      <c r="AB244" s="228"/>
      <c r="AC244" s="228"/>
      <c r="AD244" s="228"/>
      <c r="AE244" s="228"/>
      <c r="AF244" s="228"/>
      <c r="AG244" s="228"/>
      <c r="AH244" s="228"/>
      <c r="AI244" s="228"/>
      <c r="AJ244" s="228"/>
      <c r="AK244" s="228"/>
      <c r="AL244" s="228"/>
      <c r="AM244" s="228"/>
      <c r="AN244" s="228"/>
      <c r="AO244" s="228"/>
      <c r="AP244" s="228"/>
      <c r="AQ244" s="228"/>
      <c r="AR244" s="228"/>
      <c r="AS244" s="228"/>
      <c r="AT244" s="228"/>
      <c r="AU244" s="228"/>
      <c r="AV244" s="228"/>
      <c r="AW244" s="228"/>
      <c r="AX244" s="228"/>
      <c r="AY244" s="228"/>
      <c r="AZ244" s="228"/>
      <c r="BA244" s="228"/>
      <c r="BB244" s="228"/>
      <c r="BC244" s="228"/>
      <c r="BD244" s="228"/>
      <c r="BE244" s="228"/>
      <c r="BF244" s="228"/>
      <c r="BG244" s="228"/>
      <c r="BH244" s="228"/>
      <c r="BI244" s="228"/>
      <c r="BJ244" s="228"/>
      <c r="BK244" s="228"/>
      <c r="BL244" s="228"/>
      <c r="BM244" s="228"/>
      <c r="BN244" s="228"/>
      <c r="BO244" s="228"/>
      <c r="BP244" s="228"/>
      <c r="BQ244" s="228"/>
      <c r="BR244" s="228"/>
      <c r="BS244" s="228"/>
      <c r="BT244" s="228"/>
      <c r="BU244" s="228"/>
      <c r="BV244" s="228"/>
      <c r="BW244" s="228"/>
      <c r="BX244" s="228"/>
      <c r="BY244" s="228"/>
      <c r="BZ244" s="228"/>
      <c r="CA244" s="228"/>
      <c r="CB244" s="228"/>
      <c r="CC244" s="228"/>
      <c r="CD244" s="228"/>
      <c r="CE244" s="228"/>
      <c r="CF244" s="228"/>
      <c r="CG244" s="228"/>
      <c r="CH244" s="228"/>
      <c r="CI244" s="228"/>
      <c r="CJ244" s="228"/>
      <c r="CK244" s="228"/>
      <c r="CL244" s="228"/>
      <c r="CM244" s="228"/>
      <c r="CN244" s="228"/>
      <c r="CO244" s="228"/>
      <c r="CP244" s="228"/>
      <c r="CQ244" s="228"/>
      <c r="CR244" s="228"/>
      <c r="CS244" s="228"/>
      <c r="CT244" s="228"/>
      <c r="CU244" s="228"/>
      <c r="CV244" s="228"/>
      <c r="CW244" s="228"/>
      <c r="CX244" s="228"/>
      <c r="CY244" s="228"/>
      <c r="CZ244" s="228"/>
      <c r="DA244" s="228"/>
      <c r="DB244" s="228"/>
    </row>
    <row r="245" ht="12.0" customHeight="1">
      <c r="A245" s="228"/>
      <c r="B245" s="228"/>
      <c r="C245" s="228"/>
      <c r="D245" s="228"/>
      <c r="E245" s="228"/>
      <c r="F245" s="228"/>
      <c r="G245" s="228"/>
      <c r="H245" s="228"/>
      <c r="I245" s="228"/>
      <c r="J245" s="228"/>
      <c r="K245" s="228"/>
      <c r="L245" s="228"/>
      <c r="M245" s="228"/>
      <c r="N245" s="228"/>
      <c r="O245" s="228"/>
      <c r="P245" s="228"/>
      <c r="Q245" s="228"/>
      <c r="R245" s="228"/>
      <c r="S245" s="228"/>
      <c r="T245" s="228"/>
      <c r="U245" s="228"/>
      <c r="V245" s="228"/>
      <c r="W245" s="228"/>
      <c r="X245" s="228"/>
      <c r="Y245" s="228"/>
      <c r="Z245" s="228"/>
      <c r="AA245" s="228"/>
      <c r="AB245" s="228"/>
      <c r="AC245" s="228"/>
      <c r="AD245" s="228"/>
      <c r="AE245" s="228"/>
      <c r="AF245" s="228"/>
      <c r="AG245" s="228"/>
      <c r="AH245" s="228"/>
      <c r="AI245" s="228"/>
      <c r="AJ245" s="228"/>
      <c r="AK245" s="228"/>
      <c r="AL245" s="228"/>
      <c r="AM245" s="228"/>
      <c r="AN245" s="228"/>
      <c r="AO245" s="228"/>
      <c r="AP245" s="228"/>
      <c r="AQ245" s="228"/>
      <c r="AR245" s="228"/>
      <c r="AS245" s="228"/>
      <c r="AT245" s="228"/>
      <c r="AU245" s="228"/>
      <c r="AV245" s="228"/>
      <c r="AW245" s="228"/>
      <c r="AX245" s="228"/>
      <c r="AY245" s="228"/>
      <c r="AZ245" s="228"/>
      <c r="BA245" s="228"/>
      <c r="BB245" s="228"/>
      <c r="BC245" s="228"/>
      <c r="BD245" s="228"/>
      <c r="BE245" s="228"/>
      <c r="BF245" s="228"/>
      <c r="BG245" s="228"/>
      <c r="BH245" s="228"/>
      <c r="BI245" s="228"/>
      <c r="BJ245" s="228"/>
      <c r="BK245" s="228"/>
      <c r="BL245" s="228"/>
      <c r="BM245" s="228"/>
      <c r="BN245" s="228"/>
      <c r="BO245" s="228"/>
      <c r="BP245" s="228"/>
      <c r="BQ245" s="228"/>
      <c r="BR245" s="228"/>
      <c r="BS245" s="228"/>
      <c r="BT245" s="228"/>
      <c r="BU245" s="228"/>
      <c r="BV245" s="228"/>
      <c r="BW245" s="228"/>
      <c r="BX245" s="228"/>
      <c r="BY245" s="228"/>
      <c r="BZ245" s="228"/>
      <c r="CA245" s="228"/>
      <c r="CB245" s="228"/>
      <c r="CC245" s="228"/>
      <c r="CD245" s="228"/>
      <c r="CE245" s="228"/>
      <c r="CF245" s="228"/>
      <c r="CG245" s="228"/>
      <c r="CH245" s="228"/>
      <c r="CI245" s="228"/>
      <c r="CJ245" s="228"/>
      <c r="CK245" s="228"/>
      <c r="CL245" s="228"/>
      <c r="CM245" s="228"/>
      <c r="CN245" s="228"/>
      <c r="CO245" s="228"/>
      <c r="CP245" s="228"/>
      <c r="CQ245" s="228"/>
      <c r="CR245" s="228"/>
      <c r="CS245" s="228"/>
      <c r="CT245" s="228"/>
      <c r="CU245" s="228"/>
      <c r="CV245" s="228"/>
      <c r="CW245" s="228"/>
      <c r="CX245" s="228"/>
      <c r="CY245" s="228"/>
      <c r="CZ245" s="228"/>
      <c r="DA245" s="228"/>
      <c r="DB245" s="228"/>
    </row>
    <row r="246" ht="12.0" customHeight="1">
      <c r="A246" s="228"/>
      <c r="B246" s="228"/>
      <c r="C246" s="228"/>
      <c r="D246" s="228"/>
      <c r="E246" s="228"/>
      <c r="F246" s="228"/>
      <c r="G246" s="228"/>
      <c r="H246" s="228"/>
      <c r="I246" s="228"/>
      <c r="J246" s="228"/>
      <c r="K246" s="228"/>
      <c r="L246" s="228"/>
      <c r="M246" s="228"/>
      <c r="N246" s="228"/>
      <c r="O246" s="228"/>
      <c r="P246" s="228"/>
      <c r="Q246" s="228"/>
      <c r="R246" s="228"/>
      <c r="S246" s="228"/>
      <c r="T246" s="228"/>
      <c r="U246" s="228"/>
      <c r="V246" s="228"/>
      <c r="W246" s="228"/>
      <c r="X246" s="228"/>
      <c r="Y246" s="228"/>
      <c r="Z246" s="228"/>
      <c r="AA246" s="228"/>
      <c r="AB246" s="228"/>
      <c r="AC246" s="228"/>
      <c r="AD246" s="228"/>
      <c r="AE246" s="228"/>
      <c r="AF246" s="228"/>
      <c r="AG246" s="228"/>
      <c r="AH246" s="228"/>
      <c r="AI246" s="228"/>
      <c r="AJ246" s="228"/>
      <c r="AK246" s="228"/>
      <c r="AL246" s="228"/>
      <c r="AM246" s="228"/>
      <c r="AN246" s="228"/>
      <c r="AO246" s="228"/>
      <c r="AP246" s="228"/>
      <c r="AQ246" s="228"/>
      <c r="AR246" s="228"/>
      <c r="AS246" s="228"/>
      <c r="AT246" s="228"/>
      <c r="AU246" s="228"/>
      <c r="AV246" s="228"/>
      <c r="AW246" s="228"/>
      <c r="AX246" s="228"/>
      <c r="AY246" s="228"/>
      <c r="AZ246" s="228"/>
      <c r="BA246" s="228"/>
      <c r="BB246" s="228"/>
      <c r="BC246" s="228"/>
      <c r="BD246" s="228"/>
      <c r="BE246" s="228"/>
      <c r="BF246" s="228"/>
      <c r="BG246" s="228"/>
      <c r="BH246" s="228"/>
      <c r="BI246" s="228"/>
      <c r="BJ246" s="228"/>
      <c r="BK246" s="228"/>
      <c r="BL246" s="228"/>
      <c r="BM246" s="228"/>
      <c r="BN246" s="228"/>
      <c r="BO246" s="228"/>
      <c r="BP246" s="228"/>
      <c r="BQ246" s="228"/>
      <c r="BR246" s="228"/>
      <c r="BS246" s="228"/>
      <c r="BT246" s="228"/>
      <c r="BU246" s="228"/>
      <c r="BV246" s="228"/>
      <c r="BW246" s="228"/>
      <c r="BX246" s="228"/>
      <c r="BY246" s="228"/>
      <c r="BZ246" s="228"/>
      <c r="CA246" s="228"/>
      <c r="CB246" s="228"/>
      <c r="CC246" s="228"/>
      <c r="CD246" s="228"/>
      <c r="CE246" s="228"/>
      <c r="CF246" s="228"/>
      <c r="CG246" s="228"/>
      <c r="CH246" s="228"/>
      <c r="CI246" s="228"/>
      <c r="CJ246" s="228"/>
      <c r="CK246" s="228"/>
      <c r="CL246" s="228"/>
      <c r="CM246" s="228"/>
      <c r="CN246" s="228"/>
      <c r="CO246" s="228"/>
      <c r="CP246" s="228"/>
      <c r="CQ246" s="228"/>
      <c r="CR246" s="228"/>
      <c r="CS246" s="228"/>
      <c r="CT246" s="228"/>
      <c r="CU246" s="228"/>
      <c r="CV246" s="228"/>
      <c r="CW246" s="228"/>
      <c r="CX246" s="228"/>
      <c r="CY246" s="228"/>
      <c r="CZ246" s="228"/>
      <c r="DA246" s="228"/>
      <c r="DB246" s="228"/>
    </row>
    <row r="247" ht="12.0" customHeight="1">
      <c r="A247" s="228"/>
      <c r="B247" s="228"/>
      <c r="C247" s="228"/>
      <c r="D247" s="228"/>
      <c r="E247" s="228"/>
      <c r="F247" s="228"/>
      <c r="G247" s="228"/>
      <c r="H247" s="228"/>
      <c r="I247" s="228"/>
      <c r="J247" s="228"/>
      <c r="K247" s="228"/>
      <c r="L247" s="228"/>
      <c r="M247" s="228"/>
      <c r="N247" s="228"/>
      <c r="O247" s="228"/>
      <c r="P247" s="228"/>
      <c r="Q247" s="228"/>
      <c r="R247" s="228"/>
      <c r="S247" s="228"/>
      <c r="T247" s="228"/>
      <c r="U247" s="228"/>
      <c r="V247" s="228"/>
      <c r="W247" s="228"/>
      <c r="X247" s="228"/>
      <c r="Y247" s="228"/>
      <c r="Z247" s="228"/>
      <c r="AA247" s="228"/>
      <c r="AB247" s="228"/>
      <c r="AC247" s="228"/>
      <c r="AD247" s="228"/>
      <c r="AE247" s="228"/>
      <c r="AF247" s="228"/>
      <c r="AG247" s="228"/>
      <c r="AH247" s="228"/>
      <c r="AI247" s="228"/>
      <c r="AJ247" s="228"/>
      <c r="AK247" s="228"/>
      <c r="AL247" s="228"/>
      <c r="AM247" s="228"/>
      <c r="AN247" s="228"/>
      <c r="AO247" s="228"/>
      <c r="AP247" s="228"/>
      <c r="AQ247" s="228"/>
      <c r="AR247" s="228"/>
      <c r="AS247" s="228"/>
      <c r="AT247" s="228"/>
      <c r="AU247" s="228"/>
      <c r="AV247" s="228"/>
      <c r="AW247" s="228"/>
      <c r="AX247" s="228"/>
      <c r="AY247" s="228"/>
      <c r="AZ247" s="228"/>
      <c r="BA247" s="228"/>
      <c r="BB247" s="228"/>
      <c r="BC247" s="228"/>
      <c r="BD247" s="228"/>
      <c r="BE247" s="228"/>
      <c r="BF247" s="228"/>
      <c r="BG247" s="228"/>
      <c r="BH247" s="228"/>
      <c r="BI247" s="228"/>
      <c r="BJ247" s="228"/>
      <c r="BK247" s="228"/>
      <c r="BL247" s="228"/>
      <c r="BM247" s="228"/>
      <c r="BN247" s="228"/>
      <c r="BO247" s="228"/>
      <c r="BP247" s="228"/>
      <c r="BQ247" s="228"/>
      <c r="BR247" s="228"/>
      <c r="BS247" s="228"/>
      <c r="BT247" s="228"/>
      <c r="BU247" s="228"/>
      <c r="BV247" s="228"/>
      <c r="BW247" s="228"/>
      <c r="BX247" s="228"/>
      <c r="BY247" s="228"/>
      <c r="BZ247" s="228"/>
      <c r="CA247" s="228"/>
      <c r="CB247" s="228"/>
      <c r="CC247" s="228"/>
      <c r="CD247" s="228"/>
      <c r="CE247" s="228"/>
      <c r="CF247" s="228"/>
      <c r="CG247" s="228"/>
      <c r="CH247" s="228"/>
      <c r="CI247" s="228"/>
      <c r="CJ247" s="228"/>
      <c r="CK247" s="228"/>
      <c r="CL247" s="228"/>
      <c r="CM247" s="228"/>
      <c r="CN247" s="228"/>
      <c r="CO247" s="228"/>
      <c r="CP247" s="228"/>
      <c r="CQ247" s="228"/>
      <c r="CR247" s="228"/>
      <c r="CS247" s="228"/>
      <c r="CT247" s="228"/>
      <c r="CU247" s="228"/>
      <c r="CV247" s="228"/>
      <c r="CW247" s="228"/>
      <c r="CX247" s="228"/>
      <c r="CY247" s="228"/>
      <c r="CZ247" s="228"/>
      <c r="DA247" s="228"/>
      <c r="DB247" s="228"/>
    </row>
    <row r="248" ht="12.0" customHeight="1">
      <c r="A248" s="228"/>
      <c r="B248" s="228"/>
      <c r="C248" s="228"/>
      <c r="D248" s="228"/>
      <c r="E248" s="228"/>
      <c r="F248" s="228"/>
      <c r="G248" s="228"/>
      <c r="H248" s="228"/>
      <c r="I248" s="228"/>
      <c r="J248" s="228"/>
      <c r="K248" s="228"/>
      <c r="L248" s="228"/>
      <c r="M248" s="228"/>
      <c r="N248" s="228"/>
      <c r="O248" s="228"/>
      <c r="P248" s="228"/>
      <c r="Q248" s="228"/>
      <c r="R248" s="228"/>
      <c r="S248" s="228"/>
      <c r="T248" s="228"/>
      <c r="U248" s="228"/>
      <c r="V248" s="228"/>
      <c r="W248" s="228"/>
      <c r="X248" s="228"/>
      <c r="Y248" s="228"/>
      <c r="Z248" s="228"/>
      <c r="AA248" s="228"/>
      <c r="AB248" s="228"/>
      <c r="AC248" s="228"/>
      <c r="AD248" s="228"/>
      <c r="AE248" s="228"/>
      <c r="AF248" s="228"/>
      <c r="AG248" s="228"/>
      <c r="AH248" s="228"/>
      <c r="AI248" s="228"/>
      <c r="AJ248" s="228"/>
      <c r="AK248" s="228"/>
      <c r="AL248" s="228"/>
      <c r="AM248" s="228"/>
      <c r="AN248" s="228"/>
      <c r="AO248" s="228"/>
      <c r="AP248" s="228"/>
      <c r="AQ248" s="228"/>
      <c r="AR248" s="228"/>
      <c r="AS248" s="228"/>
      <c r="AT248" s="228"/>
      <c r="AU248" s="228"/>
      <c r="AV248" s="228"/>
      <c r="AW248" s="228"/>
      <c r="AX248" s="228"/>
      <c r="AY248" s="228"/>
      <c r="AZ248" s="228"/>
      <c r="BA248" s="228"/>
      <c r="BB248" s="228"/>
      <c r="BC248" s="228"/>
      <c r="BD248" s="228"/>
      <c r="BE248" s="228"/>
      <c r="BF248" s="228"/>
      <c r="BG248" s="228"/>
      <c r="BH248" s="228"/>
      <c r="BI248" s="228"/>
      <c r="BJ248" s="228"/>
      <c r="BK248" s="228"/>
      <c r="BL248" s="228"/>
      <c r="BM248" s="228"/>
      <c r="BN248" s="228"/>
      <c r="BO248" s="228"/>
      <c r="BP248" s="228"/>
      <c r="BQ248" s="228"/>
      <c r="BR248" s="228"/>
      <c r="BS248" s="228"/>
      <c r="BT248" s="228"/>
      <c r="BU248" s="228"/>
      <c r="BV248" s="228"/>
      <c r="BW248" s="228"/>
      <c r="BX248" s="228"/>
      <c r="BY248" s="228"/>
      <c r="BZ248" s="228"/>
      <c r="CA248" s="228"/>
      <c r="CB248" s="228"/>
      <c r="CC248" s="228"/>
      <c r="CD248" s="228"/>
      <c r="CE248" s="228"/>
      <c r="CF248" s="228"/>
      <c r="CG248" s="228"/>
      <c r="CH248" s="228"/>
      <c r="CI248" s="228"/>
      <c r="CJ248" s="228"/>
      <c r="CK248" s="228"/>
      <c r="CL248" s="228"/>
      <c r="CM248" s="228"/>
      <c r="CN248" s="228"/>
      <c r="CO248" s="228"/>
      <c r="CP248" s="228"/>
      <c r="CQ248" s="228"/>
      <c r="CR248" s="228"/>
      <c r="CS248" s="228"/>
      <c r="CT248" s="228"/>
      <c r="CU248" s="228"/>
      <c r="CV248" s="228"/>
      <c r="CW248" s="228"/>
      <c r="CX248" s="228"/>
      <c r="CY248" s="228"/>
      <c r="CZ248" s="228"/>
      <c r="DA248" s="228"/>
      <c r="DB248" s="228"/>
    </row>
    <row r="249" ht="12.0" customHeight="1">
      <c r="A249" s="228"/>
      <c r="B249" s="228"/>
      <c r="C249" s="228"/>
      <c r="D249" s="228"/>
      <c r="E249" s="228"/>
      <c r="F249" s="228"/>
      <c r="G249" s="228"/>
      <c r="H249" s="228"/>
      <c r="I249" s="228"/>
      <c r="J249" s="228"/>
      <c r="K249" s="228"/>
      <c r="L249" s="228"/>
      <c r="M249" s="228"/>
      <c r="N249" s="228"/>
      <c r="O249" s="228"/>
      <c r="P249" s="228"/>
      <c r="Q249" s="228"/>
      <c r="R249" s="228"/>
      <c r="S249" s="228"/>
      <c r="T249" s="228"/>
      <c r="U249" s="228"/>
      <c r="V249" s="228"/>
      <c r="W249" s="228"/>
      <c r="X249" s="228"/>
      <c r="Y249" s="228"/>
      <c r="Z249" s="228"/>
      <c r="AA249" s="228"/>
      <c r="AB249" s="228"/>
      <c r="AC249" s="228"/>
      <c r="AD249" s="228"/>
      <c r="AE249" s="228"/>
      <c r="AF249" s="228"/>
      <c r="AG249" s="228"/>
      <c r="AH249" s="228"/>
      <c r="AI249" s="228"/>
      <c r="AJ249" s="228"/>
      <c r="AK249" s="228"/>
      <c r="AL249" s="228"/>
      <c r="AM249" s="228"/>
      <c r="AN249" s="228"/>
      <c r="AO249" s="228"/>
      <c r="AP249" s="228"/>
      <c r="AQ249" s="228"/>
      <c r="AR249" s="228"/>
      <c r="AS249" s="228"/>
      <c r="AT249" s="228"/>
      <c r="AU249" s="228"/>
      <c r="AV249" s="228"/>
      <c r="AW249" s="228"/>
      <c r="AX249" s="228"/>
      <c r="AY249" s="228"/>
      <c r="AZ249" s="228"/>
      <c r="BA249" s="228"/>
      <c r="BB249" s="228"/>
      <c r="BC249" s="228"/>
      <c r="BD249" s="228"/>
      <c r="BE249" s="228"/>
      <c r="BF249" s="228"/>
      <c r="BG249" s="228"/>
      <c r="BH249" s="228"/>
      <c r="BI249" s="228"/>
      <c r="BJ249" s="228"/>
      <c r="BK249" s="228"/>
      <c r="BL249" s="228"/>
      <c r="BM249" s="228"/>
      <c r="BN249" s="228"/>
      <c r="BO249" s="228"/>
      <c r="BP249" s="228"/>
      <c r="BQ249" s="228"/>
      <c r="BR249" s="228"/>
      <c r="BS249" s="228"/>
      <c r="BT249" s="228"/>
      <c r="BU249" s="228"/>
      <c r="BV249" s="228"/>
      <c r="BW249" s="228"/>
      <c r="BX249" s="228"/>
      <c r="BY249" s="228"/>
      <c r="BZ249" s="228"/>
      <c r="CA249" s="228"/>
      <c r="CB249" s="228"/>
      <c r="CC249" s="228"/>
      <c r="CD249" s="228"/>
      <c r="CE249" s="228"/>
      <c r="CF249" s="228"/>
      <c r="CG249" s="228"/>
      <c r="CH249" s="228"/>
      <c r="CI249" s="228"/>
      <c r="CJ249" s="228"/>
      <c r="CK249" s="228"/>
      <c r="CL249" s="228"/>
      <c r="CM249" s="228"/>
      <c r="CN249" s="228"/>
      <c r="CO249" s="228"/>
      <c r="CP249" s="228"/>
      <c r="CQ249" s="228"/>
      <c r="CR249" s="228"/>
      <c r="CS249" s="228"/>
      <c r="CT249" s="228"/>
      <c r="CU249" s="228"/>
      <c r="CV249" s="228"/>
      <c r="CW249" s="228"/>
      <c r="CX249" s="228"/>
      <c r="CY249" s="228"/>
      <c r="CZ249" s="228"/>
      <c r="DA249" s="228"/>
      <c r="DB249" s="228"/>
    </row>
    <row r="250" ht="12.0" customHeight="1">
      <c r="A250" s="228"/>
      <c r="B250" s="228"/>
      <c r="C250" s="228"/>
      <c r="D250" s="228"/>
      <c r="E250" s="228"/>
      <c r="F250" s="228"/>
      <c r="G250" s="228"/>
      <c r="H250" s="228"/>
      <c r="I250" s="228"/>
      <c r="J250" s="228"/>
      <c r="K250" s="228"/>
      <c r="L250" s="228"/>
      <c r="M250" s="228"/>
      <c r="N250" s="228"/>
      <c r="O250" s="228"/>
      <c r="P250" s="228"/>
      <c r="Q250" s="228"/>
      <c r="R250" s="228"/>
      <c r="S250" s="228"/>
      <c r="T250" s="228"/>
      <c r="U250" s="228"/>
      <c r="V250" s="228"/>
      <c r="W250" s="228"/>
      <c r="X250" s="228"/>
      <c r="Y250" s="228"/>
      <c r="Z250" s="228"/>
      <c r="AA250" s="228"/>
      <c r="AB250" s="228"/>
      <c r="AC250" s="228"/>
      <c r="AD250" s="228"/>
      <c r="AE250" s="228"/>
      <c r="AF250" s="228"/>
      <c r="AG250" s="228"/>
      <c r="AH250" s="228"/>
      <c r="AI250" s="228"/>
      <c r="AJ250" s="228"/>
      <c r="AK250" s="228"/>
      <c r="AL250" s="228"/>
      <c r="AM250" s="228"/>
      <c r="AN250" s="228"/>
      <c r="AO250" s="228"/>
      <c r="AP250" s="228"/>
      <c r="AQ250" s="228"/>
      <c r="AR250" s="228"/>
      <c r="AS250" s="228"/>
      <c r="AT250" s="228"/>
      <c r="AU250" s="228"/>
      <c r="AV250" s="228"/>
      <c r="AW250" s="228"/>
      <c r="AX250" s="228"/>
      <c r="AY250" s="228"/>
      <c r="AZ250" s="228"/>
      <c r="BA250" s="228"/>
      <c r="BB250" s="228"/>
      <c r="BC250" s="228"/>
      <c r="BD250" s="228"/>
      <c r="BE250" s="228"/>
      <c r="BF250" s="228"/>
      <c r="BG250" s="228"/>
      <c r="BH250" s="228"/>
      <c r="BI250" s="228"/>
      <c r="BJ250" s="228"/>
      <c r="BK250" s="228"/>
      <c r="BL250" s="228"/>
      <c r="BM250" s="228"/>
      <c r="BN250" s="228"/>
      <c r="BO250" s="228"/>
      <c r="BP250" s="228"/>
      <c r="BQ250" s="228"/>
      <c r="BR250" s="228"/>
      <c r="BS250" s="228"/>
      <c r="BT250" s="228"/>
      <c r="BU250" s="228"/>
      <c r="BV250" s="228"/>
      <c r="BW250" s="228"/>
      <c r="BX250" s="228"/>
      <c r="BY250" s="228"/>
      <c r="BZ250" s="228"/>
      <c r="CA250" s="228"/>
      <c r="CB250" s="228"/>
      <c r="CC250" s="228"/>
      <c r="CD250" s="228"/>
      <c r="CE250" s="228"/>
      <c r="CF250" s="228"/>
      <c r="CG250" s="228"/>
      <c r="CH250" s="228"/>
      <c r="CI250" s="228"/>
      <c r="CJ250" s="228"/>
      <c r="CK250" s="228"/>
      <c r="CL250" s="228"/>
      <c r="CM250" s="228"/>
      <c r="CN250" s="228"/>
      <c r="CO250" s="228"/>
      <c r="CP250" s="228"/>
      <c r="CQ250" s="228"/>
      <c r="CR250" s="228"/>
      <c r="CS250" s="228"/>
      <c r="CT250" s="228"/>
      <c r="CU250" s="228"/>
      <c r="CV250" s="228"/>
      <c r="CW250" s="228"/>
      <c r="CX250" s="228"/>
      <c r="CY250" s="228"/>
      <c r="CZ250" s="228"/>
      <c r="DA250" s="228"/>
      <c r="DB250" s="228"/>
    </row>
    <row r="251" ht="12.0" customHeight="1">
      <c r="A251" s="228"/>
      <c r="B251" s="228"/>
      <c r="C251" s="228"/>
      <c r="D251" s="228"/>
      <c r="E251" s="228"/>
      <c r="F251" s="228"/>
      <c r="G251" s="228"/>
      <c r="H251" s="228"/>
      <c r="I251" s="228"/>
      <c r="J251" s="228"/>
      <c r="K251" s="228"/>
      <c r="L251" s="228"/>
      <c r="M251" s="228"/>
      <c r="N251" s="228"/>
      <c r="O251" s="228"/>
      <c r="P251" s="228"/>
      <c r="Q251" s="228"/>
      <c r="R251" s="228"/>
      <c r="S251" s="228"/>
      <c r="T251" s="228"/>
      <c r="U251" s="228"/>
      <c r="V251" s="228"/>
      <c r="W251" s="228"/>
      <c r="X251" s="228"/>
      <c r="Y251" s="228"/>
      <c r="Z251" s="228"/>
      <c r="AA251" s="228"/>
      <c r="AB251" s="228"/>
      <c r="AC251" s="228"/>
      <c r="AD251" s="228"/>
      <c r="AE251" s="228"/>
      <c r="AF251" s="228"/>
      <c r="AG251" s="228"/>
      <c r="AH251" s="228"/>
      <c r="AI251" s="228"/>
      <c r="AJ251" s="228"/>
      <c r="AK251" s="228"/>
      <c r="AL251" s="228"/>
      <c r="AM251" s="228"/>
      <c r="AN251" s="228"/>
      <c r="AO251" s="228"/>
      <c r="AP251" s="228"/>
      <c r="AQ251" s="228"/>
      <c r="AR251" s="228"/>
      <c r="AS251" s="228"/>
      <c r="AT251" s="228"/>
      <c r="AU251" s="228"/>
      <c r="AV251" s="228"/>
      <c r="AW251" s="228"/>
      <c r="AX251" s="228"/>
      <c r="AY251" s="228"/>
      <c r="AZ251" s="228"/>
      <c r="BA251" s="228"/>
      <c r="BB251" s="228"/>
      <c r="BC251" s="228"/>
      <c r="BD251" s="228"/>
      <c r="BE251" s="228"/>
      <c r="BF251" s="228"/>
      <c r="BG251" s="228"/>
      <c r="BH251" s="228"/>
      <c r="BI251" s="228"/>
      <c r="BJ251" s="228"/>
      <c r="BK251" s="228"/>
      <c r="BL251" s="228"/>
      <c r="BM251" s="228"/>
      <c r="BN251" s="228"/>
      <c r="BO251" s="228"/>
      <c r="BP251" s="228"/>
      <c r="BQ251" s="228"/>
      <c r="BR251" s="228"/>
      <c r="BS251" s="228"/>
      <c r="BT251" s="228"/>
      <c r="BU251" s="228"/>
      <c r="BV251" s="228"/>
      <c r="BW251" s="228"/>
      <c r="BX251" s="228"/>
      <c r="BY251" s="228"/>
      <c r="BZ251" s="228"/>
      <c r="CA251" s="228"/>
      <c r="CB251" s="228"/>
      <c r="CC251" s="228"/>
      <c r="CD251" s="228"/>
      <c r="CE251" s="228"/>
      <c r="CF251" s="228"/>
      <c r="CG251" s="228"/>
      <c r="CH251" s="228"/>
      <c r="CI251" s="228"/>
      <c r="CJ251" s="228"/>
      <c r="CK251" s="228"/>
      <c r="CL251" s="228"/>
      <c r="CM251" s="228"/>
      <c r="CN251" s="228"/>
      <c r="CO251" s="228"/>
      <c r="CP251" s="228"/>
      <c r="CQ251" s="228"/>
      <c r="CR251" s="228"/>
      <c r="CS251" s="228"/>
      <c r="CT251" s="228"/>
      <c r="CU251" s="228"/>
      <c r="CV251" s="228"/>
      <c r="CW251" s="228"/>
      <c r="CX251" s="228"/>
      <c r="CY251" s="228"/>
      <c r="CZ251" s="228"/>
      <c r="DA251" s="228"/>
      <c r="DB251" s="228"/>
    </row>
    <row r="252" ht="12.0" customHeight="1">
      <c r="A252" s="228"/>
      <c r="B252" s="228"/>
      <c r="C252" s="228"/>
      <c r="D252" s="228"/>
      <c r="E252" s="228"/>
      <c r="F252" s="228"/>
      <c r="G252" s="228"/>
      <c r="H252" s="228"/>
      <c r="I252" s="228"/>
      <c r="J252" s="228"/>
      <c r="K252" s="228"/>
      <c r="L252" s="228"/>
      <c r="M252" s="228"/>
      <c r="N252" s="228"/>
      <c r="O252" s="228"/>
      <c r="P252" s="228"/>
      <c r="Q252" s="228"/>
      <c r="R252" s="228"/>
      <c r="S252" s="228"/>
      <c r="T252" s="228"/>
      <c r="U252" s="228"/>
      <c r="V252" s="228"/>
      <c r="W252" s="228"/>
      <c r="X252" s="228"/>
      <c r="Y252" s="228"/>
      <c r="Z252" s="228"/>
      <c r="AA252" s="228"/>
      <c r="AB252" s="228"/>
      <c r="AC252" s="228"/>
      <c r="AD252" s="228"/>
      <c r="AE252" s="228"/>
      <c r="AF252" s="228"/>
      <c r="AG252" s="228"/>
      <c r="AH252" s="228"/>
      <c r="AI252" s="228"/>
      <c r="AJ252" s="228"/>
      <c r="AK252" s="228"/>
      <c r="AL252" s="228"/>
      <c r="AM252" s="228"/>
      <c r="AN252" s="228"/>
      <c r="AO252" s="228"/>
      <c r="AP252" s="228"/>
      <c r="AQ252" s="228"/>
      <c r="AR252" s="228"/>
      <c r="AS252" s="228"/>
      <c r="AT252" s="228"/>
      <c r="AU252" s="228"/>
      <c r="AV252" s="228"/>
      <c r="AW252" s="228"/>
      <c r="AX252" s="228"/>
      <c r="AY252" s="228"/>
      <c r="AZ252" s="228"/>
      <c r="BA252" s="228"/>
      <c r="BB252" s="228"/>
      <c r="BC252" s="228"/>
      <c r="BD252" s="228"/>
      <c r="BE252" s="228"/>
      <c r="BF252" s="228"/>
      <c r="BG252" s="228"/>
      <c r="BH252" s="228"/>
      <c r="BI252" s="228"/>
      <c r="BJ252" s="228"/>
      <c r="BK252" s="228"/>
      <c r="BL252" s="228"/>
      <c r="BM252" s="228"/>
      <c r="BN252" s="228"/>
      <c r="BO252" s="228"/>
      <c r="BP252" s="228"/>
      <c r="BQ252" s="228"/>
      <c r="BR252" s="228"/>
      <c r="BS252" s="228"/>
      <c r="BT252" s="228"/>
      <c r="BU252" s="228"/>
      <c r="BV252" s="228"/>
      <c r="BW252" s="228"/>
      <c r="BX252" s="228"/>
      <c r="BY252" s="228"/>
      <c r="BZ252" s="228"/>
      <c r="CA252" s="228"/>
      <c r="CB252" s="228"/>
      <c r="CC252" s="228"/>
      <c r="CD252" s="228"/>
      <c r="CE252" s="228"/>
      <c r="CF252" s="228"/>
      <c r="CG252" s="228"/>
      <c r="CH252" s="228"/>
      <c r="CI252" s="228"/>
      <c r="CJ252" s="228"/>
      <c r="CK252" s="228"/>
      <c r="CL252" s="228"/>
      <c r="CM252" s="228"/>
      <c r="CN252" s="228"/>
      <c r="CO252" s="228"/>
      <c r="CP252" s="228"/>
      <c r="CQ252" s="228"/>
      <c r="CR252" s="228"/>
      <c r="CS252" s="228"/>
      <c r="CT252" s="228"/>
      <c r="CU252" s="228"/>
      <c r="CV252" s="228"/>
      <c r="CW252" s="228"/>
      <c r="CX252" s="228"/>
      <c r="CY252" s="228"/>
      <c r="CZ252" s="228"/>
      <c r="DA252" s="228"/>
      <c r="DB252" s="228"/>
    </row>
    <row r="253" ht="12.0" customHeight="1">
      <c r="A253" s="228"/>
      <c r="B253" s="228"/>
      <c r="C253" s="228"/>
      <c r="D253" s="228"/>
      <c r="E253" s="228"/>
      <c r="F253" s="228"/>
      <c r="G253" s="228"/>
      <c r="H253" s="228"/>
      <c r="I253" s="228"/>
      <c r="J253" s="228"/>
      <c r="K253" s="228"/>
      <c r="L253" s="228"/>
      <c r="M253" s="228"/>
      <c r="N253" s="228"/>
      <c r="O253" s="228"/>
      <c r="P253" s="228"/>
      <c r="Q253" s="228"/>
      <c r="R253" s="228"/>
      <c r="S253" s="228"/>
      <c r="T253" s="228"/>
      <c r="U253" s="228"/>
      <c r="V253" s="228"/>
      <c r="W253" s="228"/>
      <c r="X253" s="228"/>
      <c r="Y253" s="228"/>
      <c r="Z253" s="228"/>
      <c r="AA253" s="228"/>
      <c r="AB253" s="228"/>
      <c r="AC253" s="228"/>
      <c r="AD253" s="228"/>
      <c r="AE253" s="228"/>
      <c r="AF253" s="228"/>
      <c r="AG253" s="228"/>
      <c r="AH253" s="228"/>
      <c r="AI253" s="228"/>
      <c r="AJ253" s="228"/>
      <c r="AK253" s="228"/>
      <c r="AL253" s="228"/>
      <c r="AM253" s="228"/>
      <c r="AN253" s="228"/>
      <c r="AO253" s="228"/>
      <c r="AP253" s="228"/>
      <c r="AQ253" s="228"/>
      <c r="AR253" s="228"/>
      <c r="AS253" s="228"/>
      <c r="AT253" s="228"/>
      <c r="AU253" s="228"/>
      <c r="AV253" s="228"/>
      <c r="AW253" s="228"/>
      <c r="AX253" s="228"/>
      <c r="AY253" s="228"/>
      <c r="AZ253" s="228"/>
      <c r="BA253" s="228"/>
      <c r="BB253" s="228"/>
      <c r="BC253" s="228"/>
      <c r="BD253" s="228"/>
      <c r="BE253" s="228"/>
      <c r="BF253" s="228"/>
      <c r="BG253" s="228"/>
      <c r="BH253" s="228"/>
      <c r="BI253" s="228"/>
      <c r="BJ253" s="228"/>
      <c r="BK253" s="228"/>
      <c r="BL253" s="228"/>
      <c r="BM253" s="228"/>
      <c r="BN253" s="228"/>
      <c r="BO253" s="228"/>
      <c r="BP253" s="228"/>
      <c r="BQ253" s="228"/>
      <c r="BR253" s="228"/>
      <c r="BS253" s="228"/>
      <c r="BT253" s="228"/>
      <c r="BU253" s="228"/>
      <c r="BV253" s="228"/>
      <c r="BW253" s="228"/>
      <c r="BX253" s="228"/>
      <c r="BY253" s="228"/>
      <c r="BZ253" s="228"/>
      <c r="CA253" s="228"/>
      <c r="CB253" s="228"/>
      <c r="CC253" s="228"/>
      <c r="CD253" s="228"/>
      <c r="CE253" s="228"/>
      <c r="CF253" s="228"/>
      <c r="CG253" s="228"/>
      <c r="CH253" s="228"/>
      <c r="CI253" s="228"/>
      <c r="CJ253" s="228"/>
      <c r="CK253" s="228"/>
      <c r="CL253" s="228"/>
      <c r="CM253" s="228"/>
      <c r="CN253" s="228"/>
      <c r="CO253" s="228"/>
      <c r="CP253" s="228"/>
      <c r="CQ253" s="228"/>
      <c r="CR253" s="228"/>
      <c r="CS253" s="228"/>
      <c r="CT253" s="228"/>
      <c r="CU253" s="228"/>
      <c r="CV253" s="228"/>
      <c r="CW253" s="228"/>
      <c r="CX253" s="228"/>
      <c r="CY253" s="228"/>
      <c r="CZ253" s="228"/>
      <c r="DA253" s="228"/>
      <c r="DB253" s="228"/>
    </row>
    <row r="254" ht="12.0" customHeight="1">
      <c r="A254" s="228"/>
      <c r="B254" s="228"/>
      <c r="C254" s="228"/>
      <c r="D254" s="228"/>
      <c r="E254" s="228"/>
      <c r="F254" s="228"/>
      <c r="G254" s="228"/>
      <c r="H254" s="228"/>
      <c r="I254" s="228"/>
      <c r="J254" s="228"/>
      <c r="K254" s="228"/>
      <c r="L254" s="228"/>
      <c r="M254" s="228"/>
      <c r="N254" s="228"/>
      <c r="O254" s="228"/>
      <c r="P254" s="228"/>
      <c r="Q254" s="228"/>
      <c r="R254" s="228"/>
      <c r="S254" s="228"/>
      <c r="T254" s="228"/>
      <c r="U254" s="228"/>
      <c r="V254" s="228"/>
      <c r="W254" s="228"/>
      <c r="X254" s="228"/>
      <c r="Y254" s="228"/>
      <c r="Z254" s="228"/>
      <c r="AA254" s="228"/>
      <c r="AB254" s="228"/>
      <c r="AC254" s="228"/>
      <c r="AD254" s="228"/>
      <c r="AE254" s="228"/>
      <c r="AF254" s="228"/>
      <c r="AG254" s="228"/>
      <c r="AH254" s="228"/>
      <c r="AI254" s="228"/>
      <c r="AJ254" s="228"/>
      <c r="AK254" s="228"/>
      <c r="AL254" s="228"/>
      <c r="AM254" s="228"/>
      <c r="AN254" s="228"/>
      <c r="AO254" s="228"/>
      <c r="AP254" s="228"/>
      <c r="AQ254" s="228"/>
      <c r="AR254" s="228"/>
      <c r="AS254" s="228"/>
      <c r="AT254" s="228"/>
      <c r="AU254" s="228"/>
      <c r="AV254" s="228"/>
      <c r="AW254" s="228"/>
      <c r="AX254" s="228"/>
      <c r="AY254" s="228"/>
      <c r="AZ254" s="228"/>
      <c r="BA254" s="228"/>
      <c r="BB254" s="228"/>
      <c r="BC254" s="228"/>
      <c r="BD254" s="228"/>
      <c r="BE254" s="228"/>
      <c r="BF254" s="228"/>
      <c r="BG254" s="228"/>
      <c r="BH254" s="228"/>
      <c r="BI254" s="228"/>
      <c r="BJ254" s="228"/>
      <c r="BK254" s="228"/>
      <c r="BL254" s="228"/>
      <c r="BM254" s="228"/>
      <c r="BN254" s="228"/>
      <c r="BO254" s="228"/>
      <c r="BP254" s="228"/>
      <c r="BQ254" s="228"/>
      <c r="BR254" s="228"/>
      <c r="BS254" s="228"/>
      <c r="BT254" s="228"/>
      <c r="BU254" s="228"/>
      <c r="BV254" s="228"/>
      <c r="BW254" s="228"/>
      <c r="BX254" s="228"/>
      <c r="BY254" s="228"/>
      <c r="BZ254" s="228"/>
      <c r="CA254" s="228"/>
      <c r="CB254" s="228"/>
      <c r="CC254" s="228"/>
      <c r="CD254" s="228"/>
      <c r="CE254" s="228"/>
      <c r="CF254" s="228"/>
      <c r="CG254" s="228"/>
      <c r="CH254" s="228"/>
      <c r="CI254" s="228"/>
      <c r="CJ254" s="228"/>
      <c r="CK254" s="228"/>
      <c r="CL254" s="228"/>
      <c r="CM254" s="228"/>
      <c r="CN254" s="228"/>
      <c r="CO254" s="228"/>
      <c r="CP254" s="228"/>
      <c r="CQ254" s="228"/>
      <c r="CR254" s="228"/>
      <c r="CS254" s="228"/>
      <c r="CT254" s="228"/>
      <c r="CU254" s="228"/>
      <c r="CV254" s="228"/>
      <c r="CW254" s="228"/>
      <c r="CX254" s="228"/>
      <c r="CY254" s="228"/>
      <c r="CZ254" s="228"/>
      <c r="DA254" s="228"/>
      <c r="DB254" s="228"/>
    </row>
    <row r="255" ht="12.0" customHeight="1">
      <c r="A255" s="228"/>
      <c r="B255" s="228"/>
      <c r="C255" s="228"/>
      <c r="D255" s="228"/>
      <c r="E255" s="228"/>
      <c r="F255" s="228"/>
      <c r="G255" s="228"/>
      <c r="H255" s="228"/>
      <c r="I255" s="228"/>
      <c r="J255" s="228"/>
      <c r="K255" s="228"/>
      <c r="L255" s="228"/>
      <c r="M255" s="228"/>
      <c r="N255" s="228"/>
      <c r="O255" s="228"/>
      <c r="P255" s="228"/>
      <c r="Q255" s="228"/>
      <c r="R255" s="228"/>
      <c r="S255" s="228"/>
      <c r="T255" s="228"/>
      <c r="U255" s="228"/>
      <c r="V255" s="228"/>
      <c r="W255" s="228"/>
      <c r="X255" s="228"/>
      <c r="Y255" s="228"/>
      <c r="Z255" s="228"/>
      <c r="AA255" s="228"/>
      <c r="AB255" s="228"/>
      <c r="AC255" s="228"/>
      <c r="AD255" s="228"/>
      <c r="AE255" s="228"/>
      <c r="AF255" s="228"/>
      <c r="AG255" s="228"/>
      <c r="AH255" s="228"/>
      <c r="AI255" s="228"/>
      <c r="AJ255" s="228"/>
      <c r="AK255" s="228"/>
      <c r="AL255" s="228"/>
      <c r="AM255" s="228"/>
      <c r="AN255" s="228"/>
      <c r="AO255" s="228"/>
      <c r="AP255" s="228"/>
      <c r="AQ255" s="228"/>
      <c r="AR255" s="228"/>
      <c r="AS255" s="228"/>
      <c r="AT255" s="228"/>
      <c r="AU255" s="228"/>
      <c r="AV255" s="228"/>
      <c r="AW255" s="228"/>
      <c r="AX255" s="228"/>
      <c r="AY255" s="228"/>
      <c r="AZ255" s="228"/>
      <c r="BA255" s="228"/>
      <c r="BB255" s="228"/>
      <c r="BC255" s="228"/>
      <c r="BD255" s="228"/>
      <c r="BE255" s="228"/>
      <c r="BF255" s="228"/>
      <c r="BG255" s="228"/>
      <c r="BH255" s="228"/>
      <c r="BI255" s="228"/>
      <c r="BJ255" s="228"/>
      <c r="BK255" s="228"/>
      <c r="BL255" s="228"/>
      <c r="BM255" s="228"/>
      <c r="BN255" s="228"/>
      <c r="BO255" s="228"/>
      <c r="BP255" s="228"/>
      <c r="BQ255" s="228"/>
      <c r="BR255" s="228"/>
      <c r="BS255" s="228"/>
      <c r="BT255" s="228"/>
      <c r="BU255" s="228"/>
      <c r="BV255" s="228"/>
      <c r="BW255" s="228"/>
      <c r="BX255" s="228"/>
      <c r="BY255" s="228"/>
      <c r="BZ255" s="228"/>
      <c r="CA255" s="228"/>
      <c r="CB255" s="228"/>
      <c r="CC255" s="228"/>
      <c r="CD255" s="228"/>
      <c r="CE255" s="228"/>
      <c r="CF255" s="228"/>
      <c r="CG255" s="228"/>
      <c r="CH255" s="228"/>
      <c r="CI255" s="228"/>
      <c r="CJ255" s="228"/>
      <c r="CK255" s="228"/>
      <c r="CL255" s="228"/>
      <c r="CM255" s="228"/>
      <c r="CN255" s="228"/>
      <c r="CO255" s="228"/>
      <c r="CP255" s="228"/>
      <c r="CQ255" s="228"/>
      <c r="CR255" s="228"/>
      <c r="CS255" s="228"/>
      <c r="CT255" s="228"/>
      <c r="CU255" s="228"/>
      <c r="CV255" s="228"/>
      <c r="CW255" s="228"/>
      <c r="CX255" s="228"/>
      <c r="CY255" s="228"/>
      <c r="CZ255" s="228"/>
      <c r="DA255" s="228"/>
      <c r="DB255" s="228"/>
    </row>
    <row r="256" ht="12.0" customHeight="1">
      <c r="A256" s="228"/>
      <c r="B256" s="228"/>
      <c r="C256" s="228"/>
      <c r="D256" s="228"/>
      <c r="E256" s="228"/>
      <c r="F256" s="228"/>
      <c r="G256" s="228"/>
      <c r="H256" s="228"/>
      <c r="I256" s="228"/>
      <c r="J256" s="228"/>
      <c r="K256" s="228"/>
      <c r="L256" s="228"/>
      <c r="M256" s="228"/>
      <c r="N256" s="228"/>
      <c r="O256" s="228"/>
      <c r="P256" s="228"/>
      <c r="Q256" s="228"/>
      <c r="R256" s="228"/>
      <c r="S256" s="228"/>
      <c r="T256" s="228"/>
      <c r="U256" s="228"/>
      <c r="V256" s="228"/>
      <c r="W256" s="228"/>
      <c r="X256" s="228"/>
      <c r="Y256" s="228"/>
      <c r="Z256" s="228"/>
      <c r="AA256" s="228"/>
      <c r="AB256" s="228"/>
      <c r="AC256" s="228"/>
      <c r="AD256" s="228"/>
      <c r="AE256" s="228"/>
      <c r="AF256" s="228"/>
      <c r="AG256" s="228"/>
      <c r="AH256" s="228"/>
      <c r="AI256" s="228"/>
      <c r="AJ256" s="228"/>
      <c r="AK256" s="228"/>
      <c r="AL256" s="228"/>
      <c r="AM256" s="228"/>
      <c r="AN256" s="228"/>
      <c r="AO256" s="228"/>
      <c r="AP256" s="228"/>
      <c r="AQ256" s="228"/>
      <c r="AR256" s="228"/>
      <c r="AS256" s="228"/>
      <c r="AT256" s="228"/>
      <c r="AU256" s="228"/>
      <c r="AV256" s="228"/>
      <c r="AW256" s="228"/>
      <c r="AX256" s="228"/>
      <c r="AY256" s="228"/>
      <c r="AZ256" s="228"/>
      <c r="BA256" s="228"/>
      <c r="BB256" s="228"/>
      <c r="BC256" s="228"/>
      <c r="BD256" s="228"/>
      <c r="BE256" s="228"/>
      <c r="BF256" s="228"/>
      <c r="BG256" s="228"/>
      <c r="BH256" s="228"/>
      <c r="BI256" s="228"/>
      <c r="BJ256" s="228"/>
      <c r="BK256" s="228"/>
      <c r="BL256" s="228"/>
      <c r="BM256" s="228"/>
      <c r="BN256" s="228"/>
      <c r="BO256" s="228"/>
      <c r="BP256" s="228"/>
      <c r="BQ256" s="228"/>
      <c r="BR256" s="228"/>
      <c r="BS256" s="228"/>
      <c r="BT256" s="228"/>
      <c r="BU256" s="228"/>
      <c r="BV256" s="228"/>
      <c r="BW256" s="228"/>
      <c r="BX256" s="228"/>
      <c r="BY256" s="228"/>
      <c r="BZ256" s="228"/>
      <c r="CA256" s="228"/>
      <c r="CB256" s="228"/>
      <c r="CC256" s="228"/>
      <c r="CD256" s="228"/>
      <c r="CE256" s="228"/>
      <c r="CF256" s="228"/>
      <c r="CG256" s="228"/>
      <c r="CH256" s="228"/>
      <c r="CI256" s="228"/>
      <c r="CJ256" s="228"/>
      <c r="CK256" s="228"/>
      <c r="CL256" s="228"/>
      <c r="CM256" s="228"/>
      <c r="CN256" s="228"/>
      <c r="CO256" s="228"/>
      <c r="CP256" s="228"/>
      <c r="CQ256" s="228"/>
      <c r="CR256" s="228"/>
      <c r="CS256" s="228"/>
      <c r="CT256" s="228"/>
      <c r="CU256" s="228"/>
      <c r="CV256" s="228"/>
      <c r="CW256" s="228"/>
      <c r="CX256" s="228"/>
      <c r="CY256" s="228"/>
      <c r="CZ256" s="228"/>
      <c r="DA256" s="228"/>
      <c r="DB256" s="228"/>
    </row>
    <row r="257" ht="12.0" customHeight="1">
      <c r="A257" s="228"/>
      <c r="B257" s="228"/>
      <c r="C257" s="228"/>
      <c r="D257" s="228"/>
      <c r="E257" s="228"/>
      <c r="F257" s="228"/>
      <c r="G257" s="228"/>
      <c r="H257" s="228"/>
      <c r="I257" s="228"/>
      <c r="J257" s="228"/>
      <c r="K257" s="228"/>
      <c r="L257" s="228"/>
      <c r="M257" s="228"/>
      <c r="N257" s="228"/>
      <c r="O257" s="228"/>
      <c r="P257" s="228"/>
      <c r="Q257" s="228"/>
      <c r="R257" s="228"/>
      <c r="S257" s="228"/>
      <c r="T257" s="228"/>
      <c r="U257" s="228"/>
      <c r="V257" s="228"/>
      <c r="W257" s="228"/>
      <c r="X257" s="228"/>
      <c r="Y257" s="228"/>
      <c r="Z257" s="228"/>
      <c r="AA257" s="228"/>
      <c r="AB257" s="228"/>
      <c r="AC257" s="228"/>
      <c r="AD257" s="228"/>
      <c r="AE257" s="228"/>
      <c r="AF257" s="228"/>
      <c r="AG257" s="228"/>
      <c r="AH257" s="228"/>
      <c r="AI257" s="228"/>
      <c r="AJ257" s="228"/>
      <c r="AK257" s="228"/>
      <c r="AL257" s="228"/>
      <c r="AM257" s="228"/>
      <c r="AN257" s="228"/>
      <c r="AO257" s="228"/>
      <c r="AP257" s="228"/>
      <c r="AQ257" s="228"/>
      <c r="AR257" s="228"/>
      <c r="AS257" s="228"/>
      <c r="AT257" s="228"/>
      <c r="AU257" s="228"/>
      <c r="AV257" s="228"/>
      <c r="AW257" s="228"/>
      <c r="AX257" s="228"/>
      <c r="AY257" s="228"/>
      <c r="AZ257" s="228"/>
      <c r="BA257" s="228"/>
      <c r="BB257" s="228"/>
      <c r="BC257" s="228"/>
      <c r="BD257" s="228"/>
      <c r="BE257" s="228"/>
      <c r="BF257" s="228"/>
      <c r="BG257" s="228"/>
      <c r="BH257" s="228"/>
      <c r="BI257" s="228"/>
      <c r="BJ257" s="228"/>
      <c r="BK257" s="228"/>
      <c r="BL257" s="228"/>
      <c r="BM257" s="228"/>
      <c r="BN257" s="228"/>
      <c r="BO257" s="228"/>
      <c r="BP257" s="228"/>
      <c r="BQ257" s="228"/>
      <c r="BR257" s="228"/>
      <c r="BS257" s="228"/>
      <c r="BT257" s="228"/>
      <c r="BU257" s="228"/>
      <c r="BV257" s="228"/>
      <c r="BW257" s="228"/>
      <c r="BX257" s="228"/>
      <c r="BY257" s="228"/>
      <c r="BZ257" s="228"/>
      <c r="CA257" s="228"/>
      <c r="CB257" s="228"/>
      <c r="CC257" s="228"/>
      <c r="CD257" s="228"/>
      <c r="CE257" s="228"/>
      <c r="CF257" s="228"/>
      <c r="CG257" s="228"/>
      <c r="CH257" s="228"/>
      <c r="CI257" s="228"/>
      <c r="CJ257" s="228"/>
      <c r="CK257" s="228"/>
      <c r="CL257" s="228"/>
      <c r="CM257" s="228"/>
      <c r="CN257" s="228"/>
      <c r="CO257" s="228"/>
      <c r="CP257" s="228"/>
      <c r="CQ257" s="228"/>
      <c r="CR257" s="228"/>
      <c r="CS257" s="228"/>
      <c r="CT257" s="228"/>
      <c r="CU257" s="228"/>
      <c r="CV257" s="228"/>
      <c r="CW257" s="228"/>
      <c r="CX257" s="228"/>
      <c r="CY257" s="228"/>
      <c r="CZ257" s="228"/>
      <c r="DA257" s="228"/>
      <c r="DB257" s="228"/>
    </row>
    <row r="258" ht="12.0" customHeight="1">
      <c r="A258" s="228"/>
      <c r="B258" s="228"/>
      <c r="C258" s="228"/>
      <c r="D258" s="228"/>
      <c r="E258" s="228"/>
      <c r="F258" s="228"/>
      <c r="G258" s="228"/>
      <c r="H258" s="228"/>
      <c r="I258" s="228"/>
      <c r="J258" s="228"/>
      <c r="K258" s="228"/>
      <c r="L258" s="228"/>
      <c r="M258" s="228"/>
      <c r="N258" s="228"/>
      <c r="O258" s="228"/>
      <c r="P258" s="228"/>
      <c r="Q258" s="228"/>
      <c r="R258" s="228"/>
      <c r="S258" s="228"/>
      <c r="T258" s="228"/>
      <c r="U258" s="228"/>
      <c r="V258" s="228"/>
      <c r="W258" s="228"/>
      <c r="X258" s="228"/>
      <c r="Y258" s="228"/>
      <c r="Z258" s="228"/>
      <c r="AA258" s="228"/>
      <c r="AB258" s="228"/>
      <c r="AC258" s="228"/>
      <c r="AD258" s="228"/>
      <c r="AE258" s="228"/>
      <c r="AF258" s="228"/>
      <c r="AG258" s="228"/>
      <c r="AH258" s="228"/>
      <c r="AI258" s="228"/>
      <c r="AJ258" s="228"/>
      <c r="AK258" s="228"/>
      <c r="AL258" s="228"/>
      <c r="AM258" s="228"/>
      <c r="AN258" s="228"/>
      <c r="AO258" s="228"/>
      <c r="AP258" s="228"/>
      <c r="AQ258" s="228"/>
      <c r="AR258" s="228"/>
      <c r="AS258" s="228"/>
      <c r="AT258" s="228"/>
      <c r="AU258" s="228"/>
      <c r="AV258" s="228"/>
      <c r="AW258" s="228"/>
      <c r="AX258" s="228"/>
      <c r="AY258" s="228"/>
      <c r="AZ258" s="228"/>
      <c r="BA258" s="228"/>
      <c r="BB258" s="228"/>
      <c r="BC258" s="228"/>
      <c r="BD258" s="228"/>
      <c r="BE258" s="228"/>
      <c r="BF258" s="228"/>
      <c r="BG258" s="228"/>
      <c r="BH258" s="228"/>
      <c r="BI258" s="228"/>
      <c r="BJ258" s="228"/>
      <c r="BK258" s="228"/>
      <c r="BL258" s="228"/>
      <c r="BM258" s="228"/>
      <c r="BN258" s="228"/>
      <c r="BO258" s="228"/>
      <c r="BP258" s="228"/>
      <c r="BQ258" s="228"/>
      <c r="BR258" s="228"/>
      <c r="BS258" s="228"/>
      <c r="BT258" s="228"/>
      <c r="BU258" s="228"/>
      <c r="BV258" s="228"/>
      <c r="BW258" s="228"/>
      <c r="BX258" s="228"/>
      <c r="BY258" s="228"/>
      <c r="BZ258" s="228"/>
      <c r="CA258" s="228"/>
      <c r="CB258" s="228"/>
      <c r="CC258" s="228"/>
      <c r="CD258" s="228"/>
      <c r="CE258" s="228"/>
      <c r="CF258" s="228"/>
      <c r="CG258" s="228"/>
      <c r="CH258" s="228"/>
      <c r="CI258" s="228"/>
      <c r="CJ258" s="228"/>
      <c r="CK258" s="228"/>
      <c r="CL258" s="228"/>
      <c r="CM258" s="228"/>
      <c r="CN258" s="228"/>
      <c r="CO258" s="228"/>
      <c r="CP258" s="228"/>
      <c r="CQ258" s="228"/>
      <c r="CR258" s="228"/>
      <c r="CS258" s="228"/>
      <c r="CT258" s="228"/>
      <c r="CU258" s="228"/>
      <c r="CV258" s="228"/>
      <c r="CW258" s="228"/>
      <c r="CX258" s="228"/>
      <c r="CY258" s="228"/>
      <c r="CZ258" s="228"/>
      <c r="DA258" s="228"/>
      <c r="DB258" s="228"/>
    </row>
    <row r="259" ht="12.0" customHeight="1">
      <c r="A259" s="228"/>
      <c r="B259" s="228"/>
      <c r="C259" s="228"/>
      <c r="D259" s="228"/>
      <c r="E259" s="228"/>
      <c r="F259" s="228"/>
      <c r="G259" s="228"/>
      <c r="H259" s="228"/>
      <c r="I259" s="228"/>
      <c r="J259" s="228"/>
      <c r="K259" s="228"/>
      <c r="L259" s="228"/>
      <c r="M259" s="228"/>
      <c r="N259" s="228"/>
      <c r="O259" s="228"/>
      <c r="P259" s="228"/>
      <c r="Q259" s="228"/>
      <c r="R259" s="228"/>
      <c r="S259" s="228"/>
      <c r="T259" s="228"/>
      <c r="U259" s="228"/>
      <c r="V259" s="228"/>
      <c r="W259" s="228"/>
      <c r="X259" s="228"/>
      <c r="Y259" s="228"/>
      <c r="Z259" s="228"/>
      <c r="AA259" s="228"/>
      <c r="AB259" s="228"/>
      <c r="AC259" s="228"/>
      <c r="AD259" s="228"/>
      <c r="AE259" s="228"/>
      <c r="AF259" s="228"/>
      <c r="AG259" s="228"/>
      <c r="AH259" s="228"/>
      <c r="AI259" s="228"/>
      <c r="AJ259" s="228"/>
      <c r="AK259" s="228"/>
      <c r="AL259" s="228"/>
      <c r="AM259" s="228"/>
      <c r="AN259" s="228"/>
      <c r="AO259" s="228"/>
      <c r="AP259" s="228"/>
      <c r="AQ259" s="228"/>
      <c r="AR259" s="228"/>
      <c r="AS259" s="228"/>
      <c r="AT259" s="228"/>
      <c r="AU259" s="228"/>
      <c r="AV259" s="228"/>
      <c r="AW259" s="228"/>
      <c r="AX259" s="228"/>
      <c r="AY259" s="228"/>
      <c r="AZ259" s="228"/>
      <c r="BA259" s="228"/>
      <c r="BB259" s="228"/>
      <c r="BC259" s="228"/>
      <c r="BD259" s="228"/>
      <c r="BE259" s="228"/>
      <c r="BF259" s="228"/>
      <c r="BG259" s="228"/>
      <c r="BH259" s="228"/>
      <c r="BI259" s="228"/>
      <c r="BJ259" s="228"/>
      <c r="BK259" s="228"/>
      <c r="BL259" s="228"/>
      <c r="BM259" s="228"/>
      <c r="BN259" s="228"/>
      <c r="BO259" s="228"/>
      <c r="BP259" s="228"/>
      <c r="BQ259" s="228"/>
      <c r="BR259" s="228"/>
      <c r="BS259" s="228"/>
      <c r="BT259" s="228"/>
      <c r="BU259" s="228"/>
      <c r="BV259" s="228"/>
      <c r="BW259" s="228"/>
      <c r="BX259" s="228"/>
      <c r="BY259" s="228"/>
      <c r="BZ259" s="228"/>
      <c r="CA259" s="228"/>
      <c r="CB259" s="228"/>
      <c r="CC259" s="228"/>
      <c r="CD259" s="228"/>
      <c r="CE259" s="228"/>
      <c r="CF259" s="228"/>
      <c r="CG259" s="228"/>
      <c r="CH259" s="228"/>
      <c r="CI259" s="228"/>
      <c r="CJ259" s="228"/>
      <c r="CK259" s="228"/>
      <c r="CL259" s="228"/>
      <c r="CM259" s="228"/>
      <c r="CN259" s="228"/>
      <c r="CO259" s="228"/>
      <c r="CP259" s="228"/>
      <c r="CQ259" s="228"/>
      <c r="CR259" s="228"/>
      <c r="CS259" s="228"/>
      <c r="CT259" s="228"/>
      <c r="CU259" s="228"/>
      <c r="CV259" s="228"/>
      <c r="CW259" s="228"/>
      <c r="CX259" s="228"/>
      <c r="CY259" s="228"/>
      <c r="CZ259" s="228"/>
      <c r="DA259" s="228"/>
      <c r="DB259" s="228"/>
    </row>
    <row r="260" ht="12.0" customHeight="1">
      <c r="A260" s="228"/>
      <c r="B260" s="228"/>
      <c r="C260" s="228"/>
      <c r="D260" s="228"/>
      <c r="E260" s="228"/>
      <c r="F260" s="228"/>
      <c r="G260" s="228"/>
      <c r="H260" s="228"/>
      <c r="I260" s="228"/>
      <c r="J260" s="228"/>
      <c r="K260" s="228"/>
      <c r="L260" s="228"/>
      <c r="M260" s="228"/>
      <c r="N260" s="228"/>
      <c r="O260" s="228"/>
      <c r="P260" s="228"/>
      <c r="Q260" s="228"/>
      <c r="R260" s="228"/>
      <c r="S260" s="228"/>
      <c r="T260" s="228"/>
      <c r="U260" s="228"/>
      <c r="V260" s="228"/>
      <c r="W260" s="228"/>
      <c r="X260" s="228"/>
      <c r="Y260" s="228"/>
      <c r="Z260" s="228"/>
      <c r="AA260" s="228"/>
      <c r="AB260" s="228"/>
      <c r="AC260" s="228"/>
      <c r="AD260" s="228"/>
      <c r="AE260" s="228"/>
      <c r="AF260" s="228"/>
      <c r="AG260" s="228"/>
      <c r="AH260" s="228"/>
      <c r="AI260" s="228"/>
      <c r="AJ260" s="228"/>
      <c r="AK260" s="228"/>
      <c r="AL260" s="228"/>
      <c r="AM260" s="228"/>
      <c r="AN260" s="228"/>
      <c r="AO260" s="228"/>
      <c r="AP260" s="228"/>
      <c r="AQ260" s="228"/>
      <c r="AR260" s="228"/>
      <c r="AS260" s="228"/>
      <c r="AT260" s="228"/>
      <c r="AU260" s="228"/>
      <c r="AV260" s="228"/>
      <c r="AW260" s="228"/>
      <c r="AX260" s="228"/>
      <c r="AY260" s="228"/>
      <c r="AZ260" s="228"/>
      <c r="BA260" s="228"/>
      <c r="BB260" s="228"/>
      <c r="BC260" s="228"/>
      <c r="BD260" s="228"/>
      <c r="BE260" s="228"/>
      <c r="BF260" s="228"/>
      <c r="BG260" s="228"/>
      <c r="BH260" s="228"/>
      <c r="BI260" s="228"/>
      <c r="BJ260" s="228"/>
      <c r="BK260" s="228"/>
      <c r="BL260" s="228"/>
      <c r="BM260" s="228"/>
      <c r="BN260" s="228"/>
      <c r="BO260" s="228"/>
      <c r="BP260" s="228"/>
      <c r="BQ260" s="228"/>
      <c r="BR260" s="228"/>
      <c r="BS260" s="228"/>
      <c r="BT260" s="228"/>
      <c r="BU260" s="228"/>
      <c r="BV260" s="228"/>
      <c r="BW260" s="228"/>
      <c r="BX260" s="228"/>
      <c r="BY260" s="228"/>
      <c r="BZ260" s="228"/>
      <c r="CA260" s="228"/>
      <c r="CB260" s="228"/>
      <c r="CC260" s="228"/>
      <c r="CD260" s="228"/>
      <c r="CE260" s="228"/>
      <c r="CF260" s="228"/>
      <c r="CG260" s="228"/>
      <c r="CH260" s="228"/>
      <c r="CI260" s="228"/>
      <c r="CJ260" s="228"/>
      <c r="CK260" s="228"/>
      <c r="CL260" s="228"/>
      <c r="CM260" s="228"/>
      <c r="CN260" s="228"/>
      <c r="CO260" s="228"/>
      <c r="CP260" s="228"/>
      <c r="CQ260" s="228"/>
      <c r="CR260" s="228"/>
      <c r="CS260" s="228"/>
      <c r="CT260" s="228"/>
      <c r="CU260" s="228"/>
      <c r="CV260" s="228"/>
      <c r="CW260" s="228"/>
      <c r="CX260" s="228"/>
      <c r="CY260" s="228"/>
      <c r="CZ260" s="228"/>
      <c r="DA260" s="228"/>
      <c r="DB260" s="228"/>
    </row>
    <row r="261" ht="12.0" customHeight="1">
      <c r="A261" s="228"/>
      <c r="B261" s="228"/>
      <c r="C261" s="228"/>
      <c r="D261" s="228"/>
      <c r="E261" s="228"/>
      <c r="F261" s="228"/>
      <c r="G261" s="228"/>
      <c r="H261" s="228"/>
      <c r="I261" s="228"/>
      <c r="J261" s="228"/>
      <c r="K261" s="228"/>
      <c r="L261" s="228"/>
      <c r="M261" s="228"/>
      <c r="N261" s="228"/>
      <c r="O261" s="228"/>
      <c r="P261" s="228"/>
      <c r="Q261" s="228"/>
      <c r="R261" s="228"/>
      <c r="S261" s="228"/>
      <c r="T261" s="228"/>
      <c r="U261" s="228"/>
      <c r="V261" s="228"/>
      <c r="W261" s="228"/>
      <c r="X261" s="228"/>
      <c r="Y261" s="228"/>
      <c r="Z261" s="228"/>
      <c r="AA261" s="228"/>
      <c r="AB261" s="228"/>
      <c r="AC261" s="228"/>
      <c r="AD261" s="228"/>
      <c r="AE261" s="228"/>
      <c r="AF261" s="228"/>
      <c r="AG261" s="228"/>
      <c r="AH261" s="228"/>
      <c r="AI261" s="228"/>
      <c r="AJ261" s="228"/>
      <c r="AK261" s="228"/>
      <c r="AL261" s="228"/>
      <c r="AM261" s="228"/>
      <c r="AN261" s="228"/>
      <c r="AO261" s="228"/>
      <c r="AP261" s="228"/>
      <c r="AQ261" s="228"/>
      <c r="AR261" s="228"/>
      <c r="AS261" s="228"/>
      <c r="AT261" s="228"/>
      <c r="AU261" s="228"/>
      <c r="AV261" s="228"/>
      <c r="AW261" s="228"/>
      <c r="AX261" s="228"/>
      <c r="AY261" s="228"/>
      <c r="AZ261" s="228"/>
      <c r="BA261" s="228"/>
      <c r="BB261" s="228"/>
      <c r="BC261" s="228"/>
      <c r="BD261" s="228"/>
      <c r="BE261" s="228"/>
      <c r="BF261" s="228"/>
      <c r="BG261" s="228"/>
      <c r="BH261" s="228"/>
      <c r="BI261" s="228"/>
      <c r="BJ261" s="228"/>
      <c r="BK261" s="228"/>
      <c r="BL261" s="228"/>
      <c r="BM261" s="228"/>
      <c r="BN261" s="228"/>
      <c r="BO261" s="228"/>
      <c r="BP261" s="228"/>
      <c r="BQ261" s="228"/>
      <c r="BR261" s="228"/>
      <c r="BS261" s="228"/>
      <c r="BT261" s="228"/>
      <c r="BU261" s="228"/>
      <c r="BV261" s="228"/>
      <c r="BW261" s="228"/>
      <c r="BX261" s="228"/>
      <c r="BY261" s="228"/>
      <c r="BZ261" s="228"/>
      <c r="CA261" s="228"/>
      <c r="CB261" s="228"/>
      <c r="CC261" s="228"/>
      <c r="CD261" s="228"/>
      <c r="CE261" s="228"/>
      <c r="CF261" s="228"/>
      <c r="CG261" s="228"/>
      <c r="CH261" s="228"/>
      <c r="CI261" s="228"/>
      <c r="CJ261" s="228"/>
      <c r="CK261" s="228"/>
      <c r="CL261" s="228"/>
      <c r="CM261" s="228"/>
      <c r="CN261" s="228"/>
      <c r="CO261" s="228"/>
      <c r="CP261" s="228"/>
      <c r="CQ261" s="228"/>
      <c r="CR261" s="228"/>
      <c r="CS261" s="228"/>
      <c r="CT261" s="228"/>
      <c r="CU261" s="228"/>
      <c r="CV261" s="228"/>
      <c r="CW261" s="228"/>
      <c r="CX261" s="228"/>
      <c r="CY261" s="228"/>
      <c r="CZ261" s="228"/>
      <c r="DA261" s="228"/>
      <c r="DB261" s="228"/>
    </row>
    <row r="262" ht="12.0" customHeight="1">
      <c r="A262" s="228"/>
      <c r="B262" s="228"/>
      <c r="C262" s="228"/>
      <c r="D262" s="228"/>
      <c r="E262" s="228"/>
      <c r="F262" s="228"/>
      <c r="G262" s="228"/>
      <c r="H262" s="228"/>
      <c r="I262" s="228"/>
      <c r="J262" s="228"/>
      <c r="K262" s="228"/>
      <c r="L262" s="228"/>
      <c r="M262" s="228"/>
      <c r="N262" s="228"/>
      <c r="O262" s="228"/>
      <c r="P262" s="228"/>
      <c r="Q262" s="228"/>
      <c r="R262" s="228"/>
      <c r="S262" s="228"/>
      <c r="T262" s="228"/>
      <c r="U262" s="228"/>
      <c r="V262" s="228"/>
      <c r="W262" s="228"/>
      <c r="X262" s="228"/>
      <c r="Y262" s="228"/>
      <c r="Z262" s="228"/>
      <c r="AA262" s="228"/>
      <c r="AB262" s="228"/>
      <c r="AC262" s="228"/>
      <c r="AD262" s="228"/>
      <c r="AE262" s="228"/>
      <c r="AF262" s="228"/>
      <c r="AG262" s="228"/>
      <c r="AH262" s="228"/>
      <c r="AI262" s="228"/>
      <c r="AJ262" s="228"/>
      <c r="AK262" s="228"/>
      <c r="AL262" s="228"/>
      <c r="AM262" s="228"/>
      <c r="AN262" s="228"/>
      <c r="AO262" s="228"/>
      <c r="AP262" s="228"/>
      <c r="AQ262" s="228"/>
      <c r="AR262" s="228"/>
      <c r="AS262" s="228"/>
      <c r="AT262" s="228"/>
      <c r="AU262" s="228"/>
      <c r="AV262" s="228"/>
      <c r="AW262" s="228"/>
      <c r="AX262" s="228"/>
      <c r="AY262" s="228"/>
      <c r="AZ262" s="228"/>
      <c r="BA262" s="228"/>
      <c r="BB262" s="228"/>
      <c r="BC262" s="228"/>
      <c r="BD262" s="228"/>
      <c r="BE262" s="228"/>
      <c r="BF262" s="228"/>
      <c r="BG262" s="228"/>
      <c r="BH262" s="228"/>
      <c r="BI262" s="228"/>
      <c r="BJ262" s="228"/>
      <c r="BK262" s="228"/>
      <c r="BL262" s="228"/>
      <c r="BM262" s="228"/>
      <c r="BN262" s="228"/>
      <c r="BO262" s="228"/>
      <c r="BP262" s="228"/>
      <c r="BQ262" s="228"/>
      <c r="BR262" s="228"/>
      <c r="BS262" s="228"/>
      <c r="BT262" s="228"/>
      <c r="BU262" s="228"/>
      <c r="BV262" s="228"/>
      <c r="BW262" s="228"/>
      <c r="BX262" s="228"/>
      <c r="BY262" s="228"/>
      <c r="BZ262" s="228"/>
      <c r="CA262" s="228"/>
      <c r="CB262" s="228"/>
      <c r="CC262" s="228"/>
      <c r="CD262" s="228"/>
      <c r="CE262" s="228"/>
      <c r="CF262" s="228"/>
      <c r="CG262" s="228"/>
      <c r="CH262" s="228"/>
      <c r="CI262" s="228"/>
      <c r="CJ262" s="228"/>
      <c r="CK262" s="228"/>
      <c r="CL262" s="228"/>
      <c r="CM262" s="228"/>
      <c r="CN262" s="228"/>
      <c r="CO262" s="228"/>
      <c r="CP262" s="228"/>
      <c r="CQ262" s="228"/>
      <c r="CR262" s="228"/>
      <c r="CS262" s="228"/>
      <c r="CT262" s="228"/>
      <c r="CU262" s="228"/>
      <c r="CV262" s="228"/>
      <c r="CW262" s="228"/>
      <c r="CX262" s="228"/>
      <c r="CY262" s="228"/>
      <c r="CZ262" s="228"/>
      <c r="DA262" s="228"/>
      <c r="DB262" s="228"/>
    </row>
    <row r="263" ht="12.0" customHeight="1">
      <c r="A263" s="228"/>
      <c r="B263" s="228"/>
      <c r="C263" s="228"/>
      <c r="D263" s="228"/>
      <c r="E263" s="228"/>
      <c r="F263" s="228"/>
      <c r="G263" s="228"/>
      <c r="H263" s="228"/>
      <c r="I263" s="228"/>
      <c r="J263" s="228"/>
      <c r="K263" s="228"/>
      <c r="L263" s="228"/>
      <c r="M263" s="228"/>
      <c r="N263" s="228"/>
      <c r="O263" s="228"/>
      <c r="P263" s="228"/>
      <c r="Q263" s="228"/>
      <c r="R263" s="228"/>
      <c r="S263" s="228"/>
      <c r="T263" s="228"/>
      <c r="U263" s="228"/>
      <c r="V263" s="228"/>
      <c r="W263" s="228"/>
      <c r="X263" s="228"/>
      <c r="Y263" s="228"/>
      <c r="Z263" s="228"/>
      <c r="AA263" s="228"/>
      <c r="AB263" s="228"/>
      <c r="AC263" s="228"/>
      <c r="AD263" s="228"/>
      <c r="AE263" s="228"/>
      <c r="AF263" s="228"/>
      <c r="AG263" s="228"/>
      <c r="AH263" s="228"/>
      <c r="AI263" s="228"/>
      <c r="AJ263" s="228"/>
      <c r="AK263" s="228"/>
      <c r="AL263" s="228"/>
      <c r="AM263" s="228"/>
      <c r="AN263" s="228"/>
      <c r="AO263" s="228"/>
      <c r="AP263" s="228"/>
      <c r="AQ263" s="228"/>
      <c r="AR263" s="228"/>
      <c r="AS263" s="228"/>
      <c r="AT263" s="228"/>
      <c r="AU263" s="228"/>
      <c r="AV263" s="228"/>
      <c r="AW263" s="228"/>
      <c r="AX263" s="228"/>
      <c r="AY263" s="228"/>
      <c r="AZ263" s="228"/>
      <c r="BA263" s="228"/>
      <c r="BB263" s="228"/>
      <c r="BC263" s="228"/>
      <c r="BD263" s="228"/>
      <c r="BE263" s="228"/>
      <c r="BF263" s="228"/>
      <c r="BG263" s="228"/>
      <c r="BH263" s="228"/>
      <c r="BI263" s="228"/>
      <c r="BJ263" s="228"/>
      <c r="BK263" s="228"/>
      <c r="BL263" s="228"/>
      <c r="BM263" s="228"/>
      <c r="BN263" s="228"/>
      <c r="BO263" s="228"/>
      <c r="BP263" s="228"/>
      <c r="BQ263" s="228"/>
      <c r="BR263" s="228"/>
      <c r="BS263" s="228"/>
      <c r="BT263" s="228"/>
      <c r="BU263" s="228"/>
      <c r="BV263" s="228"/>
      <c r="BW263" s="228"/>
      <c r="BX263" s="228"/>
      <c r="BY263" s="228"/>
      <c r="BZ263" s="228"/>
      <c r="CA263" s="228"/>
      <c r="CB263" s="228"/>
      <c r="CC263" s="228"/>
      <c r="CD263" s="228"/>
      <c r="CE263" s="228"/>
      <c r="CF263" s="228"/>
      <c r="CG263" s="228"/>
      <c r="CH263" s="228"/>
      <c r="CI263" s="228"/>
      <c r="CJ263" s="228"/>
      <c r="CK263" s="228"/>
      <c r="CL263" s="228"/>
      <c r="CM263" s="228"/>
      <c r="CN263" s="228"/>
      <c r="CO263" s="228"/>
      <c r="CP263" s="228"/>
      <c r="CQ263" s="228"/>
      <c r="CR263" s="228"/>
      <c r="CS263" s="228"/>
      <c r="CT263" s="228"/>
      <c r="CU263" s="228"/>
      <c r="CV263" s="228"/>
      <c r="CW263" s="228"/>
      <c r="CX263" s="228"/>
      <c r="CY263" s="228"/>
      <c r="CZ263" s="228"/>
      <c r="DA263" s="228"/>
      <c r="DB263" s="228"/>
    </row>
    <row r="264" ht="12.0" customHeight="1">
      <c r="A264" s="228"/>
      <c r="B264" s="228"/>
      <c r="C264" s="228"/>
      <c r="D264" s="228"/>
      <c r="E264" s="228"/>
      <c r="F264" s="228"/>
      <c r="G264" s="228"/>
      <c r="H264" s="228"/>
      <c r="I264" s="228"/>
      <c r="J264" s="228"/>
      <c r="K264" s="228"/>
      <c r="L264" s="228"/>
      <c r="M264" s="228"/>
      <c r="N264" s="228"/>
      <c r="O264" s="228"/>
      <c r="P264" s="228"/>
      <c r="Q264" s="228"/>
      <c r="R264" s="228"/>
      <c r="S264" s="228"/>
      <c r="T264" s="228"/>
      <c r="U264" s="228"/>
      <c r="V264" s="228"/>
      <c r="W264" s="228"/>
      <c r="X264" s="228"/>
      <c r="Y264" s="228"/>
      <c r="Z264" s="228"/>
      <c r="AA264" s="228"/>
      <c r="AB264" s="228"/>
      <c r="AC264" s="228"/>
      <c r="AD264" s="228"/>
      <c r="AE264" s="228"/>
      <c r="AF264" s="228"/>
      <c r="AG264" s="228"/>
      <c r="AH264" s="228"/>
      <c r="AI264" s="228"/>
      <c r="AJ264" s="228"/>
      <c r="AK264" s="228"/>
      <c r="AL264" s="228"/>
      <c r="AM264" s="228"/>
      <c r="AN264" s="228"/>
      <c r="AO264" s="228"/>
      <c r="AP264" s="228"/>
      <c r="AQ264" s="228"/>
      <c r="AR264" s="228"/>
      <c r="AS264" s="228"/>
      <c r="AT264" s="228"/>
      <c r="AU264" s="228"/>
      <c r="AV264" s="228"/>
      <c r="AW264" s="228"/>
      <c r="AX264" s="228"/>
      <c r="AY264" s="228"/>
      <c r="AZ264" s="228"/>
      <c r="BA264" s="228"/>
      <c r="BB264" s="228"/>
      <c r="BC264" s="228"/>
      <c r="BD264" s="228"/>
      <c r="BE264" s="228"/>
      <c r="BF264" s="228"/>
      <c r="BG264" s="228"/>
      <c r="BH264" s="228"/>
      <c r="BI264" s="228"/>
      <c r="BJ264" s="228"/>
      <c r="BK264" s="228"/>
      <c r="BL264" s="228"/>
      <c r="BM264" s="228"/>
      <c r="BN264" s="228"/>
      <c r="BO264" s="228"/>
      <c r="BP264" s="228"/>
      <c r="BQ264" s="228"/>
      <c r="BR264" s="228"/>
      <c r="BS264" s="228"/>
      <c r="BT264" s="228"/>
      <c r="BU264" s="228"/>
      <c r="BV264" s="228"/>
      <c r="BW264" s="228"/>
      <c r="BX264" s="228"/>
      <c r="BY264" s="228"/>
      <c r="BZ264" s="228"/>
      <c r="CA264" s="228"/>
      <c r="CB264" s="228"/>
      <c r="CC264" s="228"/>
      <c r="CD264" s="228"/>
      <c r="CE264" s="228"/>
      <c r="CF264" s="228"/>
      <c r="CG264" s="228"/>
      <c r="CH264" s="228"/>
      <c r="CI264" s="228"/>
      <c r="CJ264" s="228"/>
      <c r="CK264" s="228"/>
      <c r="CL264" s="228"/>
      <c r="CM264" s="228"/>
      <c r="CN264" s="228"/>
      <c r="CO264" s="228"/>
      <c r="CP264" s="228"/>
      <c r="CQ264" s="228"/>
      <c r="CR264" s="228"/>
      <c r="CS264" s="228"/>
      <c r="CT264" s="228"/>
      <c r="CU264" s="228"/>
      <c r="CV264" s="228"/>
      <c r="CW264" s="228"/>
      <c r="CX264" s="228"/>
      <c r="CY264" s="228"/>
      <c r="CZ264" s="228"/>
      <c r="DA264" s="228"/>
      <c r="DB264" s="228"/>
    </row>
    <row r="265" ht="12.0" customHeight="1">
      <c r="A265" s="228"/>
      <c r="B265" s="228"/>
      <c r="C265" s="228"/>
      <c r="D265" s="228"/>
      <c r="E265" s="228"/>
      <c r="F265" s="228"/>
      <c r="G265" s="228"/>
      <c r="H265" s="228"/>
      <c r="I265" s="228"/>
      <c r="J265" s="228"/>
      <c r="K265" s="228"/>
      <c r="L265" s="228"/>
      <c r="M265" s="228"/>
      <c r="N265" s="228"/>
      <c r="O265" s="228"/>
      <c r="P265" s="228"/>
      <c r="Q265" s="228"/>
      <c r="R265" s="228"/>
      <c r="S265" s="228"/>
      <c r="T265" s="228"/>
      <c r="U265" s="228"/>
      <c r="V265" s="228"/>
      <c r="W265" s="228"/>
      <c r="X265" s="228"/>
      <c r="Y265" s="228"/>
      <c r="Z265" s="228"/>
      <c r="AA265" s="228"/>
      <c r="AB265" s="228"/>
      <c r="AC265" s="228"/>
      <c r="AD265" s="228"/>
      <c r="AE265" s="228"/>
      <c r="AF265" s="228"/>
      <c r="AG265" s="228"/>
      <c r="AH265" s="228"/>
      <c r="AI265" s="228"/>
      <c r="AJ265" s="228"/>
      <c r="AK265" s="228"/>
      <c r="AL265" s="228"/>
      <c r="AM265" s="228"/>
      <c r="AN265" s="228"/>
      <c r="AO265" s="228"/>
      <c r="AP265" s="228"/>
      <c r="AQ265" s="228"/>
      <c r="AR265" s="228"/>
      <c r="AS265" s="228"/>
      <c r="AT265" s="228"/>
      <c r="AU265" s="228"/>
      <c r="AV265" s="228"/>
      <c r="AW265" s="228"/>
      <c r="AX265" s="228"/>
      <c r="AY265" s="228"/>
      <c r="AZ265" s="228"/>
      <c r="BA265" s="228"/>
      <c r="BB265" s="228"/>
      <c r="BC265" s="228"/>
      <c r="BD265" s="228"/>
      <c r="BE265" s="228"/>
      <c r="BF265" s="228"/>
      <c r="BG265" s="228"/>
      <c r="BH265" s="228"/>
      <c r="BI265" s="228"/>
      <c r="BJ265" s="228"/>
      <c r="BK265" s="228"/>
      <c r="BL265" s="228"/>
      <c r="BM265" s="228"/>
      <c r="BN265" s="228"/>
      <c r="BO265" s="228"/>
      <c r="BP265" s="228"/>
      <c r="BQ265" s="228"/>
      <c r="BR265" s="228"/>
      <c r="BS265" s="228"/>
      <c r="BT265" s="228"/>
      <c r="BU265" s="228"/>
      <c r="BV265" s="228"/>
      <c r="BW265" s="228"/>
      <c r="BX265" s="228"/>
      <c r="BY265" s="228"/>
      <c r="BZ265" s="228"/>
      <c r="CA265" s="228"/>
      <c r="CB265" s="228"/>
      <c r="CC265" s="228"/>
      <c r="CD265" s="228"/>
      <c r="CE265" s="228"/>
      <c r="CF265" s="228"/>
      <c r="CG265" s="228"/>
      <c r="CH265" s="228"/>
      <c r="CI265" s="228"/>
      <c r="CJ265" s="228"/>
      <c r="CK265" s="228"/>
      <c r="CL265" s="228"/>
      <c r="CM265" s="228"/>
      <c r="CN265" s="228"/>
      <c r="CO265" s="228"/>
      <c r="CP265" s="228"/>
      <c r="CQ265" s="228"/>
      <c r="CR265" s="228"/>
      <c r="CS265" s="228"/>
      <c r="CT265" s="228"/>
      <c r="CU265" s="228"/>
      <c r="CV265" s="228"/>
      <c r="CW265" s="228"/>
      <c r="CX265" s="228"/>
      <c r="CY265" s="228"/>
      <c r="CZ265" s="228"/>
      <c r="DA265" s="228"/>
      <c r="DB265" s="228"/>
    </row>
    <row r="266" ht="12.0" customHeight="1">
      <c r="A266" s="228"/>
      <c r="B266" s="228"/>
      <c r="C266" s="228"/>
      <c r="D266" s="228"/>
      <c r="E266" s="228"/>
      <c r="F266" s="228"/>
      <c r="G266" s="228"/>
      <c r="H266" s="228"/>
      <c r="I266" s="228"/>
      <c r="J266" s="228"/>
      <c r="K266" s="228"/>
      <c r="L266" s="228"/>
      <c r="M266" s="228"/>
      <c r="N266" s="228"/>
      <c r="O266" s="228"/>
      <c r="P266" s="228"/>
      <c r="Q266" s="228"/>
      <c r="R266" s="228"/>
      <c r="S266" s="228"/>
      <c r="T266" s="228"/>
      <c r="U266" s="228"/>
      <c r="V266" s="228"/>
      <c r="W266" s="228"/>
      <c r="X266" s="228"/>
      <c r="Y266" s="228"/>
      <c r="Z266" s="228"/>
      <c r="AA266" s="228"/>
      <c r="AB266" s="228"/>
      <c r="AC266" s="228"/>
      <c r="AD266" s="228"/>
      <c r="AE266" s="228"/>
      <c r="AF266" s="228"/>
      <c r="AG266" s="228"/>
      <c r="AH266" s="228"/>
      <c r="AI266" s="228"/>
      <c r="AJ266" s="228"/>
      <c r="AK266" s="228"/>
      <c r="AL266" s="228"/>
      <c r="AM266" s="228"/>
      <c r="AN266" s="228"/>
      <c r="AO266" s="228"/>
      <c r="AP266" s="228"/>
      <c r="AQ266" s="228"/>
      <c r="AR266" s="228"/>
      <c r="AS266" s="228"/>
      <c r="AT266" s="228"/>
      <c r="AU266" s="228"/>
      <c r="AV266" s="228"/>
      <c r="AW266" s="228"/>
      <c r="AX266" s="228"/>
      <c r="AY266" s="228"/>
      <c r="AZ266" s="228"/>
      <c r="BA266" s="228"/>
      <c r="BB266" s="228"/>
      <c r="BC266" s="228"/>
      <c r="BD266" s="228"/>
      <c r="BE266" s="228"/>
      <c r="BF266" s="228"/>
      <c r="BG266" s="228"/>
      <c r="BH266" s="228"/>
      <c r="BI266" s="228"/>
      <c r="BJ266" s="228"/>
      <c r="BK266" s="228"/>
      <c r="BL266" s="228"/>
      <c r="BM266" s="228"/>
      <c r="BN266" s="228"/>
      <c r="BO266" s="228"/>
      <c r="BP266" s="228"/>
      <c r="BQ266" s="228"/>
      <c r="BR266" s="228"/>
      <c r="BS266" s="228"/>
      <c r="BT266" s="228"/>
      <c r="BU266" s="228"/>
      <c r="BV266" s="228"/>
      <c r="BW266" s="228"/>
      <c r="BX266" s="228"/>
      <c r="BY266" s="228"/>
      <c r="BZ266" s="228"/>
      <c r="CA266" s="228"/>
      <c r="CB266" s="228"/>
      <c r="CC266" s="228"/>
      <c r="CD266" s="228"/>
      <c r="CE266" s="228"/>
      <c r="CF266" s="228"/>
      <c r="CG266" s="228"/>
      <c r="CH266" s="228"/>
      <c r="CI266" s="228"/>
      <c r="CJ266" s="228"/>
      <c r="CK266" s="228"/>
      <c r="CL266" s="228"/>
      <c r="CM266" s="228"/>
      <c r="CN266" s="228"/>
      <c r="CO266" s="228"/>
      <c r="CP266" s="228"/>
      <c r="CQ266" s="228"/>
      <c r="CR266" s="228"/>
      <c r="CS266" s="228"/>
      <c r="CT266" s="228"/>
      <c r="CU266" s="228"/>
      <c r="CV266" s="228"/>
      <c r="CW266" s="228"/>
      <c r="CX266" s="228"/>
      <c r="CY266" s="228"/>
      <c r="CZ266" s="228"/>
      <c r="DA266" s="228"/>
      <c r="DB266" s="228"/>
    </row>
    <row r="267" ht="12.0" customHeight="1">
      <c r="A267" s="228"/>
      <c r="B267" s="228"/>
      <c r="C267" s="228"/>
      <c r="D267" s="228"/>
      <c r="E267" s="228"/>
      <c r="F267" s="228"/>
      <c r="G267" s="228"/>
      <c r="H267" s="228"/>
      <c r="I267" s="228"/>
      <c r="J267" s="228"/>
      <c r="K267" s="228"/>
      <c r="L267" s="228"/>
      <c r="M267" s="228"/>
      <c r="N267" s="228"/>
      <c r="O267" s="228"/>
      <c r="P267" s="228"/>
      <c r="Q267" s="228"/>
      <c r="R267" s="228"/>
      <c r="S267" s="228"/>
      <c r="T267" s="228"/>
      <c r="U267" s="228"/>
      <c r="V267" s="228"/>
      <c r="W267" s="228"/>
      <c r="X267" s="228"/>
      <c r="Y267" s="228"/>
      <c r="Z267" s="228"/>
      <c r="AA267" s="228"/>
      <c r="AB267" s="228"/>
      <c r="AC267" s="228"/>
      <c r="AD267" s="228"/>
      <c r="AE267" s="228"/>
      <c r="AF267" s="228"/>
      <c r="AG267" s="228"/>
      <c r="AH267" s="228"/>
      <c r="AI267" s="228"/>
      <c r="AJ267" s="228"/>
      <c r="AK267" s="228"/>
      <c r="AL267" s="228"/>
      <c r="AM267" s="228"/>
      <c r="AN267" s="228"/>
      <c r="AO267" s="228"/>
      <c r="AP267" s="228"/>
      <c r="AQ267" s="228"/>
      <c r="AR267" s="228"/>
      <c r="AS267" s="228"/>
      <c r="AT267" s="228"/>
      <c r="AU267" s="228"/>
      <c r="AV267" s="228"/>
      <c r="AW267" s="228"/>
      <c r="AX267" s="228"/>
      <c r="AY267" s="228"/>
      <c r="AZ267" s="228"/>
      <c r="BA267" s="228"/>
      <c r="BB267" s="228"/>
      <c r="BC267" s="228"/>
      <c r="BD267" s="228"/>
      <c r="BE267" s="228"/>
      <c r="BF267" s="228"/>
      <c r="BG267" s="228"/>
      <c r="BH267" s="228"/>
      <c r="BI267" s="228"/>
      <c r="BJ267" s="228"/>
      <c r="BK267" s="228"/>
      <c r="BL267" s="228"/>
      <c r="BM267" s="228"/>
      <c r="BN267" s="228"/>
      <c r="BO267" s="228"/>
      <c r="BP267" s="228"/>
      <c r="BQ267" s="228"/>
      <c r="BR267" s="228"/>
      <c r="BS267" s="228"/>
      <c r="BT267" s="228"/>
      <c r="BU267" s="228"/>
      <c r="BV267" s="228"/>
      <c r="BW267" s="228"/>
      <c r="BX267" s="228"/>
      <c r="BY267" s="228"/>
      <c r="BZ267" s="228"/>
      <c r="CA267" s="228"/>
      <c r="CB267" s="228"/>
      <c r="CC267" s="228"/>
      <c r="CD267" s="228"/>
      <c r="CE267" s="228"/>
      <c r="CF267" s="228"/>
      <c r="CG267" s="228"/>
      <c r="CH267" s="228"/>
      <c r="CI267" s="228"/>
      <c r="CJ267" s="228"/>
      <c r="CK267" s="228"/>
      <c r="CL267" s="228"/>
      <c r="CM267" s="228"/>
      <c r="CN267" s="228"/>
      <c r="CO267" s="228"/>
      <c r="CP267" s="228"/>
      <c r="CQ267" s="228"/>
      <c r="CR267" s="228"/>
      <c r="CS267" s="228"/>
      <c r="CT267" s="228"/>
      <c r="CU267" s="228"/>
      <c r="CV267" s="228"/>
      <c r="CW267" s="228"/>
      <c r="CX267" s="228"/>
      <c r="CY267" s="228"/>
      <c r="CZ267" s="228"/>
      <c r="DA267" s="228"/>
      <c r="DB267" s="228"/>
    </row>
    <row r="268" ht="12.0" customHeight="1">
      <c r="A268" s="228"/>
      <c r="B268" s="228"/>
      <c r="C268" s="228"/>
      <c r="D268" s="228"/>
      <c r="E268" s="228"/>
      <c r="F268" s="228"/>
      <c r="G268" s="228"/>
      <c r="H268" s="228"/>
      <c r="I268" s="228"/>
      <c r="J268" s="228"/>
      <c r="K268" s="228"/>
      <c r="L268" s="228"/>
      <c r="M268" s="228"/>
      <c r="N268" s="228"/>
      <c r="O268" s="228"/>
      <c r="P268" s="228"/>
      <c r="Q268" s="228"/>
      <c r="R268" s="228"/>
      <c r="S268" s="228"/>
      <c r="T268" s="228"/>
      <c r="U268" s="228"/>
      <c r="V268" s="228"/>
      <c r="W268" s="228"/>
      <c r="X268" s="228"/>
      <c r="Y268" s="228"/>
      <c r="Z268" s="228"/>
      <c r="AA268" s="228"/>
      <c r="AB268" s="228"/>
      <c r="AC268" s="228"/>
      <c r="AD268" s="228"/>
      <c r="AE268" s="228"/>
      <c r="AF268" s="228"/>
      <c r="AG268" s="228"/>
      <c r="AH268" s="228"/>
      <c r="AI268" s="228"/>
      <c r="AJ268" s="228"/>
      <c r="AK268" s="228"/>
      <c r="AL268" s="228"/>
      <c r="AM268" s="228"/>
      <c r="AN268" s="228"/>
      <c r="AO268" s="228"/>
      <c r="AP268" s="228"/>
      <c r="AQ268" s="228"/>
      <c r="AR268" s="228"/>
      <c r="AS268" s="228"/>
      <c r="AT268" s="228"/>
      <c r="AU268" s="228"/>
      <c r="AV268" s="228"/>
      <c r="AW268" s="228"/>
      <c r="AX268" s="228"/>
      <c r="AY268" s="228"/>
      <c r="AZ268" s="228"/>
      <c r="BA268" s="228"/>
      <c r="BB268" s="228"/>
      <c r="BC268" s="228"/>
      <c r="BD268" s="228"/>
      <c r="BE268" s="228"/>
      <c r="BF268" s="228"/>
      <c r="BG268" s="228"/>
      <c r="BH268" s="228"/>
      <c r="BI268" s="228"/>
      <c r="BJ268" s="228"/>
      <c r="BK268" s="228"/>
      <c r="BL268" s="228"/>
      <c r="BM268" s="228"/>
      <c r="BN268" s="228"/>
      <c r="BO268" s="228"/>
      <c r="BP268" s="228"/>
      <c r="BQ268" s="228"/>
      <c r="BR268" s="228"/>
      <c r="BS268" s="228"/>
      <c r="BT268" s="228"/>
      <c r="BU268" s="228"/>
      <c r="BV268" s="228"/>
      <c r="BW268" s="228"/>
      <c r="BX268" s="228"/>
      <c r="BY268" s="228"/>
      <c r="BZ268" s="228"/>
      <c r="CA268" s="228"/>
      <c r="CB268" s="228"/>
      <c r="CC268" s="228"/>
      <c r="CD268" s="228"/>
      <c r="CE268" s="228"/>
      <c r="CF268" s="228"/>
      <c r="CG268" s="228"/>
      <c r="CH268" s="228"/>
      <c r="CI268" s="228"/>
      <c r="CJ268" s="228"/>
      <c r="CK268" s="228"/>
      <c r="CL268" s="228"/>
      <c r="CM268" s="228"/>
      <c r="CN268" s="228"/>
      <c r="CO268" s="228"/>
      <c r="CP268" s="228"/>
      <c r="CQ268" s="228"/>
      <c r="CR268" s="228"/>
      <c r="CS268" s="228"/>
      <c r="CT268" s="228"/>
      <c r="CU268" s="228"/>
      <c r="CV268" s="228"/>
      <c r="CW268" s="228"/>
      <c r="CX268" s="228"/>
      <c r="CY268" s="228"/>
      <c r="CZ268" s="228"/>
      <c r="DA268" s="228"/>
      <c r="DB268" s="228"/>
    </row>
    <row r="269" ht="12.0" customHeight="1">
      <c r="A269" s="228"/>
      <c r="B269" s="228"/>
      <c r="C269" s="228"/>
      <c r="D269" s="228"/>
      <c r="E269" s="228"/>
      <c r="F269" s="228"/>
      <c r="G269" s="228"/>
      <c r="H269" s="228"/>
      <c r="I269" s="228"/>
      <c r="J269" s="228"/>
      <c r="K269" s="228"/>
      <c r="L269" s="228"/>
      <c r="M269" s="228"/>
      <c r="N269" s="228"/>
      <c r="O269" s="228"/>
      <c r="P269" s="228"/>
      <c r="Q269" s="228"/>
      <c r="R269" s="228"/>
      <c r="S269" s="228"/>
      <c r="T269" s="228"/>
      <c r="U269" s="228"/>
      <c r="V269" s="228"/>
      <c r="W269" s="228"/>
      <c r="X269" s="228"/>
      <c r="Y269" s="228"/>
      <c r="Z269" s="228"/>
      <c r="AA269" s="228"/>
      <c r="AB269" s="228"/>
      <c r="AC269" s="228"/>
      <c r="AD269" s="228"/>
      <c r="AE269" s="228"/>
      <c r="AF269" s="228"/>
      <c r="AG269" s="228"/>
      <c r="AH269" s="228"/>
      <c r="AI269" s="228"/>
      <c r="AJ269" s="228"/>
      <c r="AK269" s="228"/>
      <c r="AL269" s="228"/>
      <c r="AM269" s="228"/>
      <c r="AN269" s="228"/>
      <c r="AO269" s="228"/>
      <c r="AP269" s="228"/>
      <c r="AQ269" s="228"/>
      <c r="AR269" s="228"/>
      <c r="AS269" s="228"/>
      <c r="AT269" s="228"/>
      <c r="AU269" s="228"/>
      <c r="AV269" s="228"/>
      <c r="AW269" s="228"/>
      <c r="AX269" s="228"/>
      <c r="AY269" s="228"/>
      <c r="AZ269" s="228"/>
      <c r="BA269" s="228"/>
      <c r="BB269" s="228"/>
      <c r="BC269" s="228"/>
      <c r="BD269" s="228"/>
      <c r="BE269" s="228"/>
      <c r="BF269" s="228"/>
      <c r="BG269" s="228"/>
      <c r="BH269" s="228"/>
      <c r="BI269" s="228"/>
      <c r="BJ269" s="228"/>
      <c r="BK269" s="228"/>
      <c r="BL269" s="228"/>
      <c r="BM269" s="228"/>
      <c r="BN269" s="228"/>
      <c r="BO269" s="228"/>
      <c r="BP269" s="228"/>
      <c r="BQ269" s="228"/>
      <c r="BR269" s="228"/>
      <c r="BS269" s="228"/>
      <c r="BT269" s="228"/>
      <c r="BU269" s="228"/>
      <c r="BV269" s="228"/>
      <c r="BW269" s="228"/>
      <c r="BX269" s="228"/>
      <c r="BY269" s="228"/>
      <c r="BZ269" s="228"/>
      <c r="CA269" s="228"/>
      <c r="CB269" s="228"/>
      <c r="CC269" s="228"/>
      <c r="CD269" s="228"/>
      <c r="CE269" s="228"/>
      <c r="CF269" s="228"/>
      <c r="CG269" s="228"/>
      <c r="CH269" s="228"/>
      <c r="CI269" s="228"/>
      <c r="CJ269" s="228"/>
      <c r="CK269" s="228"/>
      <c r="CL269" s="228"/>
      <c r="CM269" s="228"/>
      <c r="CN269" s="228"/>
      <c r="CO269" s="228"/>
      <c r="CP269" s="228"/>
      <c r="CQ269" s="228"/>
      <c r="CR269" s="228"/>
      <c r="CS269" s="228"/>
      <c r="CT269" s="228"/>
      <c r="CU269" s="228"/>
      <c r="CV269" s="228"/>
      <c r="CW269" s="228"/>
      <c r="CX269" s="228"/>
      <c r="CY269" s="228"/>
      <c r="CZ269" s="228"/>
      <c r="DA269" s="228"/>
      <c r="DB269" s="228"/>
    </row>
    <row r="270" ht="12.0" customHeight="1">
      <c r="A270" s="228"/>
      <c r="B270" s="228"/>
      <c r="C270" s="228"/>
      <c r="D270" s="228"/>
      <c r="E270" s="228"/>
      <c r="F270" s="228"/>
      <c r="G270" s="228"/>
      <c r="H270" s="228"/>
      <c r="I270" s="228"/>
      <c r="J270" s="228"/>
      <c r="K270" s="228"/>
      <c r="L270" s="228"/>
      <c r="M270" s="228"/>
      <c r="N270" s="228"/>
      <c r="O270" s="228"/>
      <c r="P270" s="228"/>
      <c r="Q270" s="228"/>
      <c r="R270" s="228"/>
      <c r="S270" s="228"/>
      <c r="T270" s="228"/>
      <c r="U270" s="228"/>
      <c r="V270" s="228"/>
      <c r="W270" s="228"/>
      <c r="X270" s="228"/>
      <c r="Y270" s="228"/>
      <c r="Z270" s="228"/>
      <c r="AA270" s="228"/>
      <c r="AB270" s="228"/>
      <c r="AC270" s="228"/>
      <c r="AD270" s="228"/>
      <c r="AE270" s="228"/>
      <c r="AF270" s="228"/>
      <c r="AG270" s="228"/>
      <c r="AH270" s="228"/>
      <c r="AI270" s="228"/>
      <c r="AJ270" s="228"/>
      <c r="AK270" s="228"/>
      <c r="AL270" s="228"/>
      <c r="AM270" s="228"/>
      <c r="AN270" s="228"/>
      <c r="AO270" s="228"/>
      <c r="AP270" s="228"/>
      <c r="AQ270" s="228"/>
      <c r="AR270" s="228"/>
      <c r="AS270" s="228"/>
      <c r="AT270" s="228"/>
      <c r="AU270" s="228"/>
      <c r="AV270" s="228"/>
      <c r="AW270" s="228"/>
      <c r="AX270" s="228"/>
      <c r="AY270" s="228"/>
      <c r="AZ270" s="228"/>
      <c r="BA270" s="228"/>
      <c r="BB270" s="228"/>
      <c r="BC270" s="228"/>
      <c r="BD270" s="228"/>
      <c r="BE270" s="228"/>
      <c r="BF270" s="228"/>
      <c r="BG270" s="228"/>
      <c r="BH270" s="228"/>
      <c r="BI270" s="228"/>
      <c r="BJ270" s="228"/>
      <c r="BK270" s="228"/>
      <c r="BL270" s="228"/>
      <c r="BM270" s="228"/>
      <c r="BN270" s="228"/>
      <c r="BO270" s="228"/>
      <c r="BP270" s="228"/>
      <c r="BQ270" s="228"/>
      <c r="BR270" s="228"/>
      <c r="BS270" s="228"/>
      <c r="BT270" s="228"/>
      <c r="BU270" s="228"/>
      <c r="BV270" s="228"/>
      <c r="BW270" s="228"/>
      <c r="BX270" s="228"/>
      <c r="BY270" s="228"/>
      <c r="BZ270" s="228"/>
      <c r="CA270" s="228"/>
      <c r="CB270" s="228"/>
      <c r="CC270" s="228"/>
      <c r="CD270" s="228"/>
      <c r="CE270" s="228"/>
      <c r="CF270" s="228"/>
      <c r="CG270" s="228"/>
      <c r="CH270" s="228"/>
      <c r="CI270" s="228"/>
      <c r="CJ270" s="228"/>
      <c r="CK270" s="228"/>
      <c r="CL270" s="228"/>
      <c r="CM270" s="228"/>
      <c r="CN270" s="228"/>
      <c r="CO270" s="228"/>
      <c r="CP270" s="228"/>
      <c r="CQ270" s="228"/>
      <c r="CR270" s="228"/>
      <c r="CS270" s="228"/>
      <c r="CT270" s="228"/>
      <c r="CU270" s="228"/>
      <c r="CV270" s="228"/>
      <c r="CW270" s="228"/>
      <c r="CX270" s="228"/>
      <c r="CY270" s="228"/>
      <c r="CZ270" s="228"/>
      <c r="DA270" s="228"/>
      <c r="DB270" s="228"/>
    </row>
    <row r="271" ht="12.0" customHeight="1">
      <c r="A271" s="228"/>
      <c r="B271" s="228"/>
      <c r="C271" s="228"/>
      <c r="D271" s="228"/>
      <c r="E271" s="228"/>
      <c r="F271" s="228"/>
      <c r="G271" s="228"/>
      <c r="H271" s="228"/>
      <c r="I271" s="228"/>
      <c r="J271" s="228"/>
      <c r="K271" s="228"/>
      <c r="L271" s="228"/>
      <c r="M271" s="228"/>
      <c r="N271" s="228"/>
      <c r="O271" s="228"/>
      <c r="P271" s="228"/>
      <c r="Q271" s="228"/>
      <c r="R271" s="228"/>
      <c r="S271" s="228"/>
      <c r="T271" s="228"/>
      <c r="U271" s="228"/>
      <c r="V271" s="228"/>
      <c r="W271" s="228"/>
      <c r="X271" s="228"/>
      <c r="Y271" s="228"/>
      <c r="Z271" s="228"/>
      <c r="AA271" s="228"/>
      <c r="AB271" s="228"/>
      <c r="AC271" s="228"/>
      <c r="AD271" s="228"/>
      <c r="AE271" s="228"/>
      <c r="AF271" s="228"/>
      <c r="AG271" s="228"/>
      <c r="AH271" s="228"/>
      <c r="AI271" s="228"/>
      <c r="AJ271" s="228"/>
      <c r="AK271" s="228"/>
      <c r="AL271" s="228"/>
      <c r="AM271" s="228"/>
      <c r="AN271" s="228"/>
      <c r="AO271" s="228"/>
      <c r="AP271" s="228"/>
      <c r="AQ271" s="228"/>
      <c r="AR271" s="228"/>
      <c r="AS271" s="228"/>
      <c r="AT271" s="228"/>
      <c r="AU271" s="228"/>
      <c r="AV271" s="228"/>
      <c r="AW271" s="228"/>
      <c r="AX271" s="228"/>
      <c r="AY271" s="228"/>
      <c r="AZ271" s="228"/>
      <c r="BA271" s="228"/>
      <c r="BB271" s="228"/>
      <c r="BC271" s="228"/>
      <c r="BD271" s="228"/>
      <c r="BE271" s="228"/>
      <c r="BF271" s="228"/>
      <c r="BG271" s="228"/>
      <c r="BH271" s="228"/>
      <c r="BI271" s="228"/>
      <c r="BJ271" s="228"/>
      <c r="BK271" s="228"/>
      <c r="BL271" s="228"/>
      <c r="BM271" s="228"/>
      <c r="BN271" s="228"/>
      <c r="BO271" s="228"/>
      <c r="BP271" s="228"/>
      <c r="BQ271" s="228"/>
      <c r="BR271" s="228"/>
      <c r="BS271" s="228"/>
      <c r="BT271" s="228"/>
      <c r="BU271" s="228"/>
      <c r="BV271" s="228"/>
      <c r="BW271" s="228"/>
      <c r="BX271" s="228"/>
      <c r="BY271" s="228"/>
      <c r="BZ271" s="228"/>
      <c r="CA271" s="228"/>
      <c r="CB271" s="228"/>
      <c r="CC271" s="228"/>
      <c r="CD271" s="228"/>
      <c r="CE271" s="228"/>
      <c r="CF271" s="228"/>
      <c r="CG271" s="228"/>
      <c r="CH271" s="228"/>
      <c r="CI271" s="228"/>
      <c r="CJ271" s="228"/>
      <c r="CK271" s="228"/>
      <c r="CL271" s="228"/>
      <c r="CM271" s="228"/>
      <c r="CN271" s="228"/>
      <c r="CO271" s="228"/>
      <c r="CP271" s="228"/>
      <c r="CQ271" s="228"/>
      <c r="CR271" s="228"/>
      <c r="CS271" s="228"/>
      <c r="CT271" s="228"/>
      <c r="CU271" s="228"/>
      <c r="CV271" s="228"/>
      <c r="CW271" s="228"/>
      <c r="CX271" s="228"/>
      <c r="CY271" s="228"/>
      <c r="CZ271" s="228"/>
      <c r="DA271" s="228"/>
      <c r="DB271" s="228"/>
    </row>
    <row r="272" ht="12.0" customHeight="1">
      <c r="A272" s="228"/>
      <c r="B272" s="228"/>
      <c r="C272" s="228"/>
      <c r="D272" s="228"/>
      <c r="E272" s="228"/>
      <c r="F272" s="228"/>
      <c r="G272" s="228"/>
      <c r="H272" s="228"/>
      <c r="I272" s="228"/>
      <c r="J272" s="228"/>
      <c r="K272" s="228"/>
      <c r="L272" s="228"/>
      <c r="M272" s="228"/>
      <c r="N272" s="228"/>
      <c r="O272" s="228"/>
      <c r="P272" s="228"/>
      <c r="Q272" s="228"/>
      <c r="R272" s="228"/>
      <c r="S272" s="228"/>
      <c r="T272" s="228"/>
      <c r="U272" s="228"/>
      <c r="V272" s="228"/>
      <c r="W272" s="228"/>
      <c r="X272" s="228"/>
      <c r="Y272" s="228"/>
      <c r="Z272" s="228"/>
      <c r="AA272" s="228"/>
      <c r="AB272" s="228"/>
      <c r="AC272" s="228"/>
      <c r="AD272" s="228"/>
      <c r="AE272" s="228"/>
      <c r="AF272" s="228"/>
      <c r="AG272" s="228"/>
      <c r="AH272" s="228"/>
      <c r="AI272" s="228"/>
      <c r="AJ272" s="228"/>
      <c r="AK272" s="228"/>
      <c r="AL272" s="228"/>
      <c r="AM272" s="228"/>
      <c r="AN272" s="228"/>
      <c r="AO272" s="228"/>
      <c r="AP272" s="228"/>
      <c r="AQ272" s="228"/>
      <c r="AR272" s="228"/>
      <c r="AS272" s="228"/>
      <c r="AT272" s="228"/>
      <c r="AU272" s="228"/>
      <c r="AV272" s="228"/>
      <c r="AW272" s="228"/>
      <c r="AX272" s="228"/>
      <c r="AY272" s="228"/>
      <c r="AZ272" s="228"/>
      <c r="BA272" s="228"/>
      <c r="BB272" s="228"/>
      <c r="BC272" s="228"/>
      <c r="BD272" s="228"/>
      <c r="BE272" s="228"/>
      <c r="BF272" s="228"/>
      <c r="BG272" s="228"/>
      <c r="BH272" s="228"/>
      <c r="BI272" s="228"/>
      <c r="BJ272" s="228"/>
      <c r="BK272" s="228"/>
      <c r="BL272" s="228"/>
      <c r="BM272" s="228"/>
      <c r="BN272" s="228"/>
      <c r="BO272" s="228"/>
      <c r="BP272" s="228"/>
      <c r="BQ272" s="228"/>
      <c r="BR272" s="228"/>
      <c r="BS272" s="228"/>
      <c r="BT272" s="228"/>
      <c r="BU272" s="228"/>
      <c r="BV272" s="228"/>
      <c r="BW272" s="228"/>
      <c r="BX272" s="228"/>
      <c r="BY272" s="228"/>
      <c r="BZ272" s="228"/>
      <c r="CA272" s="228"/>
      <c r="CB272" s="228"/>
      <c r="CC272" s="228"/>
      <c r="CD272" s="228"/>
      <c r="CE272" s="228"/>
      <c r="CF272" s="228"/>
      <c r="CG272" s="228"/>
      <c r="CH272" s="228"/>
      <c r="CI272" s="228"/>
      <c r="CJ272" s="228"/>
      <c r="CK272" s="228"/>
      <c r="CL272" s="228"/>
      <c r="CM272" s="228"/>
      <c r="CN272" s="228"/>
      <c r="CO272" s="228"/>
      <c r="CP272" s="228"/>
      <c r="CQ272" s="228"/>
      <c r="CR272" s="228"/>
      <c r="CS272" s="228"/>
      <c r="CT272" s="228"/>
      <c r="CU272" s="228"/>
      <c r="CV272" s="228"/>
      <c r="CW272" s="228"/>
      <c r="CX272" s="228"/>
      <c r="CY272" s="228"/>
      <c r="CZ272" s="228"/>
      <c r="DA272" s="228"/>
      <c r="DB272" s="228"/>
    </row>
    <row r="273" ht="12.0" customHeight="1">
      <c r="A273" s="228"/>
      <c r="B273" s="228"/>
      <c r="C273" s="228"/>
      <c r="D273" s="228"/>
      <c r="E273" s="228"/>
      <c r="F273" s="228"/>
      <c r="G273" s="228"/>
      <c r="H273" s="228"/>
      <c r="I273" s="228"/>
      <c r="J273" s="228"/>
      <c r="K273" s="228"/>
      <c r="L273" s="228"/>
      <c r="M273" s="228"/>
      <c r="N273" s="228"/>
      <c r="O273" s="228"/>
      <c r="P273" s="228"/>
      <c r="Q273" s="228"/>
      <c r="R273" s="228"/>
      <c r="S273" s="228"/>
      <c r="T273" s="228"/>
      <c r="U273" s="228"/>
      <c r="V273" s="228"/>
      <c r="W273" s="228"/>
      <c r="X273" s="228"/>
      <c r="Y273" s="228"/>
      <c r="Z273" s="228"/>
      <c r="AA273" s="228"/>
      <c r="AB273" s="228"/>
      <c r="AC273" s="228"/>
      <c r="AD273" s="228"/>
      <c r="AE273" s="228"/>
      <c r="AF273" s="228"/>
      <c r="AG273" s="228"/>
      <c r="AH273" s="228"/>
      <c r="AI273" s="228"/>
      <c r="AJ273" s="228"/>
      <c r="AK273" s="228"/>
      <c r="AL273" s="228"/>
      <c r="AM273" s="228"/>
      <c r="AN273" s="228"/>
      <c r="AO273" s="228"/>
      <c r="AP273" s="228"/>
      <c r="AQ273" s="228"/>
      <c r="AR273" s="228"/>
      <c r="AS273" s="228"/>
      <c r="AT273" s="228"/>
      <c r="AU273" s="228"/>
      <c r="AV273" s="228"/>
      <c r="AW273" s="228"/>
      <c r="AX273" s="228"/>
      <c r="AY273" s="228"/>
      <c r="AZ273" s="228"/>
      <c r="BA273" s="228"/>
      <c r="BB273" s="228"/>
      <c r="BC273" s="228"/>
      <c r="BD273" s="228"/>
      <c r="BE273" s="228"/>
      <c r="BF273" s="228"/>
      <c r="BG273" s="228"/>
      <c r="BH273" s="228"/>
      <c r="BI273" s="228"/>
      <c r="BJ273" s="228"/>
      <c r="BK273" s="228"/>
      <c r="BL273" s="228"/>
      <c r="BM273" s="228"/>
      <c r="BN273" s="228"/>
      <c r="BO273" s="228"/>
      <c r="BP273" s="228"/>
      <c r="BQ273" s="228"/>
      <c r="BR273" s="228"/>
      <c r="BS273" s="228"/>
      <c r="BT273" s="228"/>
      <c r="BU273" s="228"/>
      <c r="BV273" s="228"/>
      <c r="BW273" s="228"/>
      <c r="BX273" s="228"/>
      <c r="BY273" s="228"/>
      <c r="BZ273" s="228"/>
      <c r="CA273" s="228"/>
      <c r="CB273" s="228"/>
      <c r="CC273" s="228"/>
      <c r="CD273" s="228"/>
      <c r="CE273" s="228"/>
      <c r="CF273" s="228"/>
      <c r="CG273" s="228"/>
      <c r="CH273" s="228"/>
      <c r="CI273" s="228"/>
      <c r="CJ273" s="228"/>
      <c r="CK273" s="228"/>
      <c r="CL273" s="228"/>
      <c r="CM273" s="228"/>
      <c r="CN273" s="228"/>
      <c r="CO273" s="228"/>
      <c r="CP273" s="228"/>
      <c r="CQ273" s="228"/>
      <c r="CR273" s="228"/>
      <c r="CS273" s="228"/>
      <c r="CT273" s="228"/>
      <c r="CU273" s="228"/>
      <c r="CV273" s="228"/>
      <c r="CW273" s="228"/>
      <c r="CX273" s="228"/>
      <c r="CY273" s="228"/>
      <c r="CZ273" s="228"/>
      <c r="DA273" s="228"/>
      <c r="DB273" s="228"/>
    </row>
    <row r="274" ht="12.0" customHeight="1">
      <c r="A274" s="228"/>
      <c r="B274" s="228"/>
      <c r="C274" s="228"/>
      <c r="D274" s="228"/>
      <c r="E274" s="228"/>
      <c r="F274" s="228"/>
      <c r="G274" s="228"/>
      <c r="H274" s="228"/>
      <c r="I274" s="228"/>
      <c r="J274" s="228"/>
      <c r="K274" s="228"/>
      <c r="L274" s="228"/>
      <c r="M274" s="228"/>
      <c r="N274" s="228"/>
      <c r="O274" s="228"/>
      <c r="P274" s="228"/>
      <c r="Q274" s="228"/>
      <c r="R274" s="228"/>
      <c r="S274" s="228"/>
      <c r="T274" s="228"/>
      <c r="U274" s="228"/>
      <c r="V274" s="228"/>
      <c r="W274" s="228"/>
      <c r="X274" s="228"/>
      <c r="Y274" s="228"/>
      <c r="Z274" s="228"/>
      <c r="AA274" s="228"/>
      <c r="AB274" s="228"/>
      <c r="AC274" s="228"/>
      <c r="AD274" s="228"/>
      <c r="AE274" s="228"/>
      <c r="AF274" s="228"/>
      <c r="AG274" s="228"/>
      <c r="AH274" s="228"/>
      <c r="AI274" s="228"/>
      <c r="AJ274" s="228"/>
      <c r="AK274" s="228"/>
      <c r="AL274" s="228"/>
      <c r="AM274" s="228"/>
      <c r="AN274" s="228"/>
      <c r="AO274" s="228"/>
      <c r="AP274" s="228"/>
      <c r="AQ274" s="228"/>
      <c r="AR274" s="228"/>
      <c r="AS274" s="228"/>
      <c r="AT274" s="228"/>
      <c r="AU274" s="228"/>
      <c r="AV274" s="228"/>
      <c r="AW274" s="228"/>
      <c r="AX274" s="228"/>
      <c r="AY274" s="228"/>
      <c r="AZ274" s="228"/>
      <c r="BA274" s="228"/>
      <c r="BB274" s="228"/>
      <c r="BC274" s="228"/>
      <c r="BD274" s="228"/>
      <c r="BE274" s="228"/>
      <c r="BF274" s="228"/>
      <c r="BG274" s="228"/>
      <c r="BH274" s="228"/>
      <c r="BI274" s="228"/>
      <c r="BJ274" s="228"/>
      <c r="BK274" s="228"/>
      <c r="BL274" s="228"/>
      <c r="BM274" s="228"/>
      <c r="BN274" s="228"/>
      <c r="BO274" s="228"/>
      <c r="BP274" s="228"/>
      <c r="BQ274" s="228"/>
      <c r="BR274" s="228"/>
      <c r="BS274" s="228"/>
      <c r="BT274" s="228"/>
      <c r="BU274" s="228"/>
      <c r="BV274" s="228"/>
      <c r="BW274" s="228"/>
      <c r="BX274" s="228"/>
      <c r="BY274" s="228"/>
      <c r="BZ274" s="228"/>
      <c r="CA274" s="228"/>
      <c r="CB274" s="228"/>
      <c r="CC274" s="228"/>
      <c r="CD274" s="228"/>
      <c r="CE274" s="228"/>
      <c r="CF274" s="228"/>
      <c r="CG274" s="228"/>
      <c r="CH274" s="228"/>
      <c r="CI274" s="228"/>
      <c r="CJ274" s="228"/>
      <c r="CK274" s="228"/>
      <c r="CL274" s="228"/>
      <c r="CM274" s="228"/>
      <c r="CN274" s="228"/>
      <c r="CO274" s="228"/>
      <c r="CP274" s="228"/>
      <c r="CQ274" s="228"/>
      <c r="CR274" s="228"/>
      <c r="CS274" s="228"/>
      <c r="CT274" s="228"/>
      <c r="CU274" s="228"/>
      <c r="CV274" s="228"/>
      <c r="CW274" s="228"/>
      <c r="CX274" s="228"/>
      <c r="CY274" s="228"/>
      <c r="CZ274" s="228"/>
      <c r="DA274" s="228"/>
      <c r="DB274" s="228"/>
    </row>
    <row r="275" ht="12.0" customHeight="1">
      <c r="A275" s="228"/>
      <c r="B275" s="228"/>
      <c r="C275" s="228"/>
      <c r="D275" s="228"/>
      <c r="E275" s="228"/>
      <c r="F275" s="228"/>
      <c r="G275" s="228"/>
      <c r="H275" s="228"/>
      <c r="I275" s="228"/>
      <c r="J275" s="228"/>
      <c r="K275" s="228"/>
      <c r="L275" s="228"/>
      <c r="M275" s="228"/>
      <c r="N275" s="228"/>
      <c r="O275" s="228"/>
      <c r="P275" s="228"/>
      <c r="Q275" s="228"/>
      <c r="R275" s="228"/>
      <c r="S275" s="228"/>
      <c r="T275" s="228"/>
      <c r="U275" s="228"/>
      <c r="V275" s="228"/>
      <c r="W275" s="228"/>
      <c r="X275" s="228"/>
      <c r="Y275" s="228"/>
      <c r="Z275" s="228"/>
      <c r="AA275" s="228"/>
      <c r="AB275" s="228"/>
      <c r="AC275" s="228"/>
      <c r="AD275" s="228"/>
      <c r="AE275" s="228"/>
      <c r="AF275" s="228"/>
      <c r="AG275" s="228"/>
      <c r="AH275" s="228"/>
      <c r="AI275" s="228"/>
      <c r="AJ275" s="228"/>
      <c r="AK275" s="228"/>
      <c r="AL275" s="228"/>
      <c r="AM275" s="228"/>
      <c r="AN275" s="228"/>
      <c r="AO275" s="228"/>
      <c r="AP275" s="228"/>
      <c r="AQ275" s="228"/>
      <c r="AR275" s="228"/>
      <c r="AS275" s="228"/>
      <c r="AT275" s="228"/>
      <c r="AU275" s="228"/>
      <c r="AV275" s="228"/>
      <c r="AW275" s="228"/>
      <c r="AX275" s="228"/>
      <c r="AY275" s="228"/>
      <c r="AZ275" s="228"/>
      <c r="BA275" s="228"/>
      <c r="BB275" s="228"/>
      <c r="BC275" s="228"/>
      <c r="BD275" s="228"/>
      <c r="BE275" s="228"/>
      <c r="BF275" s="228"/>
      <c r="BG275" s="228"/>
      <c r="BH275" s="228"/>
      <c r="BI275" s="228"/>
      <c r="BJ275" s="228"/>
      <c r="BK275" s="228"/>
      <c r="BL275" s="228"/>
      <c r="BM275" s="228"/>
      <c r="BN275" s="228"/>
      <c r="BO275" s="228"/>
      <c r="BP275" s="228"/>
      <c r="BQ275" s="228"/>
      <c r="BR275" s="228"/>
      <c r="BS275" s="228"/>
      <c r="BT275" s="228"/>
      <c r="BU275" s="228"/>
      <c r="BV275" s="228"/>
      <c r="BW275" s="228"/>
      <c r="BX275" s="228"/>
      <c r="BY275" s="228"/>
      <c r="BZ275" s="228"/>
      <c r="CA275" s="228"/>
      <c r="CB275" s="228"/>
      <c r="CC275" s="228"/>
      <c r="CD275" s="228"/>
      <c r="CE275" s="228"/>
      <c r="CF275" s="228"/>
      <c r="CG275" s="228"/>
      <c r="CH275" s="228"/>
      <c r="CI275" s="228"/>
      <c r="CJ275" s="228"/>
      <c r="CK275" s="228"/>
      <c r="CL275" s="228"/>
      <c r="CM275" s="228"/>
      <c r="CN275" s="228"/>
      <c r="CO275" s="228"/>
      <c r="CP275" s="228"/>
      <c r="CQ275" s="228"/>
      <c r="CR275" s="228"/>
      <c r="CS275" s="228"/>
      <c r="CT275" s="228"/>
      <c r="CU275" s="228"/>
      <c r="CV275" s="228"/>
      <c r="CW275" s="228"/>
      <c r="CX275" s="228"/>
      <c r="CY275" s="228"/>
      <c r="CZ275" s="228"/>
      <c r="DA275" s="228"/>
      <c r="DB275" s="228"/>
    </row>
    <row r="276" ht="12.0" customHeight="1">
      <c r="A276" s="228"/>
      <c r="B276" s="228"/>
      <c r="C276" s="228"/>
      <c r="D276" s="228"/>
      <c r="E276" s="228"/>
      <c r="F276" s="228"/>
      <c r="G276" s="228"/>
      <c r="H276" s="228"/>
      <c r="I276" s="228"/>
      <c r="J276" s="228"/>
      <c r="K276" s="228"/>
      <c r="L276" s="228"/>
      <c r="M276" s="228"/>
      <c r="N276" s="228"/>
      <c r="O276" s="228"/>
      <c r="P276" s="228"/>
      <c r="Q276" s="228"/>
      <c r="R276" s="228"/>
      <c r="S276" s="228"/>
      <c r="T276" s="228"/>
      <c r="U276" s="228"/>
      <c r="V276" s="228"/>
      <c r="W276" s="228"/>
      <c r="X276" s="228"/>
      <c r="Y276" s="228"/>
      <c r="Z276" s="228"/>
      <c r="AA276" s="228"/>
      <c r="AB276" s="228"/>
      <c r="AC276" s="228"/>
      <c r="AD276" s="228"/>
      <c r="AE276" s="228"/>
      <c r="AF276" s="228"/>
      <c r="AG276" s="228"/>
      <c r="AH276" s="228"/>
      <c r="AI276" s="228"/>
      <c r="AJ276" s="228"/>
      <c r="AK276" s="228"/>
      <c r="AL276" s="228"/>
      <c r="AM276" s="228"/>
      <c r="AN276" s="228"/>
      <c r="AO276" s="228"/>
      <c r="AP276" s="228"/>
      <c r="AQ276" s="228"/>
      <c r="AR276" s="228"/>
      <c r="AS276" s="228"/>
      <c r="AT276" s="228"/>
      <c r="AU276" s="228"/>
      <c r="AV276" s="228"/>
      <c r="AW276" s="228"/>
      <c r="AX276" s="228"/>
      <c r="AY276" s="228"/>
      <c r="AZ276" s="228"/>
      <c r="BA276" s="228"/>
      <c r="BB276" s="228"/>
      <c r="BC276" s="228"/>
      <c r="BD276" s="228"/>
      <c r="BE276" s="228"/>
      <c r="BF276" s="228"/>
      <c r="BG276" s="228"/>
      <c r="BH276" s="228"/>
      <c r="BI276" s="228"/>
      <c r="BJ276" s="228"/>
      <c r="BK276" s="228"/>
      <c r="BL276" s="228"/>
      <c r="BM276" s="228"/>
      <c r="BN276" s="228"/>
      <c r="BO276" s="228"/>
      <c r="BP276" s="228"/>
      <c r="BQ276" s="228"/>
      <c r="BR276" s="228"/>
      <c r="BS276" s="228"/>
      <c r="BT276" s="228"/>
      <c r="BU276" s="228"/>
      <c r="BV276" s="228"/>
      <c r="BW276" s="228"/>
      <c r="BX276" s="228"/>
      <c r="BY276" s="228"/>
      <c r="BZ276" s="228"/>
      <c r="CA276" s="228"/>
      <c r="CB276" s="228"/>
      <c r="CC276" s="228"/>
      <c r="CD276" s="228"/>
      <c r="CE276" s="228"/>
      <c r="CF276" s="228"/>
      <c r="CG276" s="228"/>
      <c r="CH276" s="228"/>
      <c r="CI276" s="228"/>
      <c r="CJ276" s="228"/>
      <c r="CK276" s="228"/>
      <c r="CL276" s="228"/>
      <c r="CM276" s="228"/>
      <c r="CN276" s="228"/>
      <c r="CO276" s="228"/>
      <c r="CP276" s="228"/>
      <c r="CQ276" s="228"/>
      <c r="CR276" s="228"/>
      <c r="CS276" s="228"/>
      <c r="CT276" s="228"/>
      <c r="CU276" s="228"/>
      <c r="CV276" s="228"/>
      <c r="CW276" s="228"/>
      <c r="CX276" s="228"/>
      <c r="CY276" s="228"/>
      <c r="CZ276" s="228"/>
      <c r="DA276" s="228"/>
      <c r="DB276" s="228"/>
    </row>
    <row r="277" ht="12.0" customHeight="1">
      <c r="A277" s="228"/>
      <c r="B277" s="228"/>
      <c r="C277" s="228"/>
      <c r="D277" s="228"/>
      <c r="E277" s="228"/>
      <c r="F277" s="228"/>
      <c r="G277" s="228"/>
      <c r="H277" s="228"/>
      <c r="I277" s="228"/>
      <c r="J277" s="228"/>
      <c r="K277" s="228"/>
      <c r="L277" s="228"/>
      <c r="M277" s="228"/>
      <c r="N277" s="228"/>
      <c r="O277" s="228"/>
      <c r="P277" s="228"/>
      <c r="Q277" s="228"/>
      <c r="R277" s="228"/>
      <c r="S277" s="228"/>
      <c r="T277" s="228"/>
      <c r="U277" s="228"/>
      <c r="V277" s="228"/>
      <c r="W277" s="228"/>
      <c r="X277" s="228"/>
      <c r="Y277" s="228"/>
      <c r="Z277" s="228"/>
      <c r="AA277" s="228"/>
      <c r="AB277" s="228"/>
      <c r="AC277" s="228"/>
      <c r="AD277" s="228"/>
      <c r="AE277" s="228"/>
      <c r="AF277" s="228"/>
      <c r="AG277" s="228"/>
      <c r="AH277" s="228"/>
      <c r="AI277" s="228"/>
      <c r="AJ277" s="228"/>
      <c r="AK277" s="228"/>
      <c r="AL277" s="228"/>
      <c r="AM277" s="228"/>
      <c r="AN277" s="228"/>
      <c r="AO277" s="228"/>
      <c r="AP277" s="228"/>
      <c r="AQ277" s="228"/>
      <c r="AR277" s="228"/>
      <c r="AS277" s="228"/>
      <c r="AT277" s="228"/>
      <c r="AU277" s="228"/>
      <c r="AV277" s="228"/>
      <c r="AW277" s="228"/>
      <c r="AX277" s="228"/>
      <c r="AY277" s="228"/>
      <c r="AZ277" s="228"/>
      <c r="BA277" s="228"/>
      <c r="BB277" s="228"/>
      <c r="BC277" s="228"/>
      <c r="BD277" s="228"/>
      <c r="BE277" s="228"/>
      <c r="BF277" s="228"/>
      <c r="BG277" s="228"/>
      <c r="BH277" s="228"/>
      <c r="BI277" s="228"/>
      <c r="BJ277" s="228"/>
      <c r="BK277" s="228"/>
      <c r="BL277" s="228"/>
      <c r="BM277" s="228"/>
      <c r="BN277" s="228"/>
      <c r="BO277" s="228"/>
      <c r="BP277" s="228"/>
      <c r="BQ277" s="228"/>
      <c r="BR277" s="228"/>
      <c r="BS277" s="228"/>
      <c r="BT277" s="228"/>
      <c r="BU277" s="228"/>
      <c r="BV277" s="228"/>
      <c r="BW277" s="228"/>
      <c r="BX277" s="228"/>
      <c r="BY277" s="228"/>
      <c r="BZ277" s="228"/>
      <c r="CA277" s="228"/>
      <c r="CB277" s="228"/>
      <c r="CC277" s="228"/>
      <c r="CD277" s="228"/>
      <c r="CE277" s="228"/>
      <c r="CF277" s="228"/>
      <c r="CG277" s="228"/>
      <c r="CH277" s="228"/>
      <c r="CI277" s="228"/>
      <c r="CJ277" s="228"/>
      <c r="CK277" s="228"/>
      <c r="CL277" s="228"/>
      <c r="CM277" s="228"/>
      <c r="CN277" s="228"/>
      <c r="CO277" s="228"/>
      <c r="CP277" s="228"/>
      <c r="CQ277" s="228"/>
      <c r="CR277" s="228"/>
      <c r="CS277" s="228"/>
      <c r="CT277" s="228"/>
      <c r="CU277" s="228"/>
      <c r="CV277" s="228"/>
      <c r="CW277" s="228"/>
      <c r="CX277" s="228"/>
      <c r="CY277" s="228"/>
      <c r="CZ277" s="228"/>
      <c r="DA277" s="228"/>
      <c r="DB277" s="228"/>
    </row>
    <row r="278" ht="12.0" customHeight="1">
      <c r="A278" s="228"/>
      <c r="B278" s="228"/>
      <c r="C278" s="228"/>
      <c r="D278" s="228"/>
      <c r="E278" s="228"/>
      <c r="F278" s="228"/>
      <c r="G278" s="228"/>
      <c r="H278" s="228"/>
      <c r="I278" s="228"/>
      <c r="J278" s="228"/>
      <c r="K278" s="228"/>
      <c r="L278" s="228"/>
      <c r="M278" s="228"/>
      <c r="N278" s="228"/>
      <c r="O278" s="228"/>
      <c r="P278" s="228"/>
      <c r="Q278" s="228"/>
      <c r="R278" s="228"/>
      <c r="S278" s="228"/>
      <c r="T278" s="228"/>
      <c r="U278" s="228"/>
      <c r="V278" s="228"/>
      <c r="W278" s="228"/>
      <c r="X278" s="228"/>
      <c r="Y278" s="228"/>
      <c r="Z278" s="228"/>
      <c r="AA278" s="228"/>
      <c r="AB278" s="228"/>
      <c r="AC278" s="228"/>
      <c r="AD278" s="228"/>
      <c r="AE278" s="228"/>
      <c r="AF278" s="228"/>
      <c r="AG278" s="228"/>
      <c r="AH278" s="228"/>
      <c r="AI278" s="228"/>
      <c r="AJ278" s="228"/>
      <c r="AK278" s="228"/>
      <c r="AL278" s="228"/>
      <c r="AM278" s="228"/>
      <c r="AN278" s="228"/>
      <c r="AO278" s="228"/>
      <c r="AP278" s="228"/>
      <c r="AQ278" s="228"/>
      <c r="AR278" s="228"/>
      <c r="AS278" s="228"/>
      <c r="AT278" s="228"/>
      <c r="AU278" s="228"/>
      <c r="AV278" s="228"/>
      <c r="AW278" s="228"/>
      <c r="AX278" s="228"/>
      <c r="AY278" s="228"/>
      <c r="AZ278" s="228"/>
      <c r="BA278" s="228"/>
      <c r="BB278" s="228"/>
      <c r="BC278" s="228"/>
      <c r="BD278" s="228"/>
      <c r="BE278" s="228"/>
      <c r="BF278" s="228"/>
      <c r="BG278" s="228"/>
      <c r="BH278" s="228"/>
      <c r="BI278" s="228"/>
      <c r="BJ278" s="228"/>
      <c r="BK278" s="228"/>
      <c r="BL278" s="228"/>
      <c r="BM278" s="228"/>
      <c r="BN278" s="228"/>
      <c r="BO278" s="228"/>
      <c r="BP278" s="228"/>
      <c r="BQ278" s="228"/>
      <c r="BR278" s="228"/>
      <c r="BS278" s="228"/>
      <c r="BT278" s="228"/>
      <c r="BU278" s="228"/>
      <c r="BV278" s="228"/>
      <c r="BW278" s="228"/>
      <c r="BX278" s="228"/>
      <c r="BY278" s="228"/>
      <c r="BZ278" s="228"/>
      <c r="CA278" s="228"/>
      <c r="CB278" s="228"/>
      <c r="CC278" s="228"/>
      <c r="CD278" s="228"/>
      <c r="CE278" s="228"/>
      <c r="CF278" s="228"/>
      <c r="CG278" s="228"/>
      <c r="CH278" s="228"/>
      <c r="CI278" s="228"/>
      <c r="CJ278" s="228"/>
      <c r="CK278" s="228"/>
      <c r="CL278" s="228"/>
      <c r="CM278" s="228"/>
      <c r="CN278" s="228"/>
      <c r="CO278" s="228"/>
      <c r="CP278" s="228"/>
      <c r="CQ278" s="228"/>
      <c r="CR278" s="228"/>
      <c r="CS278" s="228"/>
      <c r="CT278" s="228"/>
      <c r="CU278" s="228"/>
      <c r="CV278" s="228"/>
      <c r="CW278" s="228"/>
      <c r="CX278" s="228"/>
      <c r="CY278" s="228"/>
      <c r="CZ278" s="228"/>
      <c r="DA278" s="228"/>
      <c r="DB278" s="228"/>
    </row>
    <row r="279" ht="12.0" customHeight="1">
      <c r="A279" s="228"/>
      <c r="B279" s="228"/>
      <c r="C279" s="228"/>
      <c r="D279" s="228"/>
      <c r="E279" s="228"/>
      <c r="F279" s="228"/>
      <c r="G279" s="228"/>
      <c r="H279" s="228"/>
      <c r="I279" s="228"/>
      <c r="J279" s="228"/>
      <c r="K279" s="228"/>
      <c r="L279" s="228"/>
      <c r="M279" s="228"/>
      <c r="N279" s="228"/>
      <c r="O279" s="228"/>
      <c r="P279" s="228"/>
      <c r="Q279" s="228"/>
      <c r="R279" s="228"/>
      <c r="S279" s="228"/>
      <c r="T279" s="228"/>
      <c r="U279" s="228"/>
      <c r="V279" s="228"/>
      <c r="W279" s="228"/>
      <c r="X279" s="228"/>
      <c r="Y279" s="228"/>
      <c r="Z279" s="228"/>
      <c r="AA279" s="228"/>
      <c r="AB279" s="228"/>
      <c r="AC279" s="228"/>
      <c r="AD279" s="228"/>
      <c r="AE279" s="228"/>
      <c r="AF279" s="228"/>
      <c r="AG279" s="228"/>
      <c r="AH279" s="228"/>
      <c r="AI279" s="228"/>
      <c r="AJ279" s="228"/>
      <c r="AK279" s="228"/>
      <c r="AL279" s="228"/>
      <c r="AM279" s="228"/>
      <c r="AN279" s="228"/>
      <c r="AO279" s="228"/>
      <c r="AP279" s="228"/>
      <c r="AQ279" s="228"/>
      <c r="AR279" s="228"/>
      <c r="AS279" s="228"/>
      <c r="AT279" s="228"/>
      <c r="AU279" s="228"/>
      <c r="AV279" s="228"/>
      <c r="AW279" s="228"/>
      <c r="AX279" s="228"/>
      <c r="AY279" s="228"/>
      <c r="AZ279" s="228"/>
      <c r="BA279" s="228"/>
      <c r="BB279" s="228"/>
      <c r="BC279" s="228"/>
      <c r="BD279" s="228"/>
      <c r="BE279" s="228"/>
      <c r="BF279" s="228"/>
      <c r="BG279" s="228"/>
      <c r="BH279" s="228"/>
      <c r="BI279" s="228"/>
      <c r="BJ279" s="228"/>
      <c r="BK279" s="228"/>
      <c r="BL279" s="228"/>
      <c r="BM279" s="228"/>
      <c r="BN279" s="228"/>
      <c r="BO279" s="228"/>
      <c r="BP279" s="228"/>
      <c r="BQ279" s="228"/>
      <c r="BR279" s="228"/>
      <c r="BS279" s="228"/>
      <c r="BT279" s="228"/>
      <c r="BU279" s="228"/>
      <c r="BV279" s="228"/>
      <c r="BW279" s="228"/>
      <c r="BX279" s="228"/>
      <c r="BY279" s="228"/>
      <c r="BZ279" s="228"/>
      <c r="CA279" s="228"/>
      <c r="CB279" s="228"/>
      <c r="CC279" s="228"/>
      <c r="CD279" s="228"/>
      <c r="CE279" s="228"/>
      <c r="CF279" s="228"/>
      <c r="CG279" s="228"/>
      <c r="CH279" s="228"/>
      <c r="CI279" s="228"/>
      <c r="CJ279" s="228"/>
      <c r="CK279" s="228"/>
      <c r="CL279" s="228"/>
      <c r="CM279" s="228"/>
      <c r="CN279" s="228"/>
      <c r="CO279" s="228"/>
      <c r="CP279" s="228"/>
      <c r="CQ279" s="228"/>
      <c r="CR279" s="228"/>
      <c r="CS279" s="228"/>
      <c r="CT279" s="228"/>
      <c r="CU279" s="228"/>
      <c r="CV279" s="228"/>
      <c r="CW279" s="228"/>
      <c r="CX279" s="228"/>
      <c r="CY279" s="228"/>
      <c r="CZ279" s="228"/>
      <c r="DA279" s="228"/>
      <c r="DB279" s="228"/>
    </row>
    <row r="280" ht="12.0" customHeight="1">
      <c r="A280" s="228"/>
      <c r="B280" s="228"/>
      <c r="C280" s="228"/>
      <c r="D280" s="228"/>
      <c r="E280" s="228"/>
      <c r="F280" s="228"/>
      <c r="G280" s="228"/>
      <c r="H280" s="228"/>
      <c r="I280" s="228"/>
      <c r="J280" s="228"/>
      <c r="K280" s="228"/>
      <c r="L280" s="228"/>
      <c r="M280" s="228"/>
      <c r="N280" s="228"/>
      <c r="O280" s="228"/>
      <c r="P280" s="228"/>
      <c r="Q280" s="228"/>
      <c r="R280" s="228"/>
      <c r="S280" s="228"/>
      <c r="T280" s="228"/>
      <c r="U280" s="228"/>
      <c r="V280" s="228"/>
      <c r="W280" s="228"/>
      <c r="X280" s="228"/>
      <c r="Y280" s="228"/>
      <c r="Z280" s="228"/>
      <c r="AA280" s="228"/>
      <c r="AB280" s="228"/>
      <c r="AC280" s="228"/>
      <c r="AD280" s="228"/>
      <c r="AE280" s="228"/>
      <c r="AF280" s="228"/>
      <c r="AG280" s="228"/>
      <c r="AH280" s="228"/>
      <c r="AI280" s="228"/>
      <c r="AJ280" s="228"/>
      <c r="AK280" s="228"/>
      <c r="AL280" s="228"/>
      <c r="AM280" s="228"/>
      <c r="AN280" s="228"/>
      <c r="AO280" s="228"/>
      <c r="AP280" s="228"/>
      <c r="AQ280" s="228"/>
      <c r="AR280" s="228"/>
      <c r="AS280" s="228"/>
      <c r="AT280" s="228"/>
      <c r="AU280" s="228"/>
      <c r="AV280" s="228"/>
      <c r="AW280" s="228"/>
      <c r="AX280" s="228"/>
      <c r="AY280" s="228"/>
      <c r="AZ280" s="228"/>
      <c r="BA280" s="228"/>
      <c r="BB280" s="228"/>
      <c r="BC280" s="228"/>
      <c r="BD280" s="228"/>
      <c r="BE280" s="228"/>
      <c r="BF280" s="228"/>
      <c r="BG280" s="228"/>
      <c r="BH280" s="228"/>
      <c r="BI280" s="228"/>
      <c r="BJ280" s="228"/>
      <c r="BK280" s="228"/>
      <c r="BL280" s="228"/>
      <c r="BM280" s="228"/>
      <c r="BN280" s="228"/>
      <c r="BO280" s="228"/>
      <c r="BP280" s="228"/>
      <c r="BQ280" s="228"/>
      <c r="BR280" s="228"/>
      <c r="BS280" s="228"/>
      <c r="BT280" s="228"/>
      <c r="BU280" s="228"/>
      <c r="BV280" s="228"/>
      <c r="BW280" s="228"/>
      <c r="BX280" s="228"/>
      <c r="BY280" s="228"/>
      <c r="BZ280" s="228"/>
      <c r="CA280" s="228"/>
      <c r="CB280" s="228"/>
      <c r="CC280" s="228"/>
      <c r="CD280" s="228"/>
      <c r="CE280" s="228"/>
      <c r="CF280" s="228"/>
      <c r="CG280" s="228"/>
      <c r="CH280" s="228"/>
      <c r="CI280" s="228"/>
      <c r="CJ280" s="228"/>
      <c r="CK280" s="228"/>
      <c r="CL280" s="228"/>
      <c r="CM280" s="228"/>
      <c r="CN280" s="228"/>
      <c r="CO280" s="228"/>
      <c r="CP280" s="228"/>
      <c r="CQ280" s="228"/>
      <c r="CR280" s="228"/>
      <c r="CS280" s="228"/>
      <c r="CT280" s="228"/>
      <c r="CU280" s="228"/>
      <c r="CV280" s="228"/>
      <c r="CW280" s="228"/>
      <c r="CX280" s="228"/>
      <c r="CY280" s="228"/>
      <c r="CZ280" s="228"/>
      <c r="DA280" s="228"/>
      <c r="DB280" s="228"/>
    </row>
    <row r="281" ht="12.0" customHeight="1">
      <c r="A281" s="228"/>
      <c r="B281" s="228"/>
      <c r="C281" s="228"/>
      <c r="D281" s="228"/>
      <c r="E281" s="228"/>
      <c r="F281" s="228"/>
      <c r="G281" s="228"/>
      <c r="H281" s="228"/>
      <c r="I281" s="228"/>
      <c r="J281" s="228"/>
      <c r="K281" s="228"/>
      <c r="L281" s="228"/>
      <c r="M281" s="228"/>
      <c r="N281" s="228"/>
      <c r="O281" s="228"/>
      <c r="P281" s="228"/>
      <c r="Q281" s="228"/>
      <c r="R281" s="228"/>
      <c r="S281" s="228"/>
      <c r="T281" s="228"/>
      <c r="U281" s="228"/>
      <c r="V281" s="228"/>
      <c r="W281" s="228"/>
      <c r="X281" s="228"/>
      <c r="Y281" s="228"/>
      <c r="Z281" s="228"/>
      <c r="AA281" s="228"/>
      <c r="AB281" s="228"/>
      <c r="AC281" s="228"/>
      <c r="AD281" s="228"/>
      <c r="AE281" s="228"/>
      <c r="AF281" s="228"/>
      <c r="AG281" s="228"/>
      <c r="AH281" s="228"/>
      <c r="AI281" s="228"/>
      <c r="AJ281" s="228"/>
      <c r="AK281" s="228"/>
      <c r="AL281" s="228"/>
      <c r="AM281" s="228"/>
      <c r="AN281" s="228"/>
      <c r="AO281" s="228"/>
      <c r="AP281" s="228"/>
      <c r="AQ281" s="228"/>
      <c r="AR281" s="228"/>
      <c r="AS281" s="228"/>
      <c r="AT281" s="228"/>
      <c r="AU281" s="228"/>
      <c r="AV281" s="228"/>
      <c r="AW281" s="228"/>
      <c r="AX281" s="228"/>
      <c r="AY281" s="228"/>
      <c r="AZ281" s="228"/>
      <c r="BA281" s="228"/>
      <c r="BB281" s="228"/>
      <c r="BC281" s="228"/>
      <c r="BD281" s="228"/>
      <c r="BE281" s="228"/>
      <c r="BF281" s="228"/>
      <c r="BG281" s="228"/>
      <c r="BH281" s="228"/>
      <c r="BI281" s="228"/>
      <c r="BJ281" s="228"/>
      <c r="BK281" s="228"/>
      <c r="BL281" s="228"/>
      <c r="BM281" s="228"/>
      <c r="BN281" s="228"/>
      <c r="BO281" s="228"/>
      <c r="BP281" s="228"/>
      <c r="BQ281" s="228"/>
      <c r="BR281" s="228"/>
      <c r="BS281" s="228"/>
      <c r="BT281" s="228"/>
      <c r="BU281" s="228"/>
      <c r="BV281" s="228"/>
      <c r="BW281" s="228"/>
      <c r="BX281" s="228"/>
      <c r="BY281" s="228"/>
      <c r="BZ281" s="228"/>
      <c r="CA281" s="228"/>
      <c r="CB281" s="228"/>
      <c r="CC281" s="228"/>
      <c r="CD281" s="228"/>
      <c r="CE281" s="228"/>
      <c r="CF281" s="228"/>
      <c r="CG281" s="228"/>
      <c r="CH281" s="228"/>
      <c r="CI281" s="228"/>
      <c r="CJ281" s="228"/>
      <c r="CK281" s="228"/>
      <c r="CL281" s="228"/>
      <c r="CM281" s="228"/>
      <c r="CN281" s="228"/>
      <c r="CO281" s="228"/>
      <c r="CP281" s="228"/>
      <c r="CQ281" s="228"/>
      <c r="CR281" s="228"/>
      <c r="CS281" s="228"/>
      <c r="CT281" s="228"/>
      <c r="CU281" s="228"/>
      <c r="CV281" s="228"/>
      <c r="CW281" s="228"/>
      <c r="CX281" s="228"/>
      <c r="CY281" s="228"/>
      <c r="CZ281" s="228"/>
      <c r="DA281" s="228"/>
      <c r="DB281" s="228"/>
    </row>
    <row r="282" ht="12.0" customHeight="1">
      <c r="A282" s="228"/>
      <c r="B282" s="228"/>
      <c r="C282" s="228"/>
      <c r="D282" s="228"/>
      <c r="E282" s="228"/>
      <c r="F282" s="228"/>
      <c r="G282" s="228"/>
      <c r="H282" s="228"/>
      <c r="I282" s="228"/>
      <c r="J282" s="228"/>
      <c r="K282" s="228"/>
      <c r="L282" s="228"/>
      <c r="M282" s="228"/>
      <c r="N282" s="228"/>
      <c r="O282" s="228"/>
      <c r="P282" s="228"/>
      <c r="Q282" s="228"/>
      <c r="R282" s="228"/>
      <c r="S282" s="228"/>
      <c r="T282" s="228"/>
      <c r="U282" s="228"/>
      <c r="V282" s="228"/>
      <c r="W282" s="228"/>
      <c r="X282" s="228"/>
      <c r="Y282" s="228"/>
      <c r="Z282" s="228"/>
      <c r="AA282" s="228"/>
      <c r="AB282" s="228"/>
      <c r="AC282" s="228"/>
      <c r="AD282" s="228"/>
      <c r="AE282" s="228"/>
      <c r="AF282" s="228"/>
      <c r="AG282" s="228"/>
      <c r="AH282" s="228"/>
      <c r="AI282" s="228"/>
      <c r="AJ282" s="228"/>
      <c r="AK282" s="228"/>
      <c r="AL282" s="228"/>
      <c r="AM282" s="228"/>
      <c r="AN282" s="228"/>
      <c r="AO282" s="228"/>
      <c r="AP282" s="228"/>
      <c r="AQ282" s="228"/>
      <c r="AR282" s="228"/>
      <c r="AS282" s="228"/>
      <c r="AT282" s="228"/>
      <c r="AU282" s="228"/>
      <c r="AV282" s="228"/>
      <c r="AW282" s="228"/>
      <c r="AX282" s="228"/>
      <c r="AY282" s="228"/>
      <c r="AZ282" s="228"/>
      <c r="BA282" s="228"/>
      <c r="BB282" s="228"/>
      <c r="BC282" s="228"/>
      <c r="BD282" s="228"/>
      <c r="BE282" s="228"/>
      <c r="BF282" s="228"/>
      <c r="BG282" s="228"/>
      <c r="BH282" s="228"/>
      <c r="BI282" s="228"/>
      <c r="BJ282" s="228"/>
      <c r="BK282" s="228"/>
      <c r="BL282" s="228"/>
      <c r="BM282" s="228"/>
      <c r="BN282" s="228"/>
      <c r="BO282" s="228"/>
      <c r="BP282" s="228"/>
      <c r="BQ282" s="228"/>
      <c r="BR282" s="228"/>
      <c r="BS282" s="228"/>
      <c r="BT282" s="228"/>
      <c r="BU282" s="228"/>
      <c r="BV282" s="228"/>
      <c r="BW282" s="228"/>
      <c r="BX282" s="228"/>
      <c r="BY282" s="228"/>
      <c r="BZ282" s="228"/>
      <c r="CA282" s="228"/>
      <c r="CB282" s="228"/>
      <c r="CC282" s="228"/>
      <c r="CD282" s="228"/>
      <c r="CE282" s="228"/>
      <c r="CF282" s="228"/>
      <c r="CG282" s="228"/>
      <c r="CH282" s="228"/>
      <c r="CI282" s="228"/>
      <c r="CJ282" s="228"/>
      <c r="CK282" s="228"/>
      <c r="CL282" s="228"/>
      <c r="CM282" s="228"/>
      <c r="CN282" s="228"/>
      <c r="CO282" s="228"/>
      <c r="CP282" s="228"/>
      <c r="CQ282" s="228"/>
      <c r="CR282" s="228"/>
      <c r="CS282" s="228"/>
      <c r="CT282" s="228"/>
      <c r="CU282" s="228"/>
      <c r="CV282" s="228"/>
      <c r="CW282" s="228"/>
      <c r="CX282" s="228"/>
      <c r="CY282" s="228"/>
      <c r="CZ282" s="228"/>
      <c r="DA282" s="228"/>
      <c r="DB282" s="228"/>
    </row>
    <row r="283" ht="12.0" customHeight="1">
      <c r="A283" s="228"/>
      <c r="B283" s="228"/>
      <c r="C283" s="228"/>
      <c r="D283" s="228"/>
      <c r="E283" s="228"/>
      <c r="F283" s="228"/>
      <c r="G283" s="228"/>
      <c r="H283" s="228"/>
      <c r="I283" s="228"/>
      <c r="J283" s="228"/>
      <c r="K283" s="228"/>
      <c r="L283" s="228"/>
      <c r="M283" s="228"/>
      <c r="N283" s="228"/>
      <c r="O283" s="228"/>
      <c r="P283" s="228"/>
      <c r="Q283" s="228"/>
      <c r="R283" s="228"/>
      <c r="S283" s="228"/>
      <c r="T283" s="228"/>
      <c r="U283" s="228"/>
      <c r="V283" s="228"/>
      <c r="W283" s="228"/>
      <c r="X283" s="228"/>
      <c r="Y283" s="228"/>
      <c r="Z283" s="228"/>
      <c r="AA283" s="228"/>
      <c r="AB283" s="228"/>
      <c r="AC283" s="228"/>
      <c r="AD283" s="228"/>
      <c r="AE283" s="228"/>
      <c r="AF283" s="228"/>
      <c r="AG283" s="228"/>
      <c r="AH283" s="228"/>
      <c r="AI283" s="228"/>
      <c r="AJ283" s="228"/>
      <c r="AK283" s="228"/>
      <c r="AL283" s="228"/>
      <c r="AM283" s="228"/>
      <c r="AN283" s="228"/>
      <c r="AO283" s="228"/>
      <c r="AP283" s="228"/>
      <c r="AQ283" s="228"/>
      <c r="AR283" s="228"/>
      <c r="AS283" s="228"/>
      <c r="AT283" s="228"/>
      <c r="AU283" s="228"/>
      <c r="AV283" s="228"/>
      <c r="AW283" s="228"/>
      <c r="AX283" s="228"/>
      <c r="AY283" s="228"/>
      <c r="AZ283" s="228"/>
      <c r="BA283" s="228"/>
      <c r="BB283" s="228"/>
      <c r="BC283" s="228"/>
      <c r="BD283" s="228"/>
      <c r="BE283" s="228"/>
      <c r="BF283" s="228"/>
      <c r="BG283" s="228"/>
      <c r="BH283" s="228"/>
      <c r="BI283" s="228"/>
      <c r="BJ283" s="228"/>
      <c r="BK283" s="228"/>
      <c r="BL283" s="228"/>
      <c r="BM283" s="228"/>
      <c r="BN283" s="228"/>
      <c r="BO283" s="228"/>
      <c r="BP283" s="228"/>
      <c r="BQ283" s="228"/>
      <c r="BR283" s="228"/>
      <c r="BS283" s="228"/>
      <c r="BT283" s="228"/>
      <c r="BU283" s="228"/>
      <c r="BV283" s="228"/>
      <c r="BW283" s="228"/>
      <c r="BX283" s="228"/>
      <c r="BY283" s="228"/>
      <c r="BZ283" s="228"/>
      <c r="CA283" s="228"/>
      <c r="CB283" s="228"/>
      <c r="CC283" s="228"/>
      <c r="CD283" s="228"/>
      <c r="CE283" s="228"/>
      <c r="CF283" s="228"/>
      <c r="CG283" s="228"/>
      <c r="CH283" s="228"/>
      <c r="CI283" s="228"/>
      <c r="CJ283" s="228"/>
      <c r="CK283" s="228"/>
      <c r="CL283" s="228"/>
      <c r="CM283" s="228"/>
      <c r="CN283" s="228"/>
      <c r="CO283" s="228"/>
      <c r="CP283" s="228"/>
      <c r="CQ283" s="228"/>
      <c r="CR283" s="228"/>
      <c r="CS283" s="228"/>
      <c r="CT283" s="228"/>
      <c r="CU283" s="228"/>
      <c r="CV283" s="228"/>
      <c r="CW283" s="228"/>
      <c r="CX283" s="228"/>
      <c r="CY283" s="228"/>
      <c r="CZ283" s="228"/>
      <c r="DA283" s="228"/>
      <c r="DB283" s="228"/>
    </row>
    <row r="284" ht="12.0" customHeight="1">
      <c r="A284" s="228"/>
      <c r="B284" s="228"/>
      <c r="C284" s="228"/>
      <c r="D284" s="228"/>
      <c r="E284" s="228"/>
      <c r="F284" s="228"/>
      <c r="G284" s="228"/>
      <c r="H284" s="228"/>
      <c r="I284" s="228"/>
      <c r="J284" s="228"/>
      <c r="K284" s="228"/>
      <c r="L284" s="228"/>
      <c r="M284" s="228"/>
      <c r="N284" s="228"/>
      <c r="O284" s="228"/>
      <c r="P284" s="228"/>
      <c r="Q284" s="228"/>
      <c r="R284" s="228"/>
      <c r="S284" s="228"/>
      <c r="T284" s="228"/>
      <c r="U284" s="228"/>
      <c r="V284" s="228"/>
      <c r="W284" s="228"/>
      <c r="X284" s="228"/>
      <c r="Y284" s="228"/>
      <c r="Z284" s="228"/>
      <c r="AA284" s="228"/>
      <c r="AB284" s="228"/>
      <c r="AC284" s="228"/>
      <c r="AD284" s="228"/>
      <c r="AE284" s="228"/>
      <c r="AF284" s="228"/>
      <c r="AG284" s="228"/>
      <c r="AH284" s="228"/>
      <c r="AI284" s="228"/>
      <c r="AJ284" s="228"/>
      <c r="AK284" s="228"/>
      <c r="AL284" s="228"/>
      <c r="AM284" s="228"/>
      <c r="AN284" s="228"/>
      <c r="AO284" s="228"/>
      <c r="AP284" s="228"/>
      <c r="AQ284" s="228"/>
      <c r="AR284" s="228"/>
      <c r="AS284" s="228"/>
      <c r="AT284" s="228"/>
      <c r="AU284" s="228"/>
      <c r="AV284" s="228"/>
      <c r="AW284" s="228"/>
      <c r="AX284" s="228"/>
      <c r="AY284" s="228"/>
      <c r="AZ284" s="228"/>
      <c r="BA284" s="228"/>
      <c r="BB284" s="228"/>
      <c r="BC284" s="228"/>
      <c r="BD284" s="228"/>
      <c r="BE284" s="228"/>
      <c r="BF284" s="228"/>
      <c r="BG284" s="228"/>
      <c r="BH284" s="228"/>
      <c r="BI284" s="228"/>
      <c r="BJ284" s="228"/>
      <c r="BK284" s="228"/>
      <c r="BL284" s="228"/>
      <c r="BM284" s="228"/>
      <c r="BN284" s="228"/>
      <c r="BO284" s="228"/>
      <c r="BP284" s="228"/>
      <c r="BQ284" s="228"/>
      <c r="BR284" s="228"/>
      <c r="BS284" s="228"/>
      <c r="BT284" s="228"/>
      <c r="BU284" s="228"/>
      <c r="BV284" s="228"/>
      <c r="BW284" s="228"/>
      <c r="BX284" s="228"/>
      <c r="BY284" s="228"/>
      <c r="BZ284" s="228"/>
      <c r="CA284" s="228"/>
      <c r="CB284" s="228"/>
      <c r="CC284" s="228"/>
      <c r="CD284" s="228"/>
      <c r="CE284" s="228"/>
      <c r="CF284" s="228"/>
      <c r="CG284" s="228"/>
      <c r="CH284" s="228"/>
      <c r="CI284" s="228"/>
      <c r="CJ284" s="228"/>
      <c r="CK284" s="228"/>
      <c r="CL284" s="228"/>
      <c r="CM284" s="228"/>
      <c r="CN284" s="228"/>
      <c r="CO284" s="228"/>
      <c r="CP284" s="228"/>
      <c r="CQ284" s="228"/>
      <c r="CR284" s="228"/>
      <c r="CS284" s="228"/>
      <c r="CT284" s="228"/>
      <c r="CU284" s="228"/>
      <c r="CV284" s="228"/>
      <c r="CW284" s="228"/>
      <c r="CX284" s="228"/>
      <c r="CY284" s="228"/>
      <c r="CZ284" s="228"/>
      <c r="DA284" s="228"/>
      <c r="DB284" s="228"/>
    </row>
    <row r="285" ht="12.0" customHeight="1">
      <c r="A285" s="228"/>
      <c r="B285" s="228"/>
      <c r="C285" s="228"/>
      <c r="D285" s="228"/>
      <c r="E285" s="228"/>
      <c r="F285" s="228"/>
      <c r="G285" s="228"/>
      <c r="H285" s="228"/>
      <c r="I285" s="228"/>
      <c r="J285" s="228"/>
      <c r="K285" s="228"/>
      <c r="L285" s="228"/>
      <c r="M285" s="228"/>
      <c r="N285" s="228"/>
      <c r="O285" s="228"/>
      <c r="P285" s="228"/>
      <c r="Q285" s="228"/>
      <c r="R285" s="228"/>
      <c r="S285" s="228"/>
      <c r="T285" s="228"/>
      <c r="U285" s="228"/>
      <c r="V285" s="228"/>
      <c r="W285" s="228"/>
      <c r="X285" s="228"/>
      <c r="Y285" s="228"/>
      <c r="Z285" s="228"/>
      <c r="AA285" s="228"/>
      <c r="AB285" s="228"/>
      <c r="AC285" s="228"/>
      <c r="AD285" s="228"/>
      <c r="AE285" s="228"/>
      <c r="AF285" s="228"/>
      <c r="AG285" s="228"/>
      <c r="AH285" s="228"/>
      <c r="AI285" s="228"/>
      <c r="AJ285" s="228"/>
      <c r="AK285" s="228"/>
      <c r="AL285" s="228"/>
      <c r="AM285" s="228"/>
      <c r="AN285" s="228"/>
      <c r="AO285" s="228"/>
      <c r="AP285" s="228"/>
      <c r="AQ285" s="228"/>
      <c r="AR285" s="228"/>
      <c r="AS285" s="228"/>
      <c r="AT285" s="228"/>
      <c r="AU285" s="228"/>
      <c r="AV285" s="228"/>
      <c r="AW285" s="228"/>
      <c r="AX285" s="228"/>
      <c r="AY285" s="228"/>
      <c r="AZ285" s="228"/>
      <c r="BA285" s="228"/>
      <c r="BB285" s="228"/>
      <c r="BC285" s="228"/>
      <c r="BD285" s="228"/>
      <c r="BE285" s="228"/>
      <c r="BF285" s="228"/>
      <c r="BG285" s="228"/>
      <c r="BH285" s="228"/>
      <c r="BI285" s="228"/>
      <c r="BJ285" s="228"/>
      <c r="BK285" s="228"/>
      <c r="BL285" s="228"/>
      <c r="BM285" s="228"/>
      <c r="BN285" s="228"/>
      <c r="BO285" s="228"/>
      <c r="BP285" s="228"/>
      <c r="BQ285" s="228"/>
      <c r="BR285" s="228"/>
      <c r="BS285" s="228"/>
      <c r="BT285" s="228"/>
      <c r="BU285" s="228"/>
      <c r="BV285" s="228"/>
      <c r="BW285" s="228"/>
      <c r="BX285" s="228"/>
      <c r="BY285" s="228"/>
      <c r="BZ285" s="228"/>
      <c r="CA285" s="228"/>
      <c r="CB285" s="228"/>
      <c r="CC285" s="228"/>
      <c r="CD285" s="228"/>
      <c r="CE285" s="228"/>
      <c r="CF285" s="228"/>
      <c r="CG285" s="228"/>
      <c r="CH285" s="228"/>
      <c r="CI285" s="228"/>
      <c r="CJ285" s="228"/>
      <c r="CK285" s="228"/>
      <c r="CL285" s="228"/>
      <c r="CM285" s="228"/>
      <c r="CN285" s="228"/>
      <c r="CO285" s="228"/>
      <c r="CP285" s="228"/>
      <c r="CQ285" s="228"/>
      <c r="CR285" s="228"/>
      <c r="CS285" s="228"/>
      <c r="CT285" s="228"/>
      <c r="CU285" s="228"/>
      <c r="CV285" s="228"/>
      <c r="CW285" s="228"/>
      <c r="CX285" s="228"/>
      <c r="CY285" s="228"/>
      <c r="CZ285" s="228"/>
      <c r="DA285" s="228"/>
      <c r="DB285" s="228"/>
    </row>
    <row r="286" ht="12.0" customHeight="1">
      <c r="A286" s="228"/>
      <c r="B286" s="228"/>
      <c r="C286" s="228"/>
      <c r="D286" s="228"/>
      <c r="E286" s="228"/>
      <c r="F286" s="228"/>
      <c r="G286" s="228"/>
      <c r="H286" s="228"/>
      <c r="I286" s="228"/>
      <c r="J286" s="228"/>
      <c r="K286" s="228"/>
      <c r="L286" s="228"/>
      <c r="M286" s="228"/>
      <c r="N286" s="228"/>
      <c r="O286" s="228"/>
      <c r="P286" s="228"/>
      <c r="Q286" s="228"/>
      <c r="R286" s="228"/>
      <c r="S286" s="228"/>
      <c r="T286" s="228"/>
      <c r="U286" s="228"/>
      <c r="V286" s="228"/>
      <c r="W286" s="228"/>
      <c r="X286" s="228"/>
      <c r="Y286" s="228"/>
      <c r="Z286" s="228"/>
      <c r="AA286" s="228"/>
      <c r="AB286" s="228"/>
      <c r="AC286" s="228"/>
      <c r="AD286" s="228"/>
      <c r="AE286" s="228"/>
      <c r="AF286" s="228"/>
      <c r="AG286" s="228"/>
      <c r="AH286" s="228"/>
      <c r="AI286" s="228"/>
      <c r="AJ286" s="228"/>
      <c r="AK286" s="228"/>
      <c r="AL286" s="228"/>
      <c r="AM286" s="228"/>
      <c r="AN286" s="228"/>
      <c r="AO286" s="228"/>
      <c r="AP286" s="228"/>
      <c r="AQ286" s="228"/>
      <c r="AR286" s="228"/>
      <c r="AS286" s="228"/>
      <c r="AT286" s="228"/>
      <c r="AU286" s="228"/>
      <c r="AV286" s="228"/>
      <c r="AW286" s="228"/>
      <c r="AX286" s="228"/>
      <c r="AY286" s="228"/>
      <c r="AZ286" s="228"/>
      <c r="BA286" s="228"/>
      <c r="BB286" s="228"/>
      <c r="BC286" s="228"/>
      <c r="BD286" s="228"/>
      <c r="BE286" s="228"/>
      <c r="BF286" s="228"/>
      <c r="BG286" s="228"/>
      <c r="BH286" s="228"/>
      <c r="BI286" s="228"/>
      <c r="BJ286" s="228"/>
      <c r="BK286" s="228"/>
      <c r="BL286" s="228"/>
      <c r="BM286" s="228"/>
      <c r="BN286" s="228"/>
      <c r="BO286" s="228"/>
      <c r="BP286" s="228"/>
      <c r="BQ286" s="228"/>
      <c r="BR286" s="228"/>
      <c r="BS286" s="228"/>
      <c r="BT286" s="228"/>
      <c r="BU286" s="228"/>
      <c r="BV286" s="228"/>
      <c r="BW286" s="228"/>
      <c r="BX286" s="228"/>
      <c r="BY286" s="228"/>
      <c r="BZ286" s="228"/>
      <c r="CA286" s="228"/>
      <c r="CB286" s="228"/>
      <c r="CC286" s="228"/>
      <c r="CD286" s="228"/>
      <c r="CE286" s="228"/>
      <c r="CF286" s="228"/>
      <c r="CG286" s="228"/>
      <c r="CH286" s="228"/>
      <c r="CI286" s="228"/>
      <c r="CJ286" s="228"/>
      <c r="CK286" s="228"/>
      <c r="CL286" s="228"/>
      <c r="CM286" s="228"/>
      <c r="CN286" s="228"/>
      <c r="CO286" s="228"/>
      <c r="CP286" s="228"/>
      <c r="CQ286" s="228"/>
      <c r="CR286" s="228"/>
      <c r="CS286" s="228"/>
      <c r="CT286" s="228"/>
      <c r="CU286" s="228"/>
      <c r="CV286" s="228"/>
      <c r="CW286" s="228"/>
      <c r="CX286" s="228"/>
      <c r="CY286" s="228"/>
      <c r="CZ286" s="228"/>
      <c r="DA286" s="228"/>
      <c r="DB286" s="228"/>
    </row>
    <row r="287" ht="12.0" customHeight="1">
      <c r="A287" s="228"/>
      <c r="B287" s="228"/>
      <c r="C287" s="228"/>
      <c r="D287" s="228"/>
      <c r="E287" s="228"/>
      <c r="F287" s="228"/>
      <c r="G287" s="228"/>
      <c r="H287" s="228"/>
      <c r="I287" s="228"/>
      <c r="J287" s="228"/>
      <c r="K287" s="228"/>
      <c r="L287" s="228"/>
      <c r="M287" s="228"/>
      <c r="N287" s="228"/>
      <c r="O287" s="228"/>
      <c r="P287" s="228"/>
      <c r="Q287" s="228"/>
      <c r="R287" s="228"/>
      <c r="S287" s="228"/>
      <c r="T287" s="228"/>
      <c r="U287" s="228"/>
      <c r="V287" s="228"/>
      <c r="W287" s="228"/>
      <c r="X287" s="228"/>
      <c r="Y287" s="228"/>
      <c r="Z287" s="228"/>
      <c r="AA287" s="228"/>
      <c r="AB287" s="228"/>
      <c r="AC287" s="228"/>
      <c r="AD287" s="228"/>
      <c r="AE287" s="228"/>
      <c r="AF287" s="228"/>
      <c r="AG287" s="228"/>
      <c r="AH287" s="228"/>
      <c r="AI287" s="228"/>
      <c r="AJ287" s="228"/>
      <c r="AK287" s="228"/>
      <c r="AL287" s="228"/>
      <c r="AM287" s="228"/>
      <c r="AN287" s="228"/>
      <c r="AO287" s="228"/>
      <c r="AP287" s="228"/>
      <c r="AQ287" s="228"/>
      <c r="AR287" s="228"/>
      <c r="AS287" s="228"/>
      <c r="AT287" s="228"/>
      <c r="AU287" s="228"/>
      <c r="AV287" s="228"/>
      <c r="AW287" s="228"/>
      <c r="AX287" s="228"/>
      <c r="AY287" s="228"/>
      <c r="AZ287" s="228"/>
      <c r="BA287" s="228"/>
      <c r="BB287" s="228"/>
      <c r="BC287" s="228"/>
      <c r="BD287" s="228"/>
      <c r="BE287" s="228"/>
      <c r="BF287" s="228"/>
      <c r="BG287" s="228"/>
      <c r="BH287" s="228"/>
      <c r="BI287" s="228"/>
      <c r="BJ287" s="228"/>
      <c r="BK287" s="228"/>
      <c r="BL287" s="228"/>
      <c r="BM287" s="228"/>
      <c r="BN287" s="228"/>
      <c r="BO287" s="228"/>
      <c r="BP287" s="228"/>
      <c r="BQ287" s="228"/>
      <c r="BR287" s="228"/>
      <c r="BS287" s="228"/>
      <c r="BT287" s="228"/>
      <c r="BU287" s="228"/>
      <c r="BV287" s="228"/>
      <c r="BW287" s="228"/>
      <c r="BX287" s="228"/>
      <c r="BY287" s="228"/>
      <c r="BZ287" s="228"/>
      <c r="CA287" s="228"/>
      <c r="CB287" s="228"/>
      <c r="CC287" s="228"/>
      <c r="CD287" s="228"/>
      <c r="CE287" s="228"/>
      <c r="CF287" s="228"/>
      <c r="CG287" s="228"/>
      <c r="CH287" s="228"/>
      <c r="CI287" s="228"/>
      <c r="CJ287" s="228"/>
      <c r="CK287" s="228"/>
      <c r="CL287" s="228"/>
      <c r="CM287" s="228"/>
      <c r="CN287" s="228"/>
      <c r="CO287" s="228"/>
      <c r="CP287" s="228"/>
      <c r="CQ287" s="228"/>
      <c r="CR287" s="228"/>
      <c r="CS287" s="228"/>
      <c r="CT287" s="228"/>
      <c r="CU287" s="228"/>
      <c r="CV287" s="228"/>
      <c r="CW287" s="228"/>
      <c r="CX287" s="228"/>
      <c r="CY287" s="228"/>
      <c r="CZ287" s="228"/>
      <c r="DA287" s="228"/>
      <c r="DB287" s="228"/>
    </row>
    <row r="288" ht="12.0" customHeight="1">
      <c r="A288" s="228"/>
      <c r="B288" s="228"/>
      <c r="C288" s="228"/>
      <c r="D288" s="228"/>
      <c r="E288" s="228"/>
      <c r="F288" s="228"/>
      <c r="G288" s="228"/>
      <c r="H288" s="228"/>
      <c r="I288" s="228"/>
      <c r="J288" s="228"/>
      <c r="K288" s="228"/>
      <c r="L288" s="228"/>
      <c r="M288" s="228"/>
      <c r="N288" s="228"/>
      <c r="O288" s="228"/>
      <c r="P288" s="228"/>
      <c r="Q288" s="228"/>
      <c r="R288" s="228"/>
      <c r="S288" s="228"/>
      <c r="T288" s="228"/>
      <c r="U288" s="228"/>
      <c r="V288" s="228"/>
      <c r="W288" s="228"/>
      <c r="X288" s="228"/>
      <c r="Y288" s="228"/>
      <c r="Z288" s="228"/>
      <c r="AA288" s="228"/>
      <c r="AB288" s="228"/>
      <c r="AC288" s="228"/>
      <c r="AD288" s="228"/>
      <c r="AE288" s="228"/>
      <c r="AF288" s="228"/>
      <c r="AG288" s="228"/>
      <c r="AH288" s="228"/>
      <c r="AI288" s="228"/>
      <c r="AJ288" s="228"/>
      <c r="AK288" s="228"/>
      <c r="AL288" s="228"/>
      <c r="AM288" s="228"/>
      <c r="AN288" s="228"/>
      <c r="AO288" s="228"/>
      <c r="AP288" s="228"/>
      <c r="AQ288" s="228"/>
      <c r="AR288" s="228"/>
      <c r="AS288" s="228"/>
      <c r="AT288" s="228"/>
      <c r="AU288" s="228"/>
      <c r="AV288" s="228"/>
      <c r="AW288" s="228"/>
      <c r="AX288" s="228"/>
      <c r="AY288" s="228"/>
      <c r="AZ288" s="228"/>
      <c r="BA288" s="228"/>
      <c r="BB288" s="228"/>
      <c r="BC288" s="228"/>
      <c r="BD288" s="228"/>
      <c r="BE288" s="228"/>
      <c r="BF288" s="228"/>
      <c r="BG288" s="228"/>
      <c r="BH288" s="228"/>
      <c r="BI288" s="228"/>
      <c r="BJ288" s="228"/>
      <c r="BK288" s="228"/>
      <c r="BL288" s="228"/>
      <c r="BM288" s="228"/>
      <c r="BN288" s="228"/>
      <c r="BO288" s="228"/>
      <c r="BP288" s="228"/>
      <c r="BQ288" s="228"/>
      <c r="BR288" s="228"/>
      <c r="BS288" s="228"/>
      <c r="BT288" s="228"/>
      <c r="BU288" s="228"/>
      <c r="BV288" s="228"/>
      <c r="BW288" s="228"/>
      <c r="BX288" s="228"/>
      <c r="BY288" s="228"/>
      <c r="BZ288" s="228"/>
      <c r="CA288" s="228"/>
      <c r="CB288" s="228"/>
      <c r="CC288" s="228"/>
      <c r="CD288" s="228"/>
      <c r="CE288" s="228"/>
      <c r="CF288" s="228"/>
      <c r="CG288" s="228"/>
      <c r="CH288" s="228"/>
      <c r="CI288" s="228"/>
      <c r="CJ288" s="228"/>
      <c r="CK288" s="228"/>
      <c r="CL288" s="228"/>
      <c r="CM288" s="228"/>
      <c r="CN288" s="228"/>
      <c r="CO288" s="228"/>
      <c r="CP288" s="228"/>
      <c r="CQ288" s="228"/>
      <c r="CR288" s="228"/>
      <c r="CS288" s="228"/>
      <c r="CT288" s="228"/>
      <c r="CU288" s="228"/>
      <c r="CV288" s="228"/>
      <c r="CW288" s="228"/>
      <c r="CX288" s="228"/>
      <c r="CY288" s="228"/>
      <c r="CZ288" s="228"/>
      <c r="DA288" s="228"/>
      <c r="DB288" s="228"/>
    </row>
    <row r="289" ht="12.0" customHeight="1">
      <c r="A289" s="228"/>
      <c r="B289" s="228"/>
      <c r="C289" s="228"/>
      <c r="D289" s="228"/>
      <c r="E289" s="228"/>
      <c r="F289" s="228"/>
      <c r="G289" s="228"/>
      <c r="H289" s="228"/>
      <c r="I289" s="228"/>
      <c r="J289" s="228"/>
      <c r="K289" s="228"/>
      <c r="L289" s="228"/>
      <c r="M289" s="228"/>
      <c r="N289" s="228"/>
      <c r="O289" s="228"/>
      <c r="P289" s="228"/>
      <c r="Q289" s="228"/>
      <c r="R289" s="228"/>
      <c r="S289" s="228"/>
      <c r="T289" s="228"/>
      <c r="U289" s="228"/>
      <c r="V289" s="228"/>
      <c r="W289" s="228"/>
      <c r="X289" s="228"/>
      <c r="Y289" s="228"/>
      <c r="Z289" s="228"/>
      <c r="AA289" s="228"/>
      <c r="AB289" s="228"/>
      <c r="AC289" s="228"/>
      <c r="AD289" s="228"/>
      <c r="AE289" s="228"/>
      <c r="AF289" s="228"/>
      <c r="AG289" s="228"/>
      <c r="AH289" s="228"/>
      <c r="AI289" s="228"/>
      <c r="AJ289" s="228"/>
      <c r="AK289" s="228"/>
      <c r="AL289" s="228"/>
      <c r="AM289" s="228"/>
      <c r="AN289" s="228"/>
      <c r="AO289" s="228"/>
      <c r="AP289" s="228"/>
      <c r="AQ289" s="228"/>
      <c r="AR289" s="228"/>
      <c r="AS289" s="228"/>
      <c r="AT289" s="228"/>
      <c r="AU289" s="228"/>
      <c r="AV289" s="228"/>
      <c r="AW289" s="228"/>
      <c r="AX289" s="228"/>
      <c r="AY289" s="228"/>
      <c r="AZ289" s="228"/>
      <c r="BA289" s="228"/>
      <c r="BB289" s="228"/>
      <c r="BC289" s="228"/>
      <c r="BD289" s="228"/>
      <c r="BE289" s="228"/>
      <c r="BF289" s="228"/>
      <c r="BG289" s="228"/>
      <c r="BH289" s="228"/>
      <c r="BI289" s="228"/>
      <c r="BJ289" s="228"/>
      <c r="BK289" s="228"/>
      <c r="BL289" s="228"/>
      <c r="BM289" s="228"/>
      <c r="BN289" s="228"/>
      <c r="BO289" s="228"/>
      <c r="BP289" s="228"/>
      <c r="BQ289" s="228"/>
      <c r="BR289" s="228"/>
      <c r="BS289" s="228"/>
      <c r="BT289" s="228"/>
      <c r="BU289" s="228"/>
      <c r="BV289" s="228"/>
      <c r="BW289" s="228"/>
      <c r="BX289" s="228"/>
      <c r="BY289" s="228"/>
      <c r="BZ289" s="228"/>
      <c r="CA289" s="228"/>
      <c r="CB289" s="228"/>
      <c r="CC289" s="228"/>
      <c r="CD289" s="228"/>
      <c r="CE289" s="228"/>
      <c r="CF289" s="228"/>
      <c r="CG289" s="228"/>
      <c r="CH289" s="228"/>
      <c r="CI289" s="228"/>
      <c r="CJ289" s="228"/>
      <c r="CK289" s="228"/>
      <c r="CL289" s="228"/>
      <c r="CM289" s="228"/>
      <c r="CN289" s="228"/>
      <c r="CO289" s="228"/>
      <c r="CP289" s="228"/>
      <c r="CQ289" s="228"/>
      <c r="CR289" s="228"/>
      <c r="CS289" s="228"/>
      <c r="CT289" s="228"/>
      <c r="CU289" s="228"/>
      <c r="CV289" s="228"/>
      <c r="CW289" s="228"/>
      <c r="CX289" s="228"/>
      <c r="CY289" s="228"/>
      <c r="CZ289" s="228"/>
      <c r="DA289" s="228"/>
      <c r="DB289" s="228"/>
    </row>
    <row r="290" ht="12.0" customHeight="1">
      <c r="A290" s="228"/>
      <c r="B290" s="228"/>
      <c r="C290" s="228"/>
      <c r="D290" s="228"/>
      <c r="E290" s="228"/>
      <c r="F290" s="228"/>
      <c r="G290" s="228"/>
      <c r="H290" s="228"/>
      <c r="I290" s="228"/>
      <c r="J290" s="228"/>
      <c r="K290" s="228"/>
      <c r="L290" s="228"/>
      <c r="M290" s="228"/>
      <c r="N290" s="228"/>
      <c r="O290" s="228"/>
      <c r="P290" s="228"/>
      <c r="Q290" s="228"/>
      <c r="R290" s="228"/>
      <c r="S290" s="228"/>
      <c r="T290" s="228"/>
      <c r="U290" s="228"/>
      <c r="V290" s="228"/>
      <c r="W290" s="228"/>
      <c r="X290" s="228"/>
      <c r="Y290" s="228"/>
      <c r="Z290" s="228"/>
      <c r="AA290" s="228"/>
      <c r="AB290" s="228"/>
      <c r="AC290" s="228"/>
      <c r="AD290" s="228"/>
      <c r="AE290" s="228"/>
      <c r="AF290" s="228"/>
      <c r="AG290" s="228"/>
      <c r="AH290" s="228"/>
      <c r="AI290" s="228"/>
      <c r="AJ290" s="228"/>
      <c r="AK290" s="228"/>
      <c r="AL290" s="228"/>
      <c r="AM290" s="228"/>
      <c r="AN290" s="228"/>
      <c r="AO290" s="228"/>
      <c r="AP290" s="228"/>
      <c r="AQ290" s="228"/>
      <c r="AR290" s="228"/>
      <c r="AS290" s="228"/>
      <c r="AT290" s="228"/>
      <c r="AU290" s="228"/>
      <c r="AV290" s="228"/>
      <c r="AW290" s="228"/>
      <c r="AX290" s="228"/>
      <c r="AY290" s="228"/>
      <c r="AZ290" s="228"/>
      <c r="BA290" s="228"/>
      <c r="BB290" s="228"/>
      <c r="BC290" s="228"/>
      <c r="BD290" s="228"/>
      <c r="BE290" s="228"/>
      <c r="BF290" s="228"/>
      <c r="BG290" s="228"/>
      <c r="BH290" s="228"/>
      <c r="BI290" s="228"/>
      <c r="BJ290" s="228"/>
      <c r="BK290" s="228"/>
      <c r="BL290" s="228"/>
      <c r="BM290" s="228"/>
      <c r="BN290" s="228"/>
      <c r="BO290" s="228"/>
      <c r="BP290" s="228"/>
      <c r="BQ290" s="228"/>
      <c r="BR290" s="228"/>
      <c r="BS290" s="228"/>
      <c r="BT290" s="228"/>
      <c r="BU290" s="228"/>
      <c r="BV290" s="228"/>
      <c r="BW290" s="228"/>
      <c r="BX290" s="228"/>
      <c r="BY290" s="228"/>
      <c r="BZ290" s="228"/>
      <c r="CA290" s="228"/>
      <c r="CB290" s="228"/>
      <c r="CC290" s="228"/>
      <c r="CD290" s="228"/>
      <c r="CE290" s="228"/>
      <c r="CF290" s="228"/>
      <c r="CG290" s="228"/>
      <c r="CH290" s="228"/>
      <c r="CI290" s="228"/>
      <c r="CJ290" s="228"/>
      <c r="CK290" s="228"/>
      <c r="CL290" s="228"/>
      <c r="CM290" s="228"/>
      <c r="CN290" s="228"/>
      <c r="CO290" s="228"/>
      <c r="CP290" s="228"/>
      <c r="CQ290" s="228"/>
      <c r="CR290" s="228"/>
      <c r="CS290" s="228"/>
      <c r="CT290" s="228"/>
      <c r="CU290" s="228"/>
      <c r="CV290" s="228"/>
      <c r="CW290" s="228"/>
      <c r="CX290" s="228"/>
      <c r="CY290" s="228"/>
      <c r="CZ290" s="228"/>
      <c r="DA290" s="228"/>
      <c r="DB290" s="228"/>
    </row>
    <row r="291" ht="12.0" customHeight="1">
      <c r="A291" s="228"/>
      <c r="B291" s="228"/>
      <c r="C291" s="228"/>
      <c r="D291" s="228"/>
      <c r="E291" s="228"/>
      <c r="F291" s="228"/>
      <c r="G291" s="228"/>
      <c r="H291" s="228"/>
      <c r="I291" s="228"/>
      <c r="J291" s="228"/>
      <c r="K291" s="228"/>
      <c r="L291" s="228"/>
      <c r="M291" s="228"/>
      <c r="N291" s="228"/>
      <c r="O291" s="228"/>
      <c r="P291" s="228"/>
      <c r="Q291" s="228"/>
      <c r="R291" s="228"/>
      <c r="S291" s="228"/>
      <c r="T291" s="228"/>
      <c r="U291" s="228"/>
      <c r="V291" s="228"/>
      <c r="W291" s="228"/>
      <c r="X291" s="228"/>
      <c r="Y291" s="228"/>
      <c r="Z291" s="228"/>
      <c r="AA291" s="228"/>
      <c r="AB291" s="228"/>
      <c r="AC291" s="228"/>
      <c r="AD291" s="228"/>
      <c r="AE291" s="228"/>
      <c r="AF291" s="228"/>
      <c r="AG291" s="228"/>
      <c r="AH291" s="228"/>
      <c r="AI291" s="228"/>
      <c r="AJ291" s="228"/>
      <c r="AK291" s="228"/>
      <c r="AL291" s="228"/>
      <c r="AM291" s="228"/>
      <c r="AN291" s="228"/>
      <c r="AO291" s="228"/>
      <c r="AP291" s="228"/>
      <c r="AQ291" s="228"/>
      <c r="AR291" s="228"/>
      <c r="AS291" s="228"/>
      <c r="AT291" s="228"/>
      <c r="AU291" s="228"/>
      <c r="AV291" s="228"/>
      <c r="AW291" s="228"/>
      <c r="AX291" s="228"/>
      <c r="AY291" s="228"/>
      <c r="AZ291" s="228"/>
      <c r="BA291" s="228"/>
      <c r="BB291" s="228"/>
      <c r="BC291" s="228"/>
      <c r="BD291" s="228"/>
      <c r="BE291" s="228"/>
      <c r="BF291" s="228"/>
      <c r="BG291" s="228"/>
      <c r="BH291" s="228"/>
      <c r="BI291" s="228"/>
      <c r="BJ291" s="228"/>
      <c r="BK291" s="228"/>
      <c r="BL291" s="228"/>
      <c r="BM291" s="228"/>
      <c r="BN291" s="228"/>
      <c r="BO291" s="228"/>
      <c r="BP291" s="228"/>
      <c r="BQ291" s="228"/>
      <c r="BR291" s="228"/>
      <c r="BS291" s="228"/>
      <c r="BT291" s="228"/>
      <c r="BU291" s="228"/>
      <c r="BV291" s="228"/>
      <c r="BW291" s="228"/>
      <c r="BX291" s="228"/>
      <c r="BY291" s="228"/>
      <c r="BZ291" s="228"/>
      <c r="CA291" s="228"/>
      <c r="CB291" s="228"/>
      <c r="CC291" s="228"/>
      <c r="CD291" s="228"/>
      <c r="CE291" s="228"/>
      <c r="CF291" s="228"/>
      <c r="CG291" s="228"/>
      <c r="CH291" s="228"/>
      <c r="CI291" s="228"/>
      <c r="CJ291" s="228"/>
      <c r="CK291" s="228"/>
      <c r="CL291" s="228"/>
      <c r="CM291" s="228"/>
      <c r="CN291" s="228"/>
      <c r="CO291" s="228"/>
      <c r="CP291" s="228"/>
      <c r="CQ291" s="228"/>
      <c r="CR291" s="228"/>
      <c r="CS291" s="228"/>
      <c r="CT291" s="228"/>
      <c r="CU291" s="228"/>
      <c r="CV291" s="228"/>
      <c r="CW291" s="228"/>
      <c r="CX291" s="228"/>
      <c r="CY291" s="228"/>
      <c r="CZ291" s="228"/>
      <c r="DA291" s="228"/>
      <c r="DB291" s="228"/>
    </row>
    <row r="292" ht="12.0" customHeight="1">
      <c r="A292" s="228"/>
      <c r="B292" s="228"/>
      <c r="C292" s="228"/>
      <c r="D292" s="228"/>
      <c r="E292" s="228"/>
      <c r="F292" s="228"/>
      <c r="G292" s="228"/>
      <c r="H292" s="228"/>
      <c r="I292" s="228"/>
      <c r="J292" s="228"/>
      <c r="K292" s="228"/>
      <c r="L292" s="228"/>
      <c r="M292" s="228"/>
      <c r="N292" s="228"/>
      <c r="O292" s="228"/>
      <c r="P292" s="228"/>
      <c r="Q292" s="228"/>
      <c r="R292" s="228"/>
      <c r="S292" s="228"/>
      <c r="T292" s="228"/>
      <c r="U292" s="228"/>
      <c r="V292" s="228"/>
      <c r="W292" s="228"/>
      <c r="X292" s="228"/>
      <c r="Y292" s="228"/>
      <c r="Z292" s="228"/>
      <c r="AA292" s="228"/>
      <c r="AB292" s="228"/>
      <c r="AC292" s="228"/>
      <c r="AD292" s="228"/>
      <c r="AE292" s="228"/>
      <c r="AF292" s="228"/>
      <c r="AG292" s="228"/>
      <c r="AH292" s="228"/>
      <c r="AI292" s="228"/>
      <c r="AJ292" s="228"/>
      <c r="AK292" s="228"/>
      <c r="AL292" s="228"/>
      <c r="AM292" s="228"/>
      <c r="AN292" s="228"/>
      <c r="AO292" s="228"/>
      <c r="AP292" s="228"/>
      <c r="AQ292" s="228"/>
      <c r="AR292" s="228"/>
      <c r="AS292" s="228"/>
      <c r="AT292" s="228"/>
      <c r="AU292" s="228"/>
      <c r="AV292" s="228"/>
      <c r="AW292" s="228"/>
      <c r="AX292" s="228"/>
      <c r="AY292" s="228"/>
      <c r="AZ292" s="228"/>
      <c r="BA292" s="228"/>
      <c r="BB292" s="228"/>
      <c r="BC292" s="228"/>
      <c r="BD292" s="228"/>
      <c r="BE292" s="228"/>
      <c r="BF292" s="228"/>
      <c r="BG292" s="228"/>
      <c r="BH292" s="228"/>
      <c r="BI292" s="228"/>
      <c r="BJ292" s="228"/>
      <c r="BK292" s="228"/>
      <c r="BL292" s="228"/>
      <c r="BM292" s="228"/>
      <c r="BN292" s="228"/>
      <c r="BO292" s="228"/>
      <c r="BP292" s="228"/>
      <c r="BQ292" s="228"/>
      <c r="BR292" s="228"/>
      <c r="BS292" s="228"/>
      <c r="BT292" s="228"/>
      <c r="BU292" s="228"/>
      <c r="BV292" s="228"/>
      <c r="BW292" s="228"/>
      <c r="BX292" s="228"/>
      <c r="BY292" s="228"/>
      <c r="BZ292" s="228"/>
      <c r="CA292" s="228"/>
      <c r="CB292" s="228"/>
      <c r="CC292" s="228"/>
      <c r="CD292" s="228"/>
      <c r="CE292" s="228"/>
      <c r="CF292" s="228"/>
      <c r="CG292" s="228"/>
      <c r="CH292" s="228"/>
      <c r="CI292" s="228"/>
      <c r="CJ292" s="228"/>
      <c r="CK292" s="228"/>
      <c r="CL292" s="228"/>
      <c r="CM292" s="228"/>
      <c r="CN292" s="228"/>
      <c r="CO292" s="228"/>
      <c r="CP292" s="228"/>
      <c r="CQ292" s="228"/>
      <c r="CR292" s="228"/>
      <c r="CS292" s="228"/>
      <c r="CT292" s="228"/>
      <c r="CU292" s="228"/>
      <c r="CV292" s="228"/>
      <c r="CW292" s="228"/>
      <c r="CX292" s="228"/>
      <c r="CY292" s="228"/>
      <c r="CZ292" s="228"/>
      <c r="DA292" s="228"/>
      <c r="DB292" s="228"/>
    </row>
    <row r="293" ht="12.0" customHeight="1">
      <c r="A293" s="228"/>
      <c r="B293" s="228"/>
      <c r="C293" s="228"/>
      <c r="D293" s="228"/>
      <c r="E293" s="228"/>
      <c r="F293" s="228"/>
      <c r="G293" s="228"/>
      <c r="H293" s="228"/>
      <c r="I293" s="228"/>
      <c r="J293" s="228"/>
      <c r="K293" s="228"/>
      <c r="L293" s="228"/>
      <c r="M293" s="228"/>
      <c r="N293" s="228"/>
      <c r="O293" s="228"/>
      <c r="P293" s="228"/>
      <c r="Q293" s="228"/>
      <c r="R293" s="228"/>
      <c r="S293" s="228"/>
      <c r="T293" s="228"/>
      <c r="U293" s="228"/>
      <c r="V293" s="228"/>
      <c r="W293" s="228"/>
      <c r="X293" s="228"/>
      <c r="Y293" s="228"/>
      <c r="Z293" s="228"/>
      <c r="AA293" s="228"/>
      <c r="AB293" s="228"/>
      <c r="AC293" s="228"/>
      <c r="AD293" s="228"/>
      <c r="AE293" s="228"/>
      <c r="AF293" s="228"/>
      <c r="AG293" s="228"/>
      <c r="AH293" s="228"/>
      <c r="AI293" s="228"/>
      <c r="AJ293" s="228"/>
      <c r="AK293" s="228"/>
      <c r="AL293" s="228"/>
      <c r="AM293" s="228"/>
      <c r="AN293" s="228"/>
      <c r="AO293" s="228"/>
      <c r="AP293" s="228"/>
      <c r="AQ293" s="228"/>
      <c r="AR293" s="228"/>
      <c r="AS293" s="228"/>
      <c r="AT293" s="228"/>
      <c r="AU293" s="228"/>
      <c r="AV293" s="228"/>
      <c r="AW293" s="228"/>
      <c r="AX293" s="228"/>
      <c r="AY293" s="228"/>
      <c r="AZ293" s="228"/>
      <c r="BA293" s="228"/>
      <c r="BB293" s="228"/>
      <c r="BC293" s="228"/>
      <c r="BD293" s="228"/>
      <c r="BE293" s="228"/>
      <c r="BF293" s="228"/>
      <c r="BG293" s="228"/>
      <c r="BH293" s="228"/>
      <c r="BI293" s="228"/>
      <c r="BJ293" s="228"/>
      <c r="BK293" s="228"/>
      <c r="BL293" s="228"/>
      <c r="BM293" s="228"/>
      <c r="BN293" s="228"/>
      <c r="BO293" s="228"/>
      <c r="BP293" s="228"/>
      <c r="BQ293" s="228"/>
      <c r="BR293" s="228"/>
      <c r="BS293" s="228"/>
      <c r="BT293" s="228"/>
      <c r="BU293" s="228"/>
      <c r="BV293" s="228"/>
      <c r="BW293" s="228"/>
      <c r="BX293" s="228"/>
      <c r="BY293" s="228"/>
      <c r="BZ293" s="228"/>
      <c r="CA293" s="228"/>
      <c r="CB293" s="228"/>
      <c r="CC293" s="228"/>
      <c r="CD293" s="228"/>
      <c r="CE293" s="228"/>
      <c r="CF293" s="228"/>
      <c r="CG293" s="228"/>
      <c r="CH293" s="228"/>
      <c r="CI293" s="228"/>
      <c r="CJ293" s="228"/>
      <c r="CK293" s="228"/>
      <c r="CL293" s="228"/>
      <c r="CM293" s="228"/>
      <c r="CN293" s="228"/>
      <c r="CO293" s="228"/>
      <c r="CP293" s="228"/>
      <c r="CQ293" s="228"/>
      <c r="CR293" s="228"/>
      <c r="CS293" s="228"/>
      <c r="CT293" s="228"/>
      <c r="CU293" s="228"/>
      <c r="CV293" s="228"/>
      <c r="CW293" s="228"/>
      <c r="CX293" s="228"/>
      <c r="CY293" s="228"/>
      <c r="CZ293" s="228"/>
      <c r="DA293" s="228"/>
      <c r="DB293" s="228"/>
    </row>
    <row r="294" ht="12.0" customHeight="1">
      <c r="A294" s="228"/>
      <c r="B294" s="228"/>
      <c r="C294" s="228"/>
      <c r="D294" s="228"/>
      <c r="E294" s="228"/>
      <c r="F294" s="228"/>
      <c r="G294" s="228"/>
      <c r="H294" s="228"/>
      <c r="I294" s="228"/>
      <c r="J294" s="228"/>
      <c r="K294" s="228"/>
      <c r="L294" s="228"/>
      <c r="M294" s="228"/>
      <c r="N294" s="228"/>
      <c r="O294" s="228"/>
      <c r="P294" s="228"/>
      <c r="Q294" s="228"/>
      <c r="R294" s="228"/>
      <c r="S294" s="228"/>
      <c r="T294" s="228"/>
      <c r="U294" s="228"/>
      <c r="V294" s="228"/>
      <c r="W294" s="228"/>
      <c r="X294" s="228"/>
      <c r="Y294" s="228"/>
      <c r="Z294" s="228"/>
      <c r="AA294" s="228"/>
      <c r="AB294" s="228"/>
      <c r="AC294" s="228"/>
      <c r="AD294" s="228"/>
      <c r="AE294" s="228"/>
      <c r="AF294" s="228"/>
      <c r="AG294" s="228"/>
      <c r="AH294" s="228"/>
      <c r="AI294" s="228"/>
      <c r="AJ294" s="228"/>
      <c r="AK294" s="228"/>
      <c r="AL294" s="228"/>
      <c r="AM294" s="228"/>
      <c r="AN294" s="228"/>
      <c r="AO294" s="228"/>
      <c r="AP294" s="228"/>
      <c r="AQ294" s="228"/>
      <c r="AR294" s="228"/>
      <c r="AS294" s="228"/>
      <c r="AT294" s="228"/>
      <c r="AU294" s="228"/>
      <c r="AV294" s="228"/>
      <c r="AW294" s="228"/>
      <c r="AX294" s="228"/>
      <c r="AY294" s="228"/>
      <c r="AZ294" s="228"/>
      <c r="BA294" s="228"/>
      <c r="BB294" s="228"/>
      <c r="BC294" s="228"/>
      <c r="BD294" s="228"/>
      <c r="BE294" s="228"/>
      <c r="BF294" s="228"/>
      <c r="BG294" s="228"/>
      <c r="BH294" s="228"/>
      <c r="BI294" s="228"/>
      <c r="BJ294" s="228"/>
      <c r="BK294" s="228"/>
      <c r="BL294" s="228"/>
      <c r="BM294" s="228"/>
      <c r="BN294" s="228"/>
      <c r="BO294" s="228"/>
      <c r="BP294" s="228"/>
      <c r="BQ294" s="228"/>
      <c r="BR294" s="228"/>
      <c r="BS294" s="228"/>
      <c r="BT294" s="228"/>
      <c r="BU294" s="228"/>
      <c r="BV294" s="228"/>
      <c r="BW294" s="228"/>
      <c r="BX294" s="228"/>
      <c r="BY294" s="228"/>
      <c r="BZ294" s="228"/>
      <c r="CA294" s="228"/>
      <c r="CB294" s="228"/>
      <c r="CC294" s="228"/>
      <c r="CD294" s="228"/>
      <c r="CE294" s="228"/>
      <c r="CF294" s="228"/>
      <c r="CG294" s="228"/>
      <c r="CH294" s="228"/>
      <c r="CI294" s="228"/>
      <c r="CJ294" s="228"/>
      <c r="CK294" s="228"/>
      <c r="CL294" s="228"/>
      <c r="CM294" s="228"/>
      <c r="CN294" s="228"/>
      <c r="CO294" s="228"/>
      <c r="CP294" s="228"/>
      <c r="CQ294" s="228"/>
      <c r="CR294" s="228"/>
      <c r="CS294" s="228"/>
      <c r="CT294" s="228"/>
      <c r="CU294" s="228"/>
      <c r="CV294" s="228"/>
      <c r="CW294" s="228"/>
      <c r="CX294" s="228"/>
      <c r="CY294" s="228"/>
      <c r="CZ294" s="228"/>
      <c r="DA294" s="228"/>
      <c r="DB294" s="228"/>
    </row>
    <row r="295" ht="12.0" customHeight="1">
      <c r="A295" s="228"/>
      <c r="B295" s="228"/>
      <c r="C295" s="228"/>
      <c r="D295" s="228"/>
      <c r="E295" s="228"/>
      <c r="F295" s="228"/>
      <c r="G295" s="228"/>
      <c r="H295" s="228"/>
      <c r="I295" s="228"/>
      <c r="J295" s="228"/>
      <c r="K295" s="228"/>
      <c r="L295" s="228"/>
      <c r="M295" s="228"/>
      <c r="N295" s="228"/>
      <c r="O295" s="228"/>
      <c r="P295" s="228"/>
      <c r="Q295" s="228"/>
      <c r="R295" s="228"/>
      <c r="S295" s="228"/>
      <c r="T295" s="228"/>
      <c r="U295" s="228"/>
      <c r="V295" s="228"/>
      <c r="W295" s="228"/>
      <c r="X295" s="228"/>
      <c r="Y295" s="228"/>
      <c r="Z295" s="228"/>
      <c r="AA295" s="228"/>
      <c r="AB295" s="228"/>
      <c r="AC295" s="228"/>
      <c r="AD295" s="228"/>
      <c r="AE295" s="228"/>
      <c r="AF295" s="228"/>
      <c r="AG295" s="228"/>
      <c r="AH295" s="228"/>
      <c r="AI295" s="228"/>
      <c r="AJ295" s="228"/>
      <c r="AK295" s="228"/>
      <c r="AL295" s="228"/>
      <c r="AM295" s="228"/>
      <c r="AN295" s="228"/>
      <c r="AO295" s="228"/>
      <c r="AP295" s="228"/>
      <c r="AQ295" s="228"/>
      <c r="AR295" s="228"/>
      <c r="AS295" s="228"/>
      <c r="AT295" s="228"/>
      <c r="AU295" s="228"/>
      <c r="AV295" s="228"/>
      <c r="AW295" s="228"/>
      <c r="AX295" s="228"/>
      <c r="AY295" s="228"/>
      <c r="AZ295" s="228"/>
      <c r="BA295" s="228"/>
      <c r="BB295" s="228"/>
      <c r="BC295" s="228"/>
      <c r="BD295" s="228"/>
      <c r="BE295" s="228"/>
      <c r="BF295" s="228"/>
      <c r="BG295" s="228"/>
      <c r="BH295" s="228"/>
      <c r="BI295" s="228"/>
      <c r="BJ295" s="228"/>
      <c r="BK295" s="228"/>
      <c r="BL295" s="228"/>
      <c r="BM295" s="228"/>
      <c r="BN295" s="228"/>
      <c r="BO295" s="228"/>
      <c r="BP295" s="228"/>
      <c r="BQ295" s="228"/>
      <c r="BR295" s="228"/>
      <c r="BS295" s="228"/>
      <c r="BT295" s="228"/>
      <c r="BU295" s="228"/>
      <c r="BV295" s="228"/>
      <c r="BW295" s="228"/>
      <c r="BX295" s="228"/>
      <c r="BY295" s="228"/>
      <c r="BZ295" s="228"/>
      <c r="CA295" s="228"/>
      <c r="CB295" s="228"/>
      <c r="CC295" s="228"/>
      <c r="CD295" s="228"/>
      <c r="CE295" s="228"/>
      <c r="CF295" s="228"/>
      <c r="CG295" s="228"/>
      <c r="CH295" s="228"/>
      <c r="CI295" s="228"/>
      <c r="CJ295" s="228"/>
      <c r="CK295" s="228"/>
      <c r="CL295" s="228"/>
      <c r="CM295" s="228"/>
      <c r="CN295" s="228"/>
      <c r="CO295" s="228"/>
      <c r="CP295" s="228"/>
      <c r="CQ295" s="228"/>
      <c r="CR295" s="228"/>
      <c r="CS295" s="228"/>
      <c r="CT295" s="228"/>
      <c r="CU295" s="228"/>
      <c r="CV295" s="228"/>
      <c r="CW295" s="228"/>
      <c r="CX295" s="228"/>
      <c r="CY295" s="228"/>
      <c r="CZ295" s="228"/>
      <c r="DA295" s="228"/>
      <c r="DB295" s="228"/>
    </row>
    <row r="296" ht="12.0" customHeight="1">
      <c r="A296" s="228"/>
      <c r="B296" s="228"/>
      <c r="C296" s="228"/>
      <c r="D296" s="228"/>
      <c r="E296" s="228"/>
      <c r="F296" s="228"/>
      <c r="G296" s="228"/>
      <c r="H296" s="228"/>
      <c r="I296" s="228"/>
      <c r="J296" s="228"/>
      <c r="K296" s="228"/>
      <c r="L296" s="228"/>
      <c r="M296" s="228"/>
      <c r="N296" s="228"/>
      <c r="O296" s="228"/>
      <c r="P296" s="228"/>
      <c r="Q296" s="228"/>
      <c r="R296" s="228"/>
      <c r="S296" s="228"/>
      <c r="T296" s="228"/>
      <c r="U296" s="228"/>
      <c r="V296" s="228"/>
      <c r="W296" s="228"/>
      <c r="X296" s="228"/>
      <c r="Y296" s="228"/>
      <c r="Z296" s="228"/>
      <c r="AA296" s="228"/>
      <c r="AB296" s="228"/>
      <c r="AC296" s="228"/>
      <c r="AD296" s="228"/>
      <c r="AE296" s="228"/>
      <c r="AF296" s="228"/>
      <c r="AG296" s="228"/>
      <c r="AH296" s="228"/>
      <c r="AI296" s="228"/>
      <c r="AJ296" s="228"/>
      <c r="AK296" s="228"/>
      <c r="AL296" s="228"/>
      <c r="AM296" s="228"/>
      <c r="AN296" s="228"/>
      <c r="AO296" s="228"/>
      <c r="AP296" s="228"/>
      <c r="AQ296" s="228"/>
      <c r="AR296" s="228"/>
      <c r="AS296" s="228"/>
      <c r="AT296" s="228"/>
      <c r="AU296" s="228"/>
      <c r="AV296" s="228"/>
      <c r="AW296" s="228"/>
      <c r="AX296" s="228"/>
      <c r="AY296" s="228"/>
      <c r="AZ296" s="228"/>
      <c r="BA296" s="228"/>
      <c r="BB296" s="228"/>
      <c r="BC296" s="228"/>
      <c r="BD296" s="228"/>
      <c r="BE296" s="228"/>
      <c r="BF296" s="228"/>
      <c r="BG296" s="228"/>
      <c r="BH296" s="228"/>
      <c r="BI296" s="228"/>
      <c r="BJ296" s="228"/>
      <c r="BK296" s="228"/>
      <c r="BL296" s="228"/>
      <c r="BM296" s="228"/>
      <c r="BN296" s="228"/>
      <c r="BO296" s="228"/>
      <c r="BP296" s="228"/>
      <c r="BQ296" s="228"/>
      <c r="BR296" s="228"/>
      <c r="BS296" s="228"/>
      <c r="BT296" s="228"/>
      <c r="BU296" s="228"/>
      <c r="BV296" s="228"/>
      <c r="BW296" s="228"/>
      <c r="BX296" s="228"/>
      <c r="BY296" s="228"/>
      <c r="BZ296" s="228"/>
      <c r="CA296" s="228"/>
      <c r="CB296" s="228"/>
      <c r="CC296" s="228"/>
      <c r="CD296" s="228"/>
      <c r="CE296" s="228"/>
      <c r="CF296" s="228"/>
      <c r="CG296" s="228"/>
      <c r="CH296" s="228"/>
      <c r="CI296" s="228"/>
      <c r="CJ296" s="228"/>
      <c r="CK296" s="228"/>
      <c r="CL296" s="228"/>
      <c r="CM296" s="228"/>
      <c r="CN296" s="228"/>
      <c r="CO296" s="228"/>
      <c r="CP296" s="228"/>
      <c r="CQ296" s="228"/>
      <c r="CR296" s="228"/>
      <c r="CS296" s="228"/>
      <c r="CT296" s="228"/>
      <c r="CU296" s="228"/>
      <c r="CV296" s="228"/>
      <c r="CW296" s="228"/>
      <c r="CX296" s="228"/>
      <c r="CY296" s="228"/>
      <c r="CZ296" s="228"/>
      <c r="DA296" s="228"/>
      <c r="DB296" s="228"/>
    </row>
    <row r="297" ht="12.0" customHeight="1">
      <c r="A297" s="228"/>
      <c r="B297" s="228"/>
      <c r="C297" s="228"/>
      <c r="D297" s="228"/>
      <c r="E297" s="228"/>
      <c r="F297" s="228"/>
      <c r="G297" s="228"/>
      <c r="H297" s="228"/>
      <c r="I297" s="228"/>
      <c r="J297" s="228"/>
      <c r="K297" s="228"/>
      <c r="L297" s="228"/>
      <c r="M297" s="228"/>
      <c r="N297" s="228"/>
      <c r="O297" s="228"/>
      <c r="P297" s="228"/>
      <c r="Q297" s="228"/>
      <c r="R297" s="228"/>
      <c r="S297" s="228"/>
      <c r="T297" s="228"/>
      <c r="U297" s="228"/>
      <c r="V297" s="228"/>
      <c r="W297" s="228"/>
      <c r="X297" s="228"/>
      <c r="Y297" s="228"/>
      <c r="Z297" s="228"/>
      <c r="AA297" s="228"/>
      <c r="AB297" s="228"/>
      <c r="AC297" s="228"/>
      <c r="AD297" s="228"/>
      <c r="AE297" s="228"/>
      <c r="AF297" s="228"/>
      <c r="AG297" s="228"/>
      <c r="AH297" s="228"/>
      <c r="AI297" s="228"/>
      <c r="AJ297" s="228"/>
      <c r="AK297" s="228"/>
      <c r="AL297" s="228"/>
      <c r="AM297" s="228"/>
      <c r="AN297" s="228"/>
      <c r="AO297" s="228"/>
      <c r="AP297" s="228"/>
      <c r="AQ297" s="228"/>
      <c r="AR297" s="228"/>
      <c r="AS297" s="228"/>
      <c r="AT297" s="228"/>
      <c r="AU297" s="228"/>
      <c r="AV297" s="228"/>
      <c r="AW297" s="228"/>
      <c r="AX297" s="228"/>
      <c r="AY297" s="228"/>
      <c r="AZ297" s="228"/>
      <c r="BA297" s="228"/>
      <c r="BB297" s="228"/>
      <c r="BC297" s="228"/>
      <c r="BD297" s="228"/>
      <c r="BE297" s="228"/>
      <c r="BF297" s="228"/>
      <c r="BG297" s="228"/>
      <c r="BH297" s="228"/>
      <c r="BI297" s="228"/>
      <c r="BJ297" s="228"/>
      <c r="BK297" s="228"/>
      <c r="BL297" s="228"/>
      <c r="BM297" s="228"/>
      <c r="BN297" s="228"/>
      <c r="BO297" s="228"/>
      <c r="BP297" s="228"/>
      <c r="BQ297" s="228"/>
      <c r="BR297" s="228"/>
      <c r="BS297" s="228"/>
      <c r="BT297" s="228"/>
      <c r="BU297" s="228"/>
      <c r="BV297" s="228"/>
      <c r="BW297" s="228"/>
      <c r="BX297" s="228"/>
      <c r="BY297" s="228"/>
      <c r="BZ297" s="228"/>
      <c r="CA297" s="228"/>
      <c r="CB297" s="228"/>
      <c r="CC297" s="228"/>
      <c r="CD297" s="228"/>
      <c r="CE297" s="228"/>
      <c r="CF297" s="228"/>
      <c r="CG297" s="228"/>
      <c r="CH297" s="228"/>
      <c r="CI297" s="228"/>
      <c r="CJ297" s="228"/>
      <c r="CK297" s="228"/>
      <c r="CL297" s="228"/>
      <c r="CM297" s="228"/>
      <c r="CN297" s="228"/>
      <c r="CO297" s="228"/>
      <c r="CP297" s="228"/>
      <c r="CQ297" s="228"/>
      <c r="CR297" s="228"/>
      <c r="CS297" s="228"/>
      <c r="CT297" s="228"/>
      <c r="CU297" s="228"/>
      <c r="CV297" s="228"/>
      <c r="CW297" s="228"/>
      <c r="CX297" s="228"/>
      <c r="CY297" s="228"/>
      <c r="CZ297" s="228"/>
      <c r="DA297" s="228"/>
      <c r="DB297" s="228"/>
    </row>
    <row r="298" ht="12.0" customHeight="1">
      <c r="A298" s="228"/>
      <c r="B298" s="228"/>
      <c r="C298" s="228"/>
      <c r="D298" s="228"/>
      <c r="E298" s="228"/>
      <c r="F298" s="228"/>
      <c r="G298" s="228"/>
      <c r="H298" s="228"/>
      <c r="I298" s="228"/>
      <c r="J298" s="228"/>
      <c r="K298" s="228"/>
      <c r="L298" s="228"/>
      <c r="M298" s="228"/>
      <c r="N298" s="228"/>
      <c r="O298" s="228"/>
      <c r="P298" s="228"/>
      <c r="Q298" s="228"/>
      <c r="R298" s="228"/>
      <c r="S298" s="228"/>
      <c r="T298" s="228"/>
      <c r="U298" s="228"/>
      <c r="V298" s="228"/>
      <c r="W298" s="228"/>
      <c r="X298" s="228"/>
      <c r="Y298" s="228"/>
      <c r="Z298" s="228"/>
      <c r="AA298" s="228"/>
      <c r="AB298" s="228"/>
      <c r="AC298" s="228"/>
      <c r="AD298" s="228"/>
      <c r="AE298" s="228"/>
      <c r="AF298" s="228"/>
      <c r="AG298" s="228"/>
      <c r="AH298" s="228"/>
      <c r="AI298" s="228"/>
      <c r="AJ298" s="228"/>
      <c r="AK298" s="228"/>
      <c r="AL298" s="228"/>
      <c r="AM298" s="228"/>
      <c r="AN298" s="228"/>
      <c r="AO298" s="228"/>
      <c r="AP298" s="228"/>
      <c r="AQ298" s="228"/>
      <c r="AR298" s="228"/>
      <c r="AS298" s="228"/>
      <c r="AT298" s="228"/>
      <c r="AU298" s="228"/>
      <c r="AV298" s="228"/>
      <c r="AW298" s="228"/>
      <c r="AX298" s="228"/>
      <c r="AY298" s="228"/>
      <c r="AZ298" s="228"/>
      <c r="BA298" s="228"/>
      <c r="BB298" s="228"/>
      <c r="BC298" s="228"/>
      <c r="BD298" s="228"/>
      <c r="BE298" s="228"/>
      <c r="BF298" s="228"/>
      <c r="BG298" s="228"/>
      <c r="BH298" s="228"/>
      <c r="BI298" s="228"/>
      <c r="BJ298" s="228"/>
      <c r="BK298" s="228"/>
      <c r="BL298" s="228"/>
      <c r="BM298" s="228"/>
      <c r="BN298" s="228"/>
      <c r="BO298" s="228"/>
      <c r="BP298" s="228"/>
      <c r="BQ298" s="228"/>
      <c r="BR298" s="228"/>
      <c r="BS298" s="228"/>
      <c r="BT298" s="228"/>
      <c r="BU298" s="228"/>
      <c r="BV298" s="228"/>
      <c r="BW298" s="228"/>
      <c r="BX298" s="228"/>
      <c r="BY298" s="228"/>
      <c r="BZ298" s="228"/>
      <c r="CA298" s="228"/>
      <c r="CB298" s="228"/>
      <c r="CC298" s="228"/>
      <c r="CD298" s="228"/>
      <c r="CE298" s="228"/>
      <c r="CF298" s="228"/>
      <c r="CG298" s="228"/>
      <c r="CH298" s="228"/>
      <c r="CI298" s="228"/>
      <c r="CJ298" s="228"/>
      <c r="CK298" s="228"/>
      <c r="CL298" s="228"/>
      <c r="CM298" s="228"/>
      <c r="CN298" s="228"/>
      <c r="CO298" s="228"/>
      <c r="CP298" s="228"/>
      <c r="CQ298" s="228"/>
      <c r="CR298" s="228"/>
      <c r="CS298" s="228"/>
      <c r="CT298" s="228"/>
      <c r="CU298" s="228"/>
      <c r="CV298" s="228"/>
      <c r="CW298" s="228"/>
      <c r="CX298" s="228"/>
      <c r="CY298" s="228"/>
      <c r="CZ298" s="228"/>
      <c r="DA298" s="228"/>
      <c r="DB298" s="228"/>
    </row>
    <row r="299" ht="12.0" customHeight="1">
      <c r="A299" s="228"/>
      <c r="B299" s="228"/>
      <c r="C299" s="228"/>
      <c r="D299" s="228"/>
      <c r="E299" s="228"/>
      <c r="F299" s="228"/>
      <c r="G299" s="228"/>
      <c r="H299" s="228"/>
      <c r="I299" s="228"/>
      <c r="J299" s="228"/>
      <c r="K299" s="228"/>
      <c r="L299" s="228"/>
      <c r="M299" s="228"/>
      <c r="N299" s="228"/>
      <c r="O299" s="228"/>
      <c r="P299" s="228"/>
      <c r="Q299" s="228"/>
      <c r="R299" s="228"/>
      <c r="S299" s="228"/>
      <c r="T299" s="228"/>
      <c r="U299" s="228"/>
      <c r="V299" s="228"/>
      <c r="W299" s="228"/>
      <c r="X299" s="228"/>
      <c r="Y299" s="228"/>
      <c r="Z299" s="228"/>
      <c r="AA299" s="228"/>
      <c r="AB299" s="228"/>
      <c r="AC299" s="228"/>
      <c r="AD299" s="228"/>
      <c r="AE299" s="228"/>
      <c r="AF299" s="228"/>
      <c r="AG299" s="228"/>
      <c r="AH299" s="228"/>
      <c r="AI299" s="228"/>
      <c r="AJ299" s="228"/>
      <c r="AK299" s="228"/>
      <c r="AL299" s="228"/>
      <c r="AM299" s="228"/>
      <c r="AN299" s="228"/>
      <c r="AO299" s="228"/>
      <c r="AP299" s="228"/>
      <c r="AQ299" s="228"/>
      <c r="AR299" s="228"/>
      <c r="AS299" s="228"/>
      <c r="AT299" s="228"/>
      <c r="AU299" s="228"/>
      <c r="AV299" s="228"/>
      <c r="AW299" s="228"/>
      <c r="AX299" s="228"/>
      <c r="AY299" s="228"/>
      <c r="AZ299" s="228"/>
      <c r="BA299" s="228"/>
      <c r="BB299" s="228"/>
      <c r="BC299" s="228"/>
      <c r="BD299" s="228"/>
      <c r="BE299" s="228"/>
      <c r="BF299" s="228"/>
      <c r="BG299" s="228"/>
      <c r="BH299" s="228"/>
      <c r="BI299" s="228"/>
      <c r="BJ299" s="228"/>
      <c r="BK299" s="228"/>
      <c r="BL299" s="228"/>
      <c r="BM299" s="228"/>
      <c r="BN299" s="228"/>
      <c r="BO299" s="228"/>
      <c r="BP299" s="228"/>
      <c r="BQ299" s="228"/>
      <c r="BR299" s="228"/>
      <c r="BS299" s="228"/>
      <c r="BT299" s="228"/>
      <c r="BU299" s="228"/>
      <c r="BV299" s="228"/>
      <c r="BW299" s="228"/>
      <c r="BX299" s="228"/>
      <c r="BY299" s="228"/>
      <c r="BZ299" s="228"/>
      <c r="CA299" s="228"/>
      <c r="CB299" s="228"/>
      <c r="CC299" s="228"/>
      <c r="CD299" s="228"/>
      <c r="CE299" s="228"/>
      <c r="CF299" s="228"/>
      <c r="CG299" s="228"/>
      <c r="CH299" s="228"/>
      <c r="CI299" s="228"/>
      <c r="CJ299" s="228"/>
      <c r="CK299" s="228"/>
      <c r="CL299" s="228"/>
      <c r="CM299" s="228"/>
      <c r="CN299" s="228"/>
      <c r="CO299" s="228"/>
      <c r="CP299" s="228"/>
      <c r="CQ299" s="228"/>
      <c r="CR299" s="228"/>
      <c r="CS299" s="228"/>
      <c r="CT299" s="228"/>
      <c r="CU299" s="228"/>
      <c r="CV299" s="228"/>
      <c r="CW299" s="228"/>
      <c r="CX299" s="228"/>
      <c r="CY299" s="228"/>
      <c r="CZ299" s="228"/>
      <c r="DA299" s="228"/>
      <c r="DB299" s="228"/>
    </row>
    <row r="300" ht="12.0" customHeight="1">
      <c r="A300" s="228"/>
      <c r="B300" s="228"/>
      <c r="C300" s="228"/>
      <c r="D300" s="228"/>
      <c r="E300" s="228"/>
      <c r="F300" s="228"/>
      <c r="G300" s="228"/>
      <c r="H300" s="228"/>
      <c r="I300" s="228"/>
      <c r="J300" s="228"/>
      <c r="K300" s="228"/>
      <c r="L300" s="228"/>
      <c r="M300" s="228"/>
      <c r="N300" s="228"/>
      <c r="O300" s="228"/>
      <c r="P300" s="228"/>
      <c r="Q300" s="228"/>
      <c r="R300" s="228"/>
      <c r="S300" s="228"/>
      <c r="T300" s="228"/>
      <c r="U300" s="228"/>
      <c r="V300" s="228"/>
      <c r="W300" s="228"/>
      <c r="X300" s="228"/>
      <c r="Y300" s="228"/>
      <c r="Z300" s="228"/>
      <c r="AA300" s="228"/>
      <c r="AB300" s="228"/>
      <c r="AC300" s="228"/>
      <c r="AD300" s="228"/>
      <c r="AE300" s="228"/>
      <c r="AF300" s="228"/>
      <c r="AG300" s="228"/>
      <c r="AH300" s="228"/>
      <c r="AI300" s="228"/>
      <c r="AJ300" s="228"/>
      <c r="AK300" s="228"/>
      <c r="AL300" s="228"/>
      <c r="AM300" s="228"/>
      <c r="AN300" s="228"/>
      <c r="AO300" s="228"/>
      <c r="AP300" s="228"/>
      <c r="AQ300" s="228"/>
      <c r="AR300" s="228"/>
      <c r="AS300" s="228"/>
      <c r="AT300" s="228"/>
      <c r="AU300" s="228"/>
      <c r="AV300" s="228"/>
      <c r="AW300" s="228"/>
      <c r="AX300" s="228"/>
      <c r="AY300" s="228"/>
      <c r="AZ300" s="228"/>
      <c r="BA300" s="228"/>
      <c r="BB300" s="228"/>
      <c r="BC300" s="228"/>
      <c r="BD300" s="228"/>
      <c r="BE300" s="228"/>
      <c r="BF300" s="228"/>
      <c r="BG300" s="228"/>
      <c r="BH300" s="228"/>
      <c r="BI300" s="228"/>
      <c r="BJ300" s="228"/>
      <c r="BK300" s="228"/>
      <c r="BL300" s="228"/>
      <c r="BM300" s="228"/>
      <c r="BN300" s="228"/>
      <c r="BO300" s="228"/>
      <c r="BP300" s="228"/>
      <c r="BQ300" s="228"/>
      <c r="BR300" s="228"/>
      <c r="BS300" s="228"/>
      <c r="BT300" s="228"/>
      <c r="BU300" s="228"/>
      <c r="BV300" s="228"/>
      <c r="BW300" s="228"/>
      <c r="BX300" s="228"/>
      <c r="BY300" s="228"/>
      <c r="BZ300" s="228"/>
      <c r="CA300" s="228"/>
      <c r="CB300" s="228"/>
      <c r="CC300" s="228"/>
      <c r="CD300" s="228"/>
      <c r="CE300" s="228"/>
      <c r="CF300" s="228"/>
      <c r="CG300" s="228"/>
      <c r="CH300" s="228"/>
      <c r="CI300" s="228"/>
      <c r="CJ300" s="228"/>
      <c r="CK300" s="228"/>
      <c r="CL300" s="228"/>
      <c r="CM300" s="228"/>
      <c r="CN300" s="228"/>
      <c r="CO300" s="228"/>
      <c r="CP300" s="228"/>
      <c r="CQ300" s="228"/>
      <c r="CR300" s="228"/>
      <c r="CS300" s="228"/>
      <c r="CT300" s="228"/>
      <c r="CU300" s="228"/>
      <c r="CV300" s="228"/>
      <c r="CW300" s="228"/>
      <c r="CX300" s="228"/>
      <c r="CY300" s="228"/>
      <c r="CZ300" s="228"/>
      <c r="DA300" s="228"/>
      <c r="DB300" s="228"/>
    </row>
    <row r="301" ht="12.0" customHeight="1">
      <c r="A301" s="228"/>
      <c r="B301" s="228"/>
      <c r="C301" s="228"/>
      <c r="D301" s="228"/>
      <c r="E301" s="228"/>
      <c r="F301" s="228"/>
      <c r="G301" s="228"/>
      <c r="H301" s="228"/>
      <c r="I301" s="228"/>
      <c r="J301" s="228"/>
      <c r="K301" s="228"/>
      <c r="L301" s="228"/>
      <c r="M301" s="228"/>
      <c r="N301" s="228"/>
      <c r="O301" s="228"/>
      <c r="P301" s="228"/>
      <c r="Q301" s="228"/>
      <c r="R301" s="228"/>
      <c r="S301" s="228"/>
      <c r="T301" s="228"/>
      <c r="U301" s="228"/>
      <c r="V301" s="228"/>
      <c r="W301" s="228"/>
      <c r="X301" s="228"/>
      <c r="Y301" s="228"/>
      <c r="Z301" s="228"/>
      <c r="AA301" s="228"/>
      <c r="AB301" s="228"/>
      <c r="AC301" s="228"/>
      <c r="AD301" s="228"/>
      <c r="AE301" s="228"/>
      <c r="AF301" s="228"/>
      <c r="AG301" s="228"/>
      <c r="AH301" s="228"/>
      <c r="AI301" s="228"/>
      <c r="AJ301" s="228"/>
      <c r="AK301" s="228"/>
      <c r="AL301" s="228"/>
      <c r="AM301" s="228"/>
      <c r="AN301" s="228"/>
      <c r="AO301" s="228"/>
      <c r="AP301" s="228"/>
      <c r="AQ301" s="228"/>
      <c r="AR301" s="228"/>
      <c r="AS301" s="228"/>
      <c r="AT301" s="228"/>
      <c r="AU301" s="228"/>
      <c r="AV301" s="228"/>
      <c r="AW301" s="228"/>
      <c r="AX301" s="228"/>
      <c r="AY301" s="228"/>
      <c r="AZ301" s="228"/>
      <c r="BA301" s="228"/>
      <c r="BB301" s="228"/>
      <c r="BC301" s="228"/>
      <c r="BD301" s="228"/>
      <c r="BE301" s="228"/>
      <c r="BF301" s="228"/>
      <c r="BG301" s="228"/>
      <c r="BH301" s="228"/>
      <c r="BI301" s="228"/>
      <c r="BJ301" s="228"/>
      <c r="BK301" s="228"/>
      <c r="BL301" s="228"/>
      <c r="BM301" s="228"/>
      <c r="BN301" s="228"/>
      <c r="BO301" s="228"/>
      <c r="BP301" s="228"/>
      <c r="BQ301" s="228"/>
      <c r="BR301" s="228"/>
      <c r="BS301" s="228"/>
      <c r="BT301" s="228"/>
      <c r="BU301" s="228"/>
      <c r="BV301" s="228"/>
      <c r="BW301" s="228"/>
      <c r="BX301" s="228"/>
      <c r="BY301" s="228"/>
      <c r="BZ301" s="228"/>
      <c r="CA301" s="228"/>
      <c r="CB301" s="228"/>
      <c r="CC301" s="228"/>
      <c r="CD301" s="228"/>
      <c r="CE301" s="228"/>
      <c r="CF301" s="228"/>
      <c r="CG301" s="228"/>
      <c r="CH301" s="228"/>
      <c r="CI301" s="228"/>
      <c r="CJ301" s="228"/>
      <c r="CK301" s="228"/>
      <c r="CL301" s="228"/>
      <c r="CM301" s="228"/>
      <c r="CN301" s="228"/>
      <c r="CO301" s="228"/>
      <c r="CP301" s="228"/>
      <c r="CQ301" s="228"/>
      <c r="CR301" s="228"/>
      <c r="CS301" s="228"/>
      <c r="CT301" s="228"/>
      <c r="CU301" s="228"/>
      <c r="CV301" s="228"/>
      <c r="CW301" s="228"/>
      <c r="CX301" s="228"/>
      <c r="CY301" s="228"/>
      <c r="CZ301" s="228"/>
      <c r="DA301" s="228"/>
      <c r="DB301" s="228"/>
    </row>
    <row r="302" ht="12.0" customHeight="1">
      <c r="A302" s="228"/>
      <c r="B302" s="228"/>
      <c r="C302" s="228"/>
      <c r="D302" s="228"/>
      <c r="E302" s="228"/>
      <c r="F302" s="228"/>
      <c r="G302" s="228"/>
      <c r="H302" s="228"/>
      <c r="I302" s="228"/>
      <c r="J302" s="228"/>
      <c r="K302" s="228"/>
      <c r="L302" s="228"/>
      <c r="M302" s="228"/>
      <c r="N302" s="228"/>
      <c r="O302" s="228"/>
      <c r="P302" s="228"/>
      <c r="Q302" s="228"/>
      <c r="R302" s="228"/>
      <c r="S302" s="228"/>
      <c r="T302" s="228"/>
      <c r="U302" s="228"/>
      <c r="V302" s="228"/>
      <c r="W302" s="228"/>
      <c r="X302" s="228"/>
      <c r="Y302" s="228"/>
      <c r="Z302" s="228"/>
      <c r="AA302" s="228"/>
      <c r="AB302" s="228"/>
      <c r="AC302" s="228"/>
      <c r="AD302" s="228"/>
      <c r="AE302" s="228"/>
      <c r="AF302" s="228"/>
      <c r="AG302" s="228"/>
      <c r="AH302" s="228"/>
      <c r="AI302" s="228"/>
      <c r="AJ302" s="228"/>
      <c r="AK302" s="228"/>
      <c r="AL302" s="228"/>
      <c r="AM302" s="228"/>
      <c r="AN302" s="228"/>
      <c r="AO302" s="228"/>
      <c r="AP302" s="228"/>
      <c r="AQ302" s="228"/>
      <c r="AR302" s="228"/>
      <c r="AS302" s="228"/>
      <c r="AT302" s="228"/>
      <c r="AU302" s="228"/>
      <c r="AV302" s="228"/>
      <c r="AW302" s="228"/>
      <c r="AX302" s="228"/>
      <c r="AY302" s="228"/>
      <c r="AZ302" s="228"/>
      <c r="BA302" s="228"/>
      <c r="BB302" s="228"/>
      <c r="BC302" s="228"/>
      <c r="BD302" s="228"/>
      <c r="BE302" s="228"/>
      <c r="BF302" s="228"/>
      <c r="BG302" s="228"/>
      <c r="BH302" s="228"/>
      <c r="BI302" s="228"/>
      <c r="BJ302" s="228"/>
      <c r="BK302" s="228"/>
      <c r="BL302" s="228"/>
      <c r="BM302" s="228"/>
      <c r="BN302" s="228"/>
      <c r="BO302" s="228"/>
      <c r="BP302" s="228"/>
      <c r="BQ302" s="228"/>
      <c r="BR302" s="228"/>
      <c r="BS302" s="228"/>
      <c r="BT302" s="228"/>
      <c r="BU302" s="228"/>
      <c r="BV302" s="228"/>
      <c r="BW302" s="228"/>
      <c r="BX302" s="228"/>
      <c r="BY302" s="228"/>
      <c r="BZ302" s="228"/>
      <c r="CA302" s="228"/>
      <c r="CB302" s="228"/>
      <c r="CC302" s="228"/>
      <c r="CD302" s="228"/>
      <c r="CE302" s="228"/>
      <c r="CF302" s="228"/>
      <c r="CG302" s="228"/>
      <c r="CH302" s="228"/>
      <c r="CI302" s="228"/>
      <c r="CJ302" s="228"/>
      <c r="CK302" s="228"/>
      <c r="CL302" s="228"/>
      <c r="CM302" s="228"/>
      <c r="CN302" s="228"/>
      <c r="CO302" s="228"/>
      <c r="CP302" s="228"/>
      <c r="CQ302" s="228"/>
      <c r="CR302" s="228"/>
      <c r="CS302" s="228"/>
      <c r="CT302" s="228"/>
      <c r="CU302" s="228"/>
      <c r="CV302" s="228"/>
      <c r="CW302" s="228"/>
      <c r="CX302" s="228"/>
      <c r="CY302" s="228"/>
      <c r="CZ302" s="228"/>
      <c r="DA302" s="228"/>
      <c r="DB302" s="228"/>
    </row>
    <row r="303" ht="12.0" customHeight="1">
      <c r="A303" s="228"/>
      <c r="B303" s="228"/>
      <c r="C303" s="228"/>
      <c r="D303" s="228"/>
      <c r="E303" s="228"/>
      <c r="F303" s="228"/>
      <c r="G303" s="228"/>
      <c r="H303" s="228"/>
      <c r="I303" s="228"/>
      <c r="J303" s="228"/>
      <c r="K303" s="228"/>
      <c r="L303" s="228"/>
      <c r="M303" s="228"/>
      <c r="N303" s="228"/>
      <c r="O303" s="228"/>
      <c r="P303" s="228"/>
      <c r="Q303" s="228"/>
      <c r="R303" s="228"/>
      <c r="S303" s="228"/>
      <c r="T303" s="228"/>
      <c r="U303" s="228"/>
      <c r="V303" s="228"/>
      <c r="W303" s="228"/>
      <c r="X303" s="228"/>
      <c r="Y303" s="228"/>
      <c r="Z303" s="228"/>
      <c r="AA303" s="228"/>
      <c r="AB303" s="228"/>
      <c r="AC303" s="228"/>
      <c r="AD303" s="228"/>
      <c r="AE303" s="228"/>
      <c r="AF303" s="228"/>
      <c r="AG303" s="228"/>
      <c r="AH303" s="228"/>
      <c r="AI303" s="228"/>
      <c r="AJ303" s="228"/>
      <c r="AK303" s="228"/>
      <c r="AL303" s="228"/>
      <c r="AM303" s="228"/>
      <c r="AN303" s="228"/>
      <c r="AO303" s="228"/>
      <c r="AP303" s="228"/>
      <c r="AQ303" s="228"/>
      <c r="AR303" s="228"/>
      <c r="AS303" s="228"/>
      <c r="AT303" s="228"/>
      <c r="AU303" s="228"/>
      <c r="AV303" s="228"/>
      <c r="AW303" s="228"/>
      <c r="AX303" s="228"/>
      <c r="AY303" s="228"/>
      <c r="AZ303" s="228"/>
      <c r="BA303" s="228"/>
      <c r="BB303" s="228"/>
      <c r="BC303" s="228"/>
      <c r="BD303" s="228"/>
      <c r="BE303" s="228"/>
      <c r="BF303" s="228"/>
      <c r="BG303" s="228"/>
      <c r="BH303" s="228"/>
      <c r="BI303" s="228"/>
      <c r="BJ303" s="228"/>
      <c r="BK303" s="228"/>
      <c r="BL303" s="228"/>
      <c r="BM303" s="228"/>
      <c r="BN303" s="228"/>
      <c r="BO303" s="228"/>
      <c r="BP303" s="228"/>
      <c r="BQ303" s="228"/>
      <c r="BR303" s="228"/>
      <c r="BS303" s="228"/>
      <c r="BT303" s="228"/>
      <c r="BU303" s="228"/>
      <c r="BV303" s="228"/>
      <c r="BW303" s="228"/>
      <c r="BX303" s="228"/>
      <c r="BY303" s="228"/>
      <c r="BZ303" s="228"/>
      <c r="CA303" s="228"/>
      <c r="CB303" s="228"/>
      <c r="CC303" s="228"/>
      <c r="CD303" s="228"/>
      <c r="CE303" s="228"/>
      <c r="CF303" s="228"/>
      <c r="CG303" s="228"/>
      <c r="CH303" s="228"/>
      <c r="CI303" s="228"/>
      <c r="CJ303" s="228"/>
      <c r="CK303" s="228"/>
      <c r="CL303" s="228"/>
      <c r="CM303" s="228"/>
      <c r="CN303" s="228"/>
      <c r="CO303" s="228"/>
      <c r="CP303" s="228"/>
      <c r="CQ303" s="228"/>
      <c r="CR303" s="228"/>
      <c r="CS303" s="228"/>
      <c r="CT303" s="228"/>
      <c r="CU303" s="228"/>
      <c r="CV303" s="228"/>
      <c r="CW303" s="228"/>
      <c r="CX303" s="228"/>
      <c r="CY303" s="228"/>
      <c r="CZ303" s="228"/>
      <c r="DA303" s="228"/>
      <c r="DB303" s="228"/>
    </row>
    <row r="304" ht="12.0" customHeight="1">
      <c r="A304" s="228"/>
      <c r="B304" s="228"/>
      <c r="C304" s="228"/>
      <c r="D304" s="228"/>
      <c r="E304" s="228"/>
      <c r="F304" s="228"/>
      <c r="G304" s="228"/>
      <c r="H304" s="228"/>
      <c r="I304" s="228"/>
      <c r="J304" s="228"/>
      <c r="K304" s="228"/>
      <c r="L304" s="228"/>
      <c r="M304" s="228"/>
      <c r="N304" s="228"/>
      <c r="O304" s="228"/>
      <c r="P304" s="228"/>
      <c r="Q304" s="228"/>
      <c r="R304" s="228"/>
      <c r="S304" s="228"/>
      <c r="T304" s="228"/>
      <c r="U304" s="228"/>
      <c r="V304" s="228"/>
      <c r="W304" s="228"/>
      <c r="X304" s="228"/>
      <c r="Y304" s="228"/>
      <c r="Z304" s="228"/>
      <c r="AA304" s="228"/>
      <c r="AB304" s="228"/>
      <c r="AC304" s="228"/>
      <c r="AD304" s="228"/>
      <c r="AE304" s="228"/>
      <c r="AF304" s="228"/>
      <c r="AG304" s="228"/>
      <c r="AH304" s="228"/>
      <c r="AI304" s="228"/>
      <c r="AJ304" s="228"/>
      <c r="AK304" s="228"/>
      <c r="AL304" s="228"/>
      <c r="AM304" s="228"/>
      <c r="AN304" s="228"/>
      <c r="AO304" s="228"/>
      <c r="AP304" s="228"/>
      <c r="AQ304" s="228"/>
      <c r="AR304" s="228"/>
      <c r="AS304" s="228"/>
      <c r="AT304" s="228"/>
      <c r="AU304" s="228"/>
      <c r="AV304" s="228"/>
      <c r="AW304" s="228"/>
      <c r="AX304" s="228"/>
      <c r="AY304" s="228"/>
      <c r="AZ304" s="228"/>
      <c r="BA304" s="228"/>
      <c r="BB304" s="228"/>
      <c r="BC304" s="228"/>
      <c r="BD304" s="228"/>
      <c r="BE304" s="228"/>
      <c r="BF304" s="228"/>
      <c r="BG304" s="228"/>
      <c r="BH304" s="228"/>
      <c r="BI304" s="228"/>
      <c r="BJ304" s="228"/>
      <c r="BK304" s="228"/>
      <c r="BL304" s="228"/>
      <c r="BM304" s="228"/>
      <c r="BN304" s="228"/>
      <c r="BO304" s="228"/>
      <c r="BP304" s="228"/>
      <c r="BQ304" s="228"/>
      <c r="BR304" s="228"/>
      <c r="BS304" s="228"/>
      <c r="BT304" s="228"/>
      <c r="BU304" s="228"/>
      <c r="BV304" s="228"/>
      <c r="BW304" s="228"/>
      <c r="BX304" s="228"/>
      <c r="BY304" s="228"/>
      <c r="BZ304" s="228"/>
      <c r="CA304" s="228"/>
      <c r="CB304" s="228"/>
      <c r="CC304" s="228"/>
      <c r="CD304" s="228"/>
      <c r="CE304" s="228"/>
      <c r="CF304" s="228"/>
      <c r="CG304" s="228"/>
      <c r="CH304" s="228"/>
      <c r="CI304" s="228"/>
      <c r="CJ304" s="228"/>
      <c r="CK304" s="228"/>
      <c r="CL304" s="228"/>
      <c r="CM304" s="228"/>
      <c r="CN304" s="228"/>
      <c r="CO304" s="228"/>
      <c r="CP304" s="228"/>
      <c r="CQ304" s="228"/>
      <c r="CR304" s="228"/>
      <c r="CS304" s="228"/>
      <c r="CT304" s="228"/>
      <c r="CU304" s="228"/>
      <c r="CV304" s="228"/>
      <c r="CW304" s="228"/>
      <c r="CX304" s="228"/>
      <c r="CY304" s="228"/>
      <c r="CZ304" s="228"/>
      <c r="DA304" s="228"/>
      <c r="DB304" s="228"/>
    </row>
    <row r="305" ht="12.0" customHeight="1">
      <c r="A305" s="228"/>
      <c r="B305" s="228"/>
      <c r="C305" s="228"/>
      <c r="D305" s="228"/>
      <c r="E305" s="228"/>
      <c r="F305" s="228"/>
      <c r="G305" s="228"/>
      <c r="H305" s="228"/>
      <c r="I305" s="228"/>
      <c r="J305" s="228"/>
      <c r="K305" s="228"/>
      <c r="L305" s="228"/>
      <c r="M305" s="228"/>
      <c r="N305" s="228"/>
      <c r="O305" s="228"/>
      <c r="P305" s="228"/>
      <c r="Q305" s="228"/>
      <c r="R305" s="228"/>
      <c r="S305" s="228"/>
      <c r="T305" s="228"/>
      <c r="U305" s="228"/>
      <c r="V305" s="228"/>
      <c r="W305" s="228"/>
      <c r="X305" s="228"/>
      <c r="Y305" s="228"/>
      <c r="Z305" s="228"/>
      <c r="AA305" s="228"/>
      <c r="AB305" s="228"/>
      <c r="AC305" s="228"/>
      <c r="AD305" s="228"/>
      <c r="AE305" s="228"/>
      <c r="AF305" s="228"/>
      <c r="AG305" s="228"/>
      <c r="AH305" s="228"/>
      <c r="AI305" s="228"/>
      <c r="AJ305" s="228"/>
      <c r="AK305" s="228"/>
      <c r="AL305" s="228"/>
      <c r="AM305" s="228"/>
      <c r="AN305" s="228"/>
      <c r="AO305" s="228"/>
      <c r="AP305" s="228"/>
      <c r="AQ305" s="228"/>
      <c r="AR305" s="228"/>
      <c r="AS305" s="228"/>
      <c r="AT305" s="228"/>
      <c r="AU305" s="228"/>
      <c r="AV305" s="228"/>
      <c r="AW305" s="228"/>
      <c r="AX305" s="228"/>
      <c r="AY305" s="228"/>
      <c r="AZ305" s="228"/>
      <c r="BA305" s="228"/>
      <c r="BB305" s="228"/>
      <c r="BC305" s="228"/>
      <c r="BD305" s="228"/>
      <c r="BE305" s="228"/>
      <c r="BF305" s="228"/>
      <c r="BG305" s="228"/>
      <c r="BH305" s="228"/>
      <c r="BI305" s="228"/>
      <c r="BJ305" s="228"/>
      <c r="BK305" s="228"/>
      <c r="BL305" s="228"/>
      <c r="BM305" s="228"/>
      <c r="BN305" s="228"/>
      <c r="BO305" s="228"/>
      <c r="BP305" s="228"/>
      <c r="BQ305" s="228"/>
      <c r="BR305" s="228"/>
      <c r="BS305" s="228"/>
      <c r="BT305" s="228"/>
      <c r="BU305" s="228"/>
      <c r="BV305" s="228"/>
      <c r="BW305" s="228"/>
      <c r="BX305" s="228"/>
      <c r="BY305" s="228"/>
      <c r="BZ305" s="228"/>
      <c r="CA305" s="228"/>
      <c r="CB305" s="228"/>
      <c r="CC305" s="228"/>
      <c r="CD305" s="228"/>
      <c r="CE305" s="228"/>
      <c r="CF305" s="228"/>
      <c r="CG305" s="228"/>
      <c r="CH305" s="228"/>
      <c r="CI305" s="228"/>
      <c r="CJ305" s="228"/>
      <c r="CK305" s="228"/>
      <c r="CL305" s="228"/>
      <c r="CM305" s="228"/>
      <c r="CN305" s="228"/>
      <c r="CO305" s="228"/>
      <c r="CP305" s="228"/>
      <c r="CQ305" s="228"/>
      <c r="CR305" s="228"/>
      <c r="CS305" s="228"/>
      <c r="CT305" s="228"/>
      <c r="CU305" s="228"/>
      <c r="CV305" s="228"/>
      <c r="CW305" s="228"/>
      <c r="CX305" s="228"/>
      <c r="CY305" s="228"/>
      <c r="CZ305" s="228"/>
      <c r="DA305" s="228"/>
      <c r="DB305" s="228"/>
    </row>
    <row r="306" ht="12.0" customHeight="1">
      <c r="A306" s="228"/>
      <c r="B306" s="228"/>
      <c r="C306" s="228"/>
      <c r="D306" s="228"/>
      <c r="E306" s="228"/>
      <c r="F306" s="228"/>
      <c r="G306" s="228"/>
      <c r="H306" s="228"/>
      <c r="I306" s="228"/>
      <c r="J306" s="228"/>
      <c r="K306" s="228"/>
      <c r="L306" s="228"/>
      <c r="M306" s="228"/>
      <c r="N306" s="228"/>
      <c r="O306" s="228"/>
      <c r="P306" s="228"/>
      <c r="Q306" s="228"/>
      <c r="R306" s="228"/>
      <c r="S306" s="228"/>
      <c r="T306" s="228"/>
      <c r="U306" s="228"/>
      <c r="V306" s="228"/>
      <c r="W306" s="228"/>
      <c r="X306" s="228"/>
      <c r="Y306" s="228"/>
      <c r="Z306" s="228"/>
      <c r="AA306" s="228"/>
      <c r="AB306" s="228"/>
      <c r="AC306" s="228"/>
      <c r="AD306" s="228"/>
      <c r="AE306" s="228"/>
      <c r="AF306" s="228"/>
      <c r="AG306" s="228"/>
      <c r="AH306" s="228"/>
      <c r="AI306" s="228"/>
      <c r="AJ306" s="228"/>
      <c r="AK306" s="228"/>
      <c r="AL306" s="228"/>
      <c r="AM306" s="228"/>
      <c r="AN306" s="228"/>
      <c r="AO306" s="228"/>
      <c r="AP306" s="228"/>
      <c r="AQ306" s="228"/>
      <c r="AR306" s="228"/>
      <c r="AS306" s="228"/>
      <c r="AT306" s="228"/>
      <c r="AU306" s="228"/>
      <c r="AV306" s="228"/>
      <c r="AW306" s="228"/>
      <c r="AX306" s="228"/>
      <c r="AY306" s="228"/>
      <c r="AZ306" s="228"/>
      <c r="BA306" s="228"/>
      <c r="BB306" s="228"/>
      <c r="BC306" s="228"/>
      <c r="BD306" s="228"/>
      <c r="BE306" s="228"/>
      <c r="BF306" s="228"/>
      <c r="BG306" s="228"/>
      <c r="BH306" s="228"/>
      <c r="BI306" s="228"/>
      <c r="BJ306" s="228"/>
      <c r="BK306" s="228"/>
      <c r="BL306" s="228"/>
      <c r="BM306" s="228"/>
      <c r="BN306" s="228"/>
      <c r="BO306" s="228"/>
      <c r="BP306" s="228"/>
      <c r="BQ306" s="228"/>
      <c r="BR306" s="228"/>
      <c r="BS306" s="228"/>
      <c r="BT306" s="228"/>
      <c r="BU306" s="228"/>
      <c r="BV306" s="228"/>
      <c r="BW306" s="228"/>
      <c r="BX306" s="228"/>
      <c r="BY306" s="228"/>
      <c r="BZ306" s="228"/>
      <c r="CA306" s="228"/>
      <c r="CB306" s="228"/>
      <c r="CC306" s="228"/>
      <c r="CD306" s="228"/>
      <c r="CE306" s="228"/>
      <c r="CF306" s="228"/>
      <c r="CG306" s="228"/>
      <c r="CH306" s="228"/>
      <c r="CI306" s="228"/>
      <c r="CJ306" s="228"/>
      <c r="CK306" s="228"/>
      <c r="CL306" s="228"/>
      <c r="CM306" s="228"/>
      <c r="CN306" s="228"/>
      <c r="CO306" s="228"/>
      <c r="CP306" s="228"/>
      <c r="CQ306" s="228"/>
      <c r="CR306" s="228"/>
      <c r="CS306" s="228"/>
      <c r="CT306" s="228"/>
      <c r="CU306" s="228"/>
      <c r="CV306" s="228"/>
      <c r="CW306" s="228"/>
      <c r="CX306" s="228"/>
      <c r="CY306" s="228"/>
      <c r="CZ306" s="228"/>
      <c r="DA306" s="228"/>
      <c r="DB306" s="228"/>
    </row>
    <row r="307" ht="12.0" customHeight="1">
      <c r="A307" s="228"/>
      <c r="B307" s="228"/>
      <c r="C307" s="228"/>
      <c r="D307" s="228"/>
      <c r="E307" s="228"/>
      <c r="F307" s="228"/>
      <c r="G307" s="228"/>
      <c r="H307" s="228"/>
      <c r="I307" s="228"/>
      <c r="J307" s="228"/>
      <c r="K307" s="228"/>
      <c r="L307" s="228"/>
      <c r="M307" s="228"/>
      <c r="N307" s="228"/>
      <c r="O307" s="228"/>
      <c r="P307" s="228"/>
      <c r="Q307" s="228"/>
      <c r="R307" s="228"/>
      <c r="S307" s="228"/>
      <c r="T307" s="228"/>
      <c r="U307" s="228"/>
      <c r="V307" s="228"/>
      <c r="W307" s="228"/>
      <c r="X307" s="228"/>
      <c r="Y307" s="228"/>
      <c r="Z307" s="228"/>
      <c r="AA307" s="228"/>
      <c r="AB307" s="228"/>
      <c r="AC307" s="228"/>
      <c r="AD307" s="228"/>
      <c r="AE307" s="228"/>
      <c r="AF307" s="228"/>
      <c r="AG307" s="228"/>
      <c r="AH307" s="228"/>
      <c r="AI307" s="228"/>
      <c r="AJ307" s="228"/>
      <c r="AK307" s="228"/>
      <c r="AL307" s="228"/>
      <c r="AM307" s="228"/>
      <c r="AN307" s="228"/>
      <c r="AO307" s="228"/>
      <c r="AP307" s="228"/>
      <c r="AQ307" s="228"/>
      <c r="AR307" s="228"/>
      <c r="AS307" s="228"/>
      <c r="AT307" s="228"/>
      <c r="AU307" s="228"/>
      <c r="AV307" s="228"/>
      <c r="AW307" s="228"/>
      <c r="AX307" s="228"/>
      <c r="AY307" s="228"/>
      <c r="AZ307" s="228"/>
      <c r="BA307" s="228"/>
      <c r="BB307" s="228"/>
      <c r="BC307" s="228"/>
      <c r="BD307" s="228"/>
      <c r="BE307" s="228"/>
      <c r="BF307" s="228"/>
      <c r="BG307" s="228"/>
      <c r="BH307" s="228"/>
      <c r="BI307" s="228"/>
      <c r="BJ307" s="228"/>
      <c r="BK307" s="228"/>
      <c r="BL307" s="228"/>
      <c r="BM307" s="228"/>
      <c r="BN307" s="228"/>
      <c r="BO307" s="228"/>
      <c r="BP307" s="228"/>
      <c r="BQ307" s="228"/>
      <c r="BR307" s="228"/>
      <c r="BS307" s="228"/>
      <c r="BT307" s="228"/>
      <c r="BU307" s="228"/>
      <c r="BV307" s="228"/>
      <c r="BW307" s="228"/>
      <c r="BX307" s="228"/>
      <c r="BY307" s="228"/>
      <c r="BZ307" s="228"/>
      <c r="CA307" s="228"/>
      <c r="CB307" s="228"/>
      <c r="CC307" s="228"/>
      <c r="CD307" s="228"/>
      <c r="CE307" s="228"/>
      <c r="CF307" s="228"/>
      <c r="CG307" s="228"/>
      <c r="CH307" s="228"/>
      <c r="CI307" s="228"/>
      <c r="CJ307" s="228"/>
      <c r="CK307" s="228"/>
      <c r="CL307" s="228"/>
      <c r="CM307" s="228"/>
      <c r="CN307" s="228"/>
      <c r="CO307" s="228"/>
      <c r="CP307" s="228"/>
      <c r="CQ307" s="228"/>
      <c r="CR307" s="228"/>
      <c r="CS307" s="228"/>
      <c r="CT307" s="228"/>
      <c r="CU307" s="228"/>
      <c r="CV307" s="228"/>
      <c r="CW307" s="228"/>
      <c r="CX307" s="228"/>
      <c r="CY307" s="228"/>
      <c r="CZ307" s="228"/>
      <c r="DA307" s="228"/>
      <c r="DB307" s="228"/>
    </row>
    <row r="308" ht="12.0" customHeight="1">
      <c r="A308" s="228"/>
      <c r="B308" s="228"/>
      <c r="C308" s="228"/>
      <c r="D308" s="228"/>
      <c r="E308" s="228"/>
      <c r="F308" s="228"/>
      <c r="G308" s="228"/>
      <c r="H308" s="228"/>
      <c r="I308" s="228"/>
      <c r="J308" s="228"/>
      <c r="K308" s="228"/>
      <c r="L308" s="228"/>
      <c r="M308" s="228"/>
      <c r="N308" s="228"/>
      <c r="O308" s="228"/>
      <c r="P308" s="228"/>
      <c r="Q308" s="228"/>
      <c r="R308" s="228"/>
      <c r="S308" s="228"/>
      <c r="T308" s="228"/>
      <c r="U308" s="228"/>
      <c r="V308" s="228"/>
      <c r="W308" s="228"/>
      <c r="X308" s="228"/>
      <c r="Y308" s="228"/>
      <c r="Z308" s="228"/>
      <c r="AA308" s="228"/>
      <c r="AB308" s="228"/>
      <c r="AC308" s="228"/>
      <c r="AD308" s="228"/>
      <c r="AE308" s="228"/>
      <c r="AF308" s="228"/>
      <c r="AG308" s="228"/>
      <c r="AH308" s="228"/>
      <c r="AI308" s="228"/>
      <c r="AJ308" s="228"/>
      <c r="AK308" s="228"/>
      <c r="AL308" s="228"/>
      <c r="AM308" s="228"/>
      <c r="AN308" s="228"/>
      <c r="AO308" s="228"/>
      <c r="AP308" s="228"/>
      <c r="AQ308" s="228"/>
      <c r="AR308" s="228"/>
      <c r="AS308" s="228"/>
      <c r="AT308" s="228"/>
      <c r="AU308" s="228"/>
      <c r="AV308" s="228"/>
      <c r="AW308" s="228"/>
      <c r="AX308" s="228"/>
      <c r="AY308" s="228"/>
      <c r="AZ308" s="228"/>
      <c r="BA308" s="228"/>
      <c r="BB308" s="228"/>
      <c r="BC308" s="228"/>
      <c r="BD308" s="228"/>
      <c r="BE308" s="228"/>
      <c r="BF308" s="228"/>
      <c r="BG308" s="228"/>
      <c r="BH308" s="228"/>
      <c r="BI308" s="228"/>
      <c r="BJ308" s="228"/>
      <c r="BK308" s="228"/>
      <c r="BL308" s="228"/>
      <c r="BM308" s="228"/>
      <c r="BN308" s="228"/>
      <c r="BO308" s="228"/>
      <c r="BP308" s="228"/>
      <c r="BQ308" s="228"/>
      <c r="BR308" s="228"/>
      <c r="BS308" s="228"/>
      <c r="BT308" s="228"/>
      <c r="BU308" s="228"/>
      <c r="BV308" s="228"/>
      <c r="BW308" s="228"/>
      <c r="BX308" s="228"/>
      <c r="BY308" s="228"/>
      <c r="BZ308" s="228"/>
      <c r="CA308" s="228"/>
      <c r="CB308" s="228"/>
      <c r="CC308" s="228"/>
      <c r="CD308" s="228"/>
      <c r="CE308" s="228"/>
      <c r="CF308" s="228"/>
      <c r="CG308" s="228"/>
      <c r="CH308" s="228"/>
      <c r="CI308" s="228"/>
      <c r="CJ308" s="228"/>
      <c r="CK308" s="228"/>
      <c r="CL308" s="228"/>
      <c r="CM308" s="228"/>
      <c r="CN308" s="228"/>
      <c r="CO308" s="228"/>
      <c r="CP308" s="228"/>
      <c r="CQ308" s="228"/>
      <c r="CR308" s="228"/>
      <c r="CS308" s="228"/>
      <c r="CT308" s="228"/>
      <c r="CU308" s="228"/>
      <c r="CV308" s="228"/>
      <c r="CW308" s="228"/>
      <c r="CX308" s="228"/>
      <c r="CY308" s="228"/>
      <c r="CZ308" s="228"/>
      <c r="DA308" s="228"/>
      <c r="DB308" s="228"/>
    </row>
    <row r="309" ht="12.0" customHeight="1">
      <c r="A309" s="228"/>
      <c r="B309" s="228"/>
      <c r="C309" s="228"/>
      <c r="D309" s="228"/>
      <c r="E309" s="228"/>
      <c r="F309" s="228"/>
      <c r="G309" s="228"/>
      <c r="H309" s="228"/>
      <c r="I309" s="228"/>
      <c r="J309" s="228"/>
      <c r="K309" s="228"/>
      <c r="L309" s="228"/>
      <c r="M309" s="228"/>
      <c r="N309" s="228"/>
      <c r="O309" s="228"/>
      <c r="P309" s="228"/>
      <c r="Q309" s="228"/>
      <c r="R309" s="228"/>
      <c r="S309" s="228"/>
      <c r="T309" s="228"/>
      <c r="U309" s="228"/>
      <c r="V309" s="228"/>
      <c r="W309" s="228"/>
      <c r="X309" s="228"/>
      <c r="Y309" s="228"/>
      <c r="Z309" s="228"/>
      <c r="AA309" s="228"/>
      <c r="AB309" s="228"/>
      <c r="AC309" s="228"/>
      <c r="AD309" s="228"/>
      <c r="AE309" s="228"/>
      <c r="AF309" s="228"/>
      <c r="AG309" s="228"/>
      <c r="AH309" s="228"/>
      <c r="AI309" s="228"/>
      <c r="AJ309" s="228"/>
      <c r="AK309" s="228"/>
      <c r="AL309" s="228"/>
      <c r="AM309" s="228"/>
      <c r="AN309" s="228"/>
      <c r="AO309" s="228"/>
      <c r="AP309" s="228"/>
      <c r="AQ309" s="228"/>
      <c r="AR309" s="228"/>
      <c r="AS309" s="228"/>
      <c r="AT309" s="228"/>
      <c r="AU309" s="228"/>
      <c r="AV309" s="228"/>
      <c r="AW309" s="228"/>
      <c r="AX309" s="228"/>
      <c r="AY309" s="228"/>
      <c r="AZ309" s="228"/>
      <c r="BA309" s="228"/>
      <c r="BB309" s="228"/>
      <c r="BC309" s="228"/>
      <c r="BD309" s="228"/>
      <c r="BE309" s="228"/>
      <c r="BF309" s="228"/>
      <c r="BG309" s="228"/>
      <c r="BH309" s="228"/>
      <c r="BI309" s="228"/>
      <c r="BJ309" s="228"/>
      <c r="BK309" s="228"/>
      <c r="BL309" s="228"/>
      <c r="BM309" s="228"/>
      <c r="BN309" s="228"/>
      <c r="BO309" s="228"/>
      <c r="BP309" s="228"/>
      <c r="BQ309" s="228"/>
      <c r="BR309" s="228"/>
      <c r="BS309" s="228"/>
      <c r="BT309" s="228"/>
      <c r="BU309" s="228"/>
      <c r="BV309" s="228"/>
      <c r="BW309" s="228"/>
      <c r="BX309" s="228"/>
      <c r="BY309" s="228"/>
      <c r="BZ309" s="228"/>
      <c r="CA309" s="228"/>
      <c r="CB309" s="228"/>
      <c r="CC309" s="228"/>
      <c r="CD309" s="228"/>
      <c r="CE309" s="228"/>
      <c r="CF309" s="228"/>
      <c r="CG309" s="228"/>
      <c r="CH309" s="228"/>
      <c r="CI309" s="228"/>
      <c r="CJ309" s="228"/>
      <c r="CK309" s="228"/>
      <c r="CL309" s="228"/>
      <c r="CM309" s="228"/>
      <c r="CN309" s="228"/>
      <c r="CO309" s="228"/>
      <c r="CP309" s="228"/>
      <c r="CQ309" s="228"/>
      <c r="CR309" s="228"/>
      <c r="CS309" s="228"/>
      <c r="CT309" s="228"/>
      <c r="CU309" s="228"/>
      <c r="CV309" s="228"/>
      <c r="CW309" s="228"/>
      <c r="CX309" s="228"/>
      <c r="CY309" s="228"/>
      <c r="CZ309" s="228"/>
      <c r="DA309" s="228"/>
      <c r="DB309" s="228"/>
    </row>
    <row r="310" ht="12.0" customHeight="1">
      <c r="A310" s="228"/>
      <c r="B310" s="228"/>
      <c r="C310" s="228"/>
      <c r="D310" s="228"/>
      <c r="E310" s="228"/>
      <c r="F310" s="228"/>
      <c r="G310" s="228"/>
      <c r="H310" s="228"/>
      <c r="I310" s="228"/>
      <c r="J310" s="228"/>
      <c r="K310" s="228"/>
      <c r="L310" s="228"/>
      <c r="M310" s="228"/>
      <c r="N310" s="228"/>
      <c r="O310" s="228"/>
      <c r="P310" s="228"/>
      <c r="Q310" s="228"/>
      <c r="R310" s="228"/>
      <c r="S310" s="228"/>
      <c r="T310" s="228"/>
      <c r="U310" s="228"/>
      <c r="V310" s="228"/>
      <c r="W310" s="228"/>
      <c r="X310" s="228"/>
      <c r="Y310" s="228"/>
      <c r="Z310" s="228"/>
      <c r="AA310" s="228"/>
      <c r="AB310" s="228"/>
      <c r="AC310" s="228"/>
      <c r="AD310" s="228"/>
      <c r="AE310" s="228"/>
      <c r="AF310" s="228"/>
      <c r="AG310" s="228"/>
      <c r="AH310" s="228"/>
      <c r="AI310" s="228"/>
      <c r="AJ310" s="228"/>
      <c r="AK310" s="228"/>
      <c r="AL310" s="228"/>
      <c r="AM310" s="228"/>
      <c r="AN310" s="228"/>
      <c r="AO310" s="228"/>
      <c r="AP310" s="228"/>
      <c r="AQ310" s="228"/>
      <c r="AR310" s="228"/>
      <c r="AS310" s="228"/>
      <c r="AT310" s="228"/>
      <c r="AU310" s="228"/>
      <c r="AV310" s="228"/>
      <c r="AW310" s="228"/>
      <c r="AX310" s="228"/>
      <c r="AY310" s="228"/>
      <c r="AZ310" s="228"/>
      <c r="BA310" s="228"/>
      <c r="BB310" s="228"/>
      <c r="BC310" s="228"/>
      <c r="BD310" s="228"/>
      <c r="BE310" s="228"/>
      <c r="BF310" s="228"/>
      <c r="BG310" s="228"/>
      <c r="BH310" s="228"/>
      <c r="BI310" s="228"/>
      <c r="BJ310" s="228"/>
      <c r="BK310" s="228"/>
      <c r="BL310" s="228"/>
      <c r="BM310" s="228"/>
      <c r="BN310" s="228"/>
      <c r="BO310" s="228"/>
      <c r="BP310" s="228"/>
      <c r="BQ310" s="228"/>
      <c r="BR310" s="228"/>
      <c r="BS310" s="228"/>
      <c r="BT310" s="228"/>
      <c r="BU310" s="228"/>
      <c r="BV310" s="228"/>
      <c r="BW310" s="228"/>
      <c r="BX310" s="228"/>
      <c r="BY310" s="228"/>
      <c r="BZ310" s="228"/>
      <c r="CA310" s="228"/>
      <c r="CB310" s="228"/>
      <c r="CC310" s="228"/>
      <c r="CD310" s="228"/>
      <c r="CE310" s="228"/>
      <c r="CF310" s="228"/>
      <c r="CG310" s="228"/>
      <c r="CH310" s="228"/>
      <c r="CI310" s="228"/>
      <c r="CJ310" s="228"/>
      <c r="CK310" s="228"/>
      <c r="CL310" s="228"/>
      <c r="CM310" s="228"/>
      <c r="CN310" s="228"/>
      <c r="CO310" s="228"/>
      <c r="CP310" s="228"/>
      <c r="CQ310" s="228"/>
      <c r="CR310" s="228"/>
      <c r="CS310" s="228"/>
      <c r="CT310" s="228"/>
      <c r="CU310" s="228"/>
      <c r="CV310" s="228"/>
      <c r="CW310" s="228"/>
      <c r="CX310" s="228"/>
      <c r="CY310" s="228"/>
      <c r="CZ310" s="228"/>
      <c r="DA310" s="228"/>
      <c r="DB310" s="228"/>
    </row>
    <row r="311" ht="12.0" customHeight="1">
      <c r="A311" s="228"/>
      <c r="B311" s="228"/>
      <c r="C311" s="228"/>
      <c r="D311" s="228"/>
      <c r="E311" s="228"/>
      <c r="F311" s="228"/>
      <c r="G311" s="228"/>
      <c r="H311" s="228"/>
      <c r="I311" s="228"/>
      <c r="J311" s="228"/>
      <c r="K311" s="228"/>
      <c r="L311" s="228"/>
      <c r="M311" s="228"/>
      <c r="N311" s="228"/>
      <c r="O311" s="228"/>
      <c r="P311" s="228"/>
      <c r="Q311" s="228"/>
      <c r="R311" s="228"/>
      <c r="S311" s="228"/>
      <c r="T311" s="228"/>
      <c r="U311" s="228"/>
      <c r="V311" s="228"/>
      <c r="W311" s="228"/>
      <c r="X311" s="228"/>
      <c r="Y311" s="228"/>
      <c r="Z311" s="228"/>
      <c r="AA311" s="228"/>
      <c r="AB311" s="228"/>
      <c r="AC311" s="228"/>
      <c r="AD311" s="228"/>
      <c r="AE311" s="228"/>
      <c r="AF311" s="228"/>
      <c r="AG311" s="228"/>
      <c r="AH311" s="228"/>
      <c r="AI311" s="228"/>
      <c r="AJ311" s="228"/>
      <c r="AK311" s="228"/>
      <c r="AL311" s="228"/>
      <c r="AM311" s="228"/>
      <c r="AN311" s="228"/>
      <c r="AO311" s="228"/>
      <c r="AP311" s="228"/>
      <c r="AQ311" s="228"/>
      <c r="AR311" s="228"/>
      <c r="AS311" s="228"/>
      <c r="AT311" s="228"/>
      <c r="AU311" s="228"/>
      <c r="AV311" s="228"/>
      <c r="AW311" s="228"/>
      <c r="AX311" s="228"/>
      <c r="AY311" s="228"/>
      <c r="AZ311" s="228"/>
      <c r="BA311" s="228"/>
      <c r="BB311" s="228"/>
      <c r="BC311" s="228"/>
      <c r="BD311" s="228"/>
      <c r="BE311" s="228"/>
      <c r="BF311" s="228"/>
      <c r="BG311" s="228"/>
      <c r="BH311" s="228"/>
      <c r="BI311" s="228"/>
      <c r="BJ311" s="228"/>
      <c r="BK311" s="228"/>
      <c r="BL311" s="228"/>
      <c r="BM311" s="228"/>
      <c r="BN311" s="228"/>
      <c r="BO311" s="228"/>
      <c r="BP311" s="228"/>
      <c r="BQ311" s="228"/>
      <c r="BR311" s="228"/>
      <c r="BS311" s="228"/>
      <c r="BT311" s="228"/>
      <c r="BU311" s="228"/>
      <c r="BV311" s="228"/>
      <c r="BW311" s="228"/>
      <c r="BX311" s="228"/>
      <c r="BY311" s="228"/>
      <c r="BZ311" s="228"/>
      <c r="CA311" s="228"/>
      <c r="CB311" s="228"/>
      <c r="CC311" s="228"/>
      <c r="CD311" s="228"/>
      <c r="CE311" s="228"/>
      <c r="CF311" s="228"/>
      <c r="CG311" s="228"/>
      <c r="CH311" s="228"/>
      <c r="CI311" s="228"/>
      <c r="CJ311" s="228"/>
      <c r="CK311" s="228"/>
      <c r="CL311" s="228"/>
      <c r="CM311" s="228"/>
      <c r="CN311" s="228"/>
      <c r="CO311" s="228"/>
      <c r="CP311" s="228"/>
      <c r="CQ311" s="228"/>
      <c r="CR311" s="228"/>
      <c r="CS311" s="228"/>
      <c r="CT311" s="228"/>
      <c r="CU311" s="228"/>
      <c r="CV311" s="228"/>
      <c r="CW311" s="228"/>
      <c r="CX311" s="228"/>
      <c r="CY311" s="228"/>
      <c r="CZ311" s="228"/>
      <c r="DA311" s="228"/>
      <c r="DB311" s="228"/>
    </row>
    <row r="312" ht="12.0" customHeight="1">
      <c r="A312" s="228"/>
      <c r="B312" s="228"/>
      <c r="C312" s="228"/>
      <c r="D312" s="228"/>
      <c r="E312" s="228"/>
      <c r="F312" s="228"/>
      <c r="G312" s="228"/>
      <c r="H312" s="228"/>
      <c r="I312" s="228"/>
      <c r="J312" s="228"/>
      <c r="K312" s="228"/>
      <c r="L312" s="228"/>
      <c r="M312" s="228"/>
      <c r="N312" s="228"/>
      <c r="O312" s="228"/>
      <c r="P312" s="228"/>
      <c r="Q312" s="228"/>
      <c r="R312" s="228"/>
      <c r="S312" s="228"/>
      <c r="T312" s="228"/>
      <c r="U312" s="228"/>
      <c r="V312" s="228"/>
      <c r="W312" s="228"/>
      <c r="X312" s="228"/>
      <c r="Y312" s="228"/>
      <c r="Z312" s="228"/>
      <c r="AA312" s="228"/>
      <c r="AB312" s="228"/>
      <c r="AC312" s="228"/>
      <c r="AD312" s="228"/>
      <c r="AE312" s="228"/>
      <c r="AF312" s="228"/>
      <c r="AG312" s="228"/>
      <c r="AH312" s="228"/>
      <c r="AI312" s="228"/>
      <c r="AJ312" s="228"/>
      <c r="AK312" s="228"/>
      <c r="AL312" s="228"/>
      <c r="AM312" s="228"/>
      <c r="AN312" s="228"/>
      <c r="AO312" s="228"/>
      <c r="AP312" s="228"/>
      <c r="AQ312" s="228"/>
      <c r="AR312" s="228"/>
      <c r="AS312" s="228"/>
      <c r="AT312" s="228"/>
      <c r="AU312" s="228"/>
      <c r="AV312" s="228"/>
      <c r="AW312" s="228"/>
      <c r="AX312" s="228"/>
      <c r="AY312" s="228"/>
      <c r="AZ312" s="228"/>
      <c r="BA312" s="228"/>
      <c r="BB312" s="228"/>
      <c r="BC312" s="228"/>
      <c r="BD312" s="228"/>
      <c r="BE312" s="228"/>
      <c r="BF312" s="228"/>
      <c r="BG312" s="228"/>
      <c r="BH312" s="228"/>
      <c r="BI312" s="228"/>
      <c r="BJ312" s="228"/>
      <c r="BK312" s="228"/>
      <c r="BL312" s="228"/>
      <c r="BM312" s="228"/>
      <c r="BN312" s="228"/>
      <c r="BO312" s="228"/>
      <c r="BP312" s="228"/>
      <c r="BQ312" s="228"/>
      <c r="BR312" s="228"/>
      <c r="BS312" s="228"/>
      <c r="BT312" s="228"/>
      <c r="BU312" s="228"/>
      <c r="BV312" s="228"/>
      <c r="BW312" s="228"/>
      <c r="BX312" s="228"/>
      <c r="BY312" s="228"/>
      <c r="BZ312" s="228"/>
      <c r="CA312" s="228"/>
      <c r="CB312" s="228"/>
      <c r="CC312" s="228"/>
      <c r="CD312" s="228"/>
      <c r="CE312" s="228"/>
      <c r="CF312" s="228"/>
      <c r="CG312" s="228"/>
      <c r="CH312" s="228"/>
      <c r="CI312" s="228"/>
      <c r="CJ312" s="228"/>
      <c r="CK312" s="228"/>
      <c r="CL312" s="228"/>
      <c r="CM312" s="228"/>
      <c r="CN312" s="228"/>
      <c r="CO312" s="228"/>
      <c r="CP312" s="228"/>
      <c r="CQ312" s="228"/>
      <c r="CR312" s="228"/>
      <c r="CS312" s="228"/>
      <c r="CT312" s="228"/>
      <c r="CU312" s="228"/>
      <c r="CV312" s="228"/>
      <c r="CW312" s="228"/>
      <c r="CX312" s="228"/>
      <c r="CY312" s="228"/>
      <c r="CZ312" s="228"/>
      <c r="DA312" s="228"/>
      <c r="DB312" s="228"/>
    </row>
    <row r="313" ht="12.0" customHeight="1">
      <c r="A313" s="228"/>
      <c r="B313" s="228"/>
      <c r="C313" s="228"/>
      <c r="D313" s="228"/>
      <c r="E313" s="228"/>
      <c r="F313" s="228"/>
      <c r="G313" s="228"/>
      <c r="H313" s="228"/>
      <c r="I313" s="228"/>
      <c r="J313" s="228"/>
      <c r="K313" s="228"/>
      <c r="L313" s="228"/>
      <c r="M313" s="228"/>
      <c r="N313" s="228"/>
      <c r="O313" s="228"/>
      <c r="P313" s="228"/>
      <c r="Q313" s="228"/>
      <c r="R313" s="228"/>
      <c r="S313" s="228"/>
      <c r="T313" s="228"/>
      <c r="U313" s="228"/>
      <c r="V313" s="228"/>
      <c r="W313" s="228"/>
      <c r="X313" s="228"/>
      <c r="Y313" s="228"/>
      <c r="Z313" s="228"/>
      <c r="AA313" s="228"/>
      <c r="AB313" s="228"/>
      <c r="AC313" s="228"/>
      <c r="AD313" s="228"/>
      <c r="AE313" s="228"/>
      <c r="AF313" s="228"/>
      <c r="AG313" s="228"/>
      <c r="AH313" s="228"/>
      <c r="AI313" s="228"/>
      <c r="AJ313" s="228"/>
      <c r="AK313" s="228"/>
      <c r="AL313" s="228"/>
      <c r="AM313" s="228"/>
      <c r="AN313" s="228"/>
      <c r="AO313" s="228"/>
      <c r="AP313" s="228"/>
      <c r="AQ313" s="228"/>
      <c r="AR313" s="228"/>
      <c r="AS313" s="228"/>
      <c r="AT313" s="228"/>
      <c r="AU313" s="228"/>
      <c r="AV313" s="228"/>
      <c r="AW313" s="228"/>
      <c r="AX313" s="228"/>
      <c r="AY313" s="228"/>
      <c r="AZ313" s="228"/>
      <c r="BA313" s="228"/>
      <c r="BB313" s="228"/>
      <c r="BC313" s="228"/>
      <c r="BD313" s="228"/>
      <c r="BE313" s="228"/>
      <c r="BF313" s="228"/>
      <c r="BG313" s="228"/>
      <c r="BH313" s="228"/>
      <c r="BI313" s="228"/>
      <c r="BJ313" s="228"/>
      <c r="BK313" s="228"/>
      <c r="BL313" s="228"/>
      <c r="BM313" s="228"/>
      <c r="BN313" s="228"/>
      <c r="BO313" s="228"/>
      <c r="BP313" s="228"/>
      <c r="BQ313" s="228"/>
      <c r="BR313" s="228"/>
      <c r="BS313" s="228"/>
      <c r="BT313" s="228"/>
      <c r="BU313" s="228"/>
      <c r="BV313" s="228"/>
      <c r="BW313" s="228"/>
      <c r="BX313" s="228"/>
      <c r="BY313" s="228"/>
      <c r="BZ313" s="228"/>
      <c r="CA313" s="228"/>
      <c r="CB313" s="228"/>
      <c r="CC313" s="228"/>
      <c r="CD313" s="228"/>
      <c r="CE313" s="228"/>
      <c r="CF313" s="228"/>
      <c r="CG313" s="228"/>
      <c r="CH313" s="228"/>
      <c r="CI313" s="228"/>
      <c r="CJ313" s="228"/>
      <c r="CK313" s="228"/>
      <c r="CL313" s="228"/>
      <c r="CM313" s="228"/>
      <c r="CN313" s="228"/>
      <c r="CO313" s="228"/>
      <c r="CP313" s="228"/>
      <c r="CQ313" s="228"/>
      <c r="CR313" s="228"/>
      <c r="CS313" s="228"/>
      <c r="CT313" s="228"/>
      <c r="CU313" s="228"/>
      <c r="CV313" s="228"/>
      <c r="CW313" s="228"/>
      <c r="CX313" s="228"/>
      <c r="CY313" s="228"/>
      <c r="CZ313" s="228"/>
      <c r="DA313" s="228"/>
      <c r="DB313" s="228"/>
    </row>
    <row r="314" ht="12.0" customHeight="1">
      <c r="A314" s="228"/>
      <c r="B314" s="228"/>
      <c r="C314" s="228"/>
      <c r="D314" s="228"/>
      <c r="E314" s="228"/>
      <c r="F314" s="228"/>
      <c r="G314" s="228"/>
      <c r="H314" s="228"/>
      <c r="I314" s="228"/>
      <c r="J314" s="228"/>
      <c r="K314" s="228"/>
      <c r="L314" s="228"/>
      <c r="M314" s="228"/>
      <c r="N314" s="228"/>
      <c r="O314" s="228"/>
      <c r="P314" s="228"/>
      <c r="Q314" s="228"/>
      <c r="R314" s="228"/>
      <c r="S314" s="228"/>
      <c r="T314" s="228"/>
      <c r="U314" s="228"/>
      <c r="V314" s="228"/>
      <c r="W314" s="228"/>
      <c r="X314" s="228"/>
      <c r="Y314" s="228"/>
      <c r="Z314" s="228"/>
      <c r="AA314" s="228"/>
      <c r="AB314" s="228"/>
      <c r="AC314" s="228"/>
      <c r="AD314" s="228"/>
      <c r="AE314" s="228"/>
      <c r="AF314" s="228"/>
      <c r="AG314" s="228"/>
      <c r="AH314" s="228"/>
      <c r="AI314" s="228"/>
      <c r="AJ314" s="228"/>
      <c r="AK314" s="228"/>
      <c r="AL314" s="228"/>
      <c r="AM314" s="228"/>
      <c r="AN314" s="228"/>
      <c r="AO314" s="228"/>
      <c r="AP314" s="228"/>
      <c r="AQ314" s="228"/>
      <c r="AR314" s="228"/>
      <c r="AS314" s="228"/>
      <c r="AT314" s="228"/>
      <c r="AU314" s="228"/>
      <c r="AV314" s="228"/>
      <c r="AW314" s="228"/>
      <c r="AX314" s="228"/>
      <c r="AY314" s="228"/>
      <c r="AZ314" s="228"/>
      <c r="BA314" s="228"/>
      <c r="BB314" s="228"/>
      <c r="BC314" s="228"/>
      <c r="BD314" s="228"/>
      <c r="BE314" s="228"/>
      <c r="BF314" s="228"/>
      <c r="BG314" s="228"/>
      <c r="BH314" s="228"/>
      <c r="BI314" s="228"/>
      <c r="BJ314" s="228"/>
      <c r="BK314" s="228"/>
      <c r="BL314" s="228"/>
      <c r="BM314" s="228"/>
      <c r="BN314" s="228"/>
      <c r="BO314" s="228"/>
      <c r="BP314" s="228"/>
      <c r="BQ314" s="228"/>
      <c r="BR314" s="228"/>
      <c r="BS314" s="228"/>
      <c r="BT314" s="228"/>
      <c r="BU314" s="228"/>
      <c r="BV314" s="228"/>
      <c r="BW314" s="228"/>
      <c r="BX314" s="228"/>
      <c r="BY314" s="228"/>
      <c r="BZ314" s="228"/>
      <c r="CA314" s="228"/>
      <c r="CB314" s="228"/>
      <c r="CC314" s="228"/>
      <c r="CD314" s="228"/>
      <c r="CE314" s="228"/>
      <c r="CF314" s="228"/>
      <c r="CG314" s="228"/>
      <c r="CH314" s="228"/>
      <c r="CI314" s="228"/>
      <c r="CJ314" s="228"/>
      <c r="CK314" s="228"/>
      <c r="CL314" s="228"/>
      <c r="CM314" s="228"/>
      <c r="CN314" s="228"/>
      <c r="CO314" s="228"/>
      <c r="CP314" s="228"/>
      <c r="CQ314" s="228"/>
      <c r="CR314" s="228"/>
      <c r="CS314" s="228"/>
      <c r="CT314" s="228"/>
      <c r="CU314" s="228"/>
      <c r="CV314" s="228"/>
      <c r="CW314" s="228"/>
      <c r="CX314" s="228"/>
      <c r="CY314" s="228"/>
      <c r="CZ314" s="228"/>
      <c r="DA314" s="228"/>
      <c r="DB314" s="228"/>
    </row>
    <row r="315" ht="12.0" customHeight="1">
      <c r="A315" s="228"/>
      <c r="B315" s="228"/>
      <c r="C315" s="228"/>
      <c r="D315" s="228"/>
      <c r="E315" s="228"/>
      <c r="F315" s="228"/>
      <c r="G315" s="228"/>
      <c r="H315" s="228"/>
      <c r="I315" s="228"/>
      <c r="J315" s="228"/>
      <c r="K315" s="228"/>
      <c r="L315" s="228"/>
      <c r="M315" s="228"/>
      <c r="N315" s="228"/>
      <c r="O315" s="228"/>
      <c r="P315" s="228"/>
      <c r="Q315" s="228"/>
      <c r="R315" s="228"/>
      <c r="S315" s="228"/>
      <c r="T315" s="228"/>
      <c r="U315" s="228"/>
      <c r="V315" s="228"/>
      <c r="W315" s="228"/>
      <c r="X315" s="228"/>
      <c r="Y315" s="228"/>
      <c r="Z315" s="228"/>
      <c r="AA315" s="228"/>
      <c r="AB315" s="228"/>
      <c r="AC315" s="228"/>
      <c r="AD315" s="228"/>
      <c r="AE315" s="228"/>
      <c r="AF315" s="228"/>
      <c r="AG315" s="228"/>
      <c r="AH315" s="228"/>
      <c r="AI315" s="228"/>
      <c r="AJ315" s="228"/>
      <c r="AK315" s="228"/>
      <c r="AL315" s="228"/>
      <c r="AM315" s="228"/>
      <c r="AN315" s="228"/>
      <c r="AO315" s="228"/>
      <c r="AP315" s="228"/>
      <c r="AQ315" s="228"/>
      <c r="AR315" s="228"/>
      <c r="AS315" s="228"/>
      <c r="AT315" s="228"/>
      <c r="AU315" s="228"/>
      <c r="AV315" s="228"/>
      <c r="AW315" s="228"/>
      <c r="AX315" s="228"/>
      <c r="AY315" s="228"/>
      <c r="AZ315" s="228"/>
      <c r="BA315" s="228"/>
      <c r="BB315" s="228"/>
      <c r="BC315" s="228"/>
      <c r="BD315" s="228"/>
      <c r="BE315" s="228"/>
      <c r="BF315" s="228"/>
      <c r="BG315" s="228"/>
      <c r="BH315" s="228"/>
      <c r="BI315" s="228"/>
      <c r="BJ315" s="228"/>
      <c r="BK315" s="228"/>
      <c r="BL315" s="228"/>
      <c r="BM315" s="228"/>
      <c r="BN315" s="228"/>
      <c r="BO315" s="228"/>
      <c r="BP315" s="228"/>
      <c r="BQ315" s="228"/>
      <c r="BR315" s="228"/>
      <c r="BS315" s="228"/>
      <c r="BT315" s="228"/>
      <c r="BU315" s="228"/>
      <c r="BV315" s="228"/>
      <c r="BW315" s="228"/>
      <c r="BX315" s="228"/>
      <c r="BY315" s="228"/>
      <c r="BZ315" s="228"/>
      <c r="CA315" s="228"/>
      <c r="CB315" s="228"/>
      <c r="CC315" s="228"/>
      <c r="CD315" s="228"/>
      <c r="CE315" s="228"/>
      <c r="CF315" s="228"/>
      <c r="CG315" s="228"/>
      <c r="CH315" s="228"/>
      <c r="CI315" s="228"/>
      <c r="CJ315" s="228"/>
      <c r="CK315" s="228"/>
      <c r="CL315" s="228"/>
      <c r="CM315" s="228"/>
      <c r="CN315" s="228"/>
      <c r="CO315" s="228"/>
      <c r="CP315" s="228"/>
      <c r="CQ315" s="228"/>
      <c r="CR315" s="228"/>
      <c r="CS315" s="228"/>
      <c r="CT315" s="228"/>
      <c r="CU315" s="228"/>
      <c r="CV315" s="228"/>
      <c r="CW315" s="228"/>
      <c r="CX315" s="228"/>
      <c r="CY315" s="228"/>
      <c r="CZ315" s="228"/>
      <c r="DA315" s="228"/>
      <c r="DB315" s="228"/>
    </row>
    <row r="316" ht="12.0" customHeight="1">
      <c r="A316" s="228"/>
      <c r="B316" s="228"/>
      <c r="C316" s="228"/>
      <c r="D316" s="228"/>
      <c r="E316" s="228"/>
      <c r="F316" s="228"/>
      <c r="G316" s="228"/>
      <c r="H316" s="228"/>
      <c r="I316" s="228"/>
      <c r="J316" s="228"/>
      <c r="K316" s="228"/>
      <c r="L316" s="228"/>
      <c r="M316" s="228"/>
      <c r="N316" s="228"/>
      <c r="O316" s="228"/>
      <c r="P316" s="228"/>
      <c r="Q316" s="228"/>
      <c r="R316" s="228"/>
      <c r="S316" s="228"/>
      <c r="T316" s="228"/>
      <c r="U316" s="228"/>
      <c r="V316" s="228"/>
      <c r="W316" s="228"/>
      <c r="X316" s="228"/>
      <c r="Y316" s="228"/>
      <c r="Z316" s="228"/>
      <c r="AA316" s="228"/>
      <c r="AB316" s="228"/>
      <c r="AC316" s="228"/>
      <c r="AD316" s="228"/>
      <c r="AE316" s="228"/>
      <c r="AF316" s="228"/>
      <c r="AG316" s="228"/>
      <c r="AH316" s="228"/>
      <c r="AI316" s="228"/>
      <c r="AJ316" s="228"/>
      <c r="AK316" s="228"/>
      <c r="AL316" s="228"/>
      <c r="AM316" s="228"/>
      <c r="AN316" s="228"/>
      <c r="AO316" s="228"/>
      <c r="AP316" s="228"/>
      <c r="AQ316" s="228"/>
      <c r="AR316" s="228"/>
      <c r="AS316" s="228"/>
      <c r="AT316" s="228"/>
      <c r="AU316" s="228"/>
      <c r="AV316" s="228"/>
      <c r="AW316" s="228"/>
      <c r="AX316" s="228"/>
      <c r="AY316" s="228"/>
      <c r="AZ316" s="228"/>
      <c r="BA316" s="228"/>
      <c r="BB316" s="228"/>
      <c r="BC316" s="228"/>
      <c r="BD316" s="228"/>
      <c r="BE316" s="228"/>
      <c r="BF316" s="228"/>
      <c r="BG316" s="228"/>
      <c r="BH316" s="228"/>
      <c r="BI316" s="228"/>
      <c r="BJ316" s="228"/>
      <c r="BK316" s="228"/>
      <c r="BL316" s="228"/>
      <c r="BM316" s="228"/>
      <c r="BN316" s="228"/>
      <c r="BO316" s="228"/>
      <c r="BP316" s="228"/>
      <c r="BQ316" s="228"/>
      <c r="BR316" s="228"/>
      <c r="BS316" s="228"/>
      <c r="BT316" s="228"/>
      <c r="BU316" s="228"/>
      <c r="BV316" s="228"/>
      <c r="BW316" s="228"/>
      <c r="BX316" s="228"/>
      <c r="BY316" s="228"/>
      <c r="BZ316" s="228"/>
      <c r="CA316" s="228"/>
      <c r="CB316" s="228"/>
      <c r="CC316" s="228"/>
      <c r="CD316" s="228"/>
      <c r="CE316" s="228"/>
      <c r="CF316" s="228"/>
      <c r="CG316" s="228"/>
      <c r="CH316" s="228"/>
      <c r="CI316" s="228"/>
      <c r="CJ316" s="228"/>
      <c r="CK316" s="228"/>
      <c r="CL316" s="228"/>
      <c r="CM316" s="228"/>
      <c r="CN316" s="228"/>
      <c r="CO316" s="228"/>
      <c r="CP316" s="228"/>
      <c r="CQ316" s="228"/>
      <c r="CR316" s="228"/>
      <c r="CS316" s="228"/>
      <c r="CT316" s="228"/>
      <c r="CU316" s="228"/>
      <c r="CV316" s="228"/>
      <c r="CW316" s="228"/>
      <c r="CX316" s="228"/>
      <c r="CY316" s="228"/>
      <c r="CZ316" s="228"/>
      <c r="DA316" s="228"/>
      <c r="DB316" s="228"/>
    </row>
    <row r="317" ht="12.0" customHeight="1">
      <c r="A317" s="228"/>
      <c r="B317" s="228"/>
      <c r="C317" s="228"/>
      <c r="D317" s="228"/>
      <c r="E317" s="228"/>
      <c r="F317" s="228"/>
      <c r="G317" s="228"/>
      <c r="H317" s="228"/>
      <c r="I317" s="228"/>
      <c r="J317" s="228"/>
      <c r="K317" s="228"/>
      <c r="L317" s="228"/>
      <c r="M317" s="228"/>
      <c r="N317" s="228"/>
      <c r="O317" s="228"/>
      <c r="P317" s="228"/>
      <c r="Q317" s="228"/>
      <c r="R317" s="228"/>
      <c r="S317" s="228"/>
      <c r="T317" s="228"/>
      <c r="U317" s="228"/>
      <c r="V317" s="228"/>
      <c r="W317" s="228"/>
      <c r="X317" s="228"/>
      <c r="Y317" s="228"/>
      <c r="Z317" s="228"/>
      <c r="AA317" s="228"/>
      <c r="AB317" s="228"/>
      <c r="AC317" s="228"/>
      <c r="AD317" s="228"/>
      <c r="AE317" s="228"/>
      <c r="AF317" s="228"/>
      <c r="AG317" s="228"/>
      <c r="AH317" s="228"/>
      <c r="AI317" s="228"/>
      <c r="AJ317" s="228"/>
      <c r="AK317" s="228"/>
      <c r="AL317" s="228"/>
      <c r="AM317" s="228"/>
      <c r="AN317" s="228"/>
      <c r="AO317" s="228"/>
      <c r="AP317" s="228"/>
      <c r="AQ317" s="228"/>
      <c r="AR317" s="228"/>
      <c r="AS317" s="228"/>
      <c r="AT317" s="228"/>
      <c r="AU317" s="228"/>
      <c r="AV317" s="228"/>
      <c r="AW317" s="228"/>
      <c r="AX317" s="228"/>
      <c r="AY317" s="228"/>
      <c r="AZ317" s="228"/>
      <c r="BA317" s="228"/>
      <c r="BB317" s="228"/>
      <c r="BC317" s="228"/>
      <c r="BD317" s="228"/>
      <c r="BE317" s="228"/>
      <c r="BF317" s="228"/>
      <c r="BG317" s="228"/>
      <c r="BH317" s="228"/>
      <c r="BI317" s="228"/>
      <c r="BJ317" s="228"/>
      <c r="BK317" s="228"/>
      <c r="BL317" s="228"/>
      <c r="BM317" s="228"/>
      <c r="BN317" s="228"/>
      <c r="BO317" s="228"/>
      <c r="BP317" s="228"/>
      <c r="BQ317" s="228"/>
      <c r="BR317" s="228"/>
      <c r="BS317" s="228"/>
      <c r="BT317" s="228"/>
      <c r="BU317" s="228"/>
      <c r="BV317" s="228"/>
      <c r="BW317" s="228"/>
      <c r="BX317" s="228"/>
      <c r="BY317" s="228"/>
      <c r="BZ317" s="228"/>
      <c r="CA317" s="228"/>
      <c r="CB317" s="228"/>
      <c r="CC317" s="228"/>
      <c r="CD317" s="228"/>
      <c r="CE317" s="228"/>
      <c r="CF317" s="228"/>
      <c r="CG317" s="228"/>
      <c r="CH317" s="228"/>
      <c r="CI317" s="228"/>
      <c r="CJ317" s="228"/>
      <c r="CK317" s="228"/>
      <c r="CL317" s="228"/>
      <c r="CM317" s="228"/>
      <c r="CN317" s="228"/>
      <c r="CO317" s="228"/>
      <c r="CP317" s="228"/>
      <c r="CQ317" s="228"/>
      <c r="CR317" s="228"/>
      <c r="CS317" s="228"/>
      <c r="CT317" s="228"/>
      <c r="CU317" s="228"/>
      <c r="CV317" s="228"/>
      <c r="CW317" s="228"/>
      <c r="CX317" s="228"/>
      <c r="CY317" s="228"/>
      <c r="CZ317" s="228"/>
      <c r="DA317" s="228"/>
      <c r="DB317" s="228"/>
    </row>
    <row r="318" ht="12.0" customHeight="1">
      <c r="A318" s="228"/>
      <c r="B318" s="228"/>
      <c r="C318" s="228"/>
      <c r="D318" s="228"/>
      <c r="E318" s="228"/>
      <c r="F318" s="228"/>
      <c r="G318" s="228"/>
      <c r="H318" s="228"/>
      <c r="I318" s="228"/>
      <c r="J318" s="228"/>
      <c r="K318" s="228"/>
      <c r="L318" s="228"/>
      <c r="M318" s="228"/>
      <c r="N318" s="228"/>
      <c r="O318" s="228"/>
      <c r="P318" s="228"/>
      <c r="Q318" s="228"/>
      <c r="R318" s="228"/>
      <c r="S318" s="228"/>
      <c r="T318" s="228"/>
      <c r="U318" s="228"/>
      <c r="V318" s="228"/>
      <c r="W318" s="228"/>
      <c r="X318" s="228"/>
      <c r="Y318" s="228"/>
      <c r="Z318" s="228"/>
      <c r="AA318" s="228"/>
      <c r="AB318" s="228"/>
      <c r="AC318" s="228"/>
      <c r="AD318" s="228"/>
      <c r="AE318" s="228"/>
      <c r="AF318" s="228"/>
      <c r="AG318" s="228"/>
      <c r="AH318" s="228"/>
      <c r="AI318" s="228"/>
      <c r="AJ318" s="228"/>
      <c r="AK318" s="228"/>
      <c r="AL318" s="228"/>
      <c r="AM318" s="228"/>
      <c r="AN318" s="228"/>
      <c r="AO318" s="228"/>
      <c r="AP318" s="228"/>
      <c r="AQ318" s="228"/>
      <c r="AR318" s="228"/>
      <c r="AS318" s="228"/>
      <c r="AT318" s="228"/>
      <c r="AU318" s="228"/>
      <c r="AV318" s="228"/>
      <c r="AW318" s="228"/>
      <c r="AX318" s="228"/>
      <c r="AY318" s="228"/>
      <c r="AZ318" s="228"/>
      <c r="BA318" s="228"/>
      <c r="BB318" s="228"/>
      <c r="BC318" s="228"/>
      <c r="BD318" s="228"/>
      <c r="BE318" s="228"/>
      <c r="BF318" s="228"/>
      <c r="BG318" s="228"/>
      <c r="BH318" s="228"/>
      <c r="BI318" s="228"/>
      <c r="BJ318" s="228"/>
      <c r="BK318" s="228"/>
      <c r="BL318" s="228"/>
      <c r="BM318" s="228"/>
      <c r="BN318" s="228"/>
      <c r="BO318" s="228"/>
      <c r="BP318" s="228"/>
      <c r="BQ318" s="228"/>
      <c r="BR318" s="228"/>
      <c r="BS318" s="228"/>
      <c r="BT318" s="228"/>
      <c r="BU318" s="228"/>
      <c r="BV318" s="228"/>
      <c r="BW318" s="228"/>
      <c r="BX318" s="228"/>
      <c r="BY318" s="228"/>
      <c r="BZ318" s="228"/>
      <c r="CA318" s="228"/>
      <c r="CB318" s="228"/>
      <c r="CC318" s="228"/>
      <c r="CD318" s="228"/>
      <c r="CE318" s="228"/>
      <c r="CF318" s="228"/>
      <c r="CG318" s="228"/>
      <c r="CH318" s="228"/>
      <c r="CI318" s="228"/>
      <c r="CJ318" s="228"/>
      <c r="CK318" s="228"/>
      <c r="CL318" s="228"/>
      <c r="CM318" s="228"/>
      <c r="CN318" s="228"/>
      <c r="CO318" s="228"/>
      <c r="CP318" s="228"/>
      <c r="CQ318" s="228"/>
      <c r="CR318" s="228"/>
      <c r="CS318" s="228"/>
      <c r="CT318" s="228"/>
      <c r="CU318" s="228"/>
      <c r="CV318" s="228"/>
      <c r="CW318" s="228"/>
      <c r="CX318" s="228"/>
      <c r="CY318" s="228"/>
      <c r="CZ318" s="228"/>
      <c r="DA318" s="228"/>
      <c r="DB318" s="228"/>
    </row>
    <row r="319" ht="12.0" customHeight="1">
      <c r="A319" s="228"/>
      <c r="B319" s="228"/>
      <c r="C319" s="228"/>
      <c r="D319" s="228"/>
      <c r="E319" s="228"/>
      <c r="F319" s="228"/>
      <c r="G319" s="228"/>
      <c r="H319" s="228"/>
      <c r="I319" s="228"/>
      <c r="J319" s="228"/>
      <c r="K319" s="228"/>
      <c r="L319" s="228"/>
      <c r="M319" s="228"/>
      <c r="N319" s="228"/>
      <c r="O319" s="228"/>
      <c r="P319" s="228"/>
      <c r="Q319" s="228"/>
      <c r="R319" s="228"/>
      <c r="S319" s="228"/>
      <c r="T319" s="228"/>
      <c r="U319" s="228"/>
      <c r="V319" s="228"/>
      <c r="W319" s="228"/>
      <c r="X319" s="228"/>
      <c r="Y319" s="228"/>
      <c r="Z319" s="228"/>
      <c r="AA319" s="228"/>
      <c r="AB319" s="228"/>
      <c r="AC319" s="228"/>
      <c r="AD319" s="228"/>
      <c r="AE319" s="228"/>
      <c r="AF319" s="228"/>
      <c r="AG319" s="228"/>
      <c r="AH319" s="228"/>
      <c r="AI319" s="228"/>
      <c r="AJ319" s="228"/>
      <c r="AK319" s="228"/>
      <c r="AL319" s="228"/>
      <c r="AM319" s="228"/>
      <c r="AN319" s="228"/>
      <c r="AO319" s="228"/>
      <c r="AP319" s="228"/>
      <c r="AQ319" s="228"/>
      <c r="AR319" s="228"/>
      <c r="AS319" s="228"/>
      <c r="AT319" s="228"/>
      <c r="AU319" s="228"/>
      <c r="AV319" s="228"/>
      <c r="AW319" s="228"/>
      <c r="AX319" s="228"/>
      <c r="AY319" s="228"/>
      <c r="AZ319" s="228"/>
      <c r="BA319" s="228"/>
      <c r="BB319" s="228"/>
      <c r="BC319" s="228"/>
      <c r="BD319" s="228"/>
      <c r="BE319" s="228"/>
      <c r="BF319" s="228"/>
      <c r="BG319" s="228"/>
      <c r="BH319" s="228"/>
      <c r="BI319" s="228"/>
      <c r="BJ319" s="228"/>
      <c r="BK319" s="228"/>
      <c r="BL319" s="228"/>
      <c r="BM319" s="228"/>
      <c r="BN319" s="228"/>
      <c r="BO319" s="228"/>
      <c r="BP319" s="228"/>
      <c r="BQ319" s="228"/>
      <c r="BR319" s="228"/>
      <c r="BS319" s="228"/>
      <c r="BT319" s="228"/>
      <c r="BU319" s="228"/>
      <c r="BV319" s="228"/>
      <c r="BW319" s="228"/>
      <c r="BX319" s="228"/>
      <c r="BY319" s="228"/>
      <c r="BZ319" s="228"/>
      <c r="CA319" s="228"/>
      <c r="CB319" s="228"/>
      <c r="CC319" s="228"/>
      <c r="CD319" s="228"/>
      <c r="CE319" s="228"/>
      <c r="CF319" s="228"/>
      <c r="CG319" s="228"/>
      <c r="CH319" s="228"/>
      <c r="CI319" s="228"/>
      <c r="CJ319" s="228"/>
      <c r="CK319" s="228"/>
      <c r="CL319" s="228"/>
      <c r="CM319" s="228"/>
      <c r="CN319" s="228"/>
      <c r="CO319" s="228"/>
      <c r="CP319" s="228"/>
      <c r="CQ319" s="228"/>
      <c r="CR319" s="228"/>
      <c r="CS319" s="228"/>
      <c r="CT319" s="228"/>
      <c r="CU319" s="228"/>
      <c r="CV319" s="228"/>
      <c r="CW319" s="228"/>
      <c r="CX319" s="228"/>
      <c r="CY319" s="228"/>
      <c r="CZ319" s="228"/>
      <c r="DA319" s="228"/>
      <c r="DB319" s="228"/>
    </row>
    <row r="320" ht="12.0" customHeight="1">
      <c r="A320" s="228"/>
      <c r="B320" s="228"/>
      <c r="C320" s="228"/>
      <c r="D320" s="228"/>
      <c r="E320" s="228"/>
      <c r="F320" s="228"/>
      <c r="G320" s="228"/>
      <c r="H320" s="228"/>
      <c r="I320" s="228"/>
      <c r="J320" s="228"/>
      <c r="K320" s="228"/>
      <c r="L320" s="228"/>
      <c r="M320" s="228"/>
      <c r="N320" s="228"/>
      <c r="O320" s="228"/>
      <c r="P320" s="228"/>
      <c r="Q320" s="228"/>
      <c r="R320" s="228"/>
      <c r="S320" s="228"/>
      <c r="T320" s="228"/>
      <c r="U320" s="228"/>
      <c r="V320" s="228"/>
      <c r="W320" s="228"/>
      <c r="X320" s="228"/>
      <c r="Y320" s="228"/>
      <c r="Z320" s="228"/>
      <c r="AA320" s="228"/>
      <c r="AB320" s="228"/>
      <c r="AC320" s="228"/>
      <c r="AD320" s="228"/>
      <c r="AE320" s="228"/>
      <c r="AF320" s="228"/>
      <c r="AG320" s="228"/>
      <c r="AH320" s="228"/>
      <c r="AI320" s="228"/>
      <c r="AJ320" s="228"/>
      <c r="AK320" s="228"/>
      <c r="AL320" s="228"/>
      <c r="AM320" s="228"/>
      <c r="AN320" s="228"/>
      <c r="AO320" s="228"/>
      <c r="AP320" s="228"/>
      <c r="AQ320" s="228"/>
      <c r="AR320" s="228"/>
      <c r="AS320" s="228"/>
      <c r="AT320" s="228"/>
      <c r="AU320" s="228"/>
      <c r="AV320" s="228"/>
      <c r="AW320" s="228"/>
      <c r="AX320" s="228"/>
      <c r="AY320" s="228"/>
      <c r="AZ320" s="228"/>
      <c r="BA320" s="228"/>
      <c r="BB320" s="228"/>
      <c r="BC320" s="228"/>
      <c r="BD320" s="228"/>
      <c r="BE320" s="228"/>
      <c r="BF320" s="228"/>
      <c r="BG320" s="228"/>
      <c r="BH320" s="228"/>
      <c r="BI320" s="228"/>
      <c r="BJ320" s="228"/>
      <c r="BK320" s="228"/>
      <c r="BL320" s="228"/>
      <c r="BM320" s="228"/>
      <c r="BN320" s="228"/>
      <c r="BO320" s="228"/>
      <c r="BP320" s="228"/>
      <c r="BQ320" s="228"/>
      <c r="BR320" s="228"/>
      <c r="BS320" s="228"/>
      <c r="BT320" s="228"/>
      <c r="BU320" s="228"/>
      <c r="BV320" s="228"/>
      <c r="BW320" s="228"/>
      <c r="BX320" s="228"/>
      <c r="BY320" s="228"/>
      <c r="BZ320" s="228"/>
      <c r="CA320" s="228"/>
      <c r="CB320" s="228"/>
      <c r="CC320" s="228"/>
      <c r="CD320" s="228"/>
      <c r="CE320" s="228"/>
      <c r="CF320" s="228"/>
      <c r="CG320" s="228"/>
      <c r="CH320" s="228"/>
      <c r="CI320" s="228"/>
      <c r="CJ320" s="228"/>
      <c r="CK320" s="228"/>
      <c r="CL320" s="228"/>
      <c r="CM320" s="228"/>
      <c r="CN320" s="228"/>
      <c r="CO320" s="228"/>
      <c r="CP320" s="228"/>
      <c r="CQ320" s="228"/>
      <c r="CR320" s="228"/>
      <c r="CS320" s="228"/>
      <c r="CT320" s="228"/>
      <c r="CU320" s="228"/>
      <c r="CV320" s="228"/>
      <c r="CW320" s="228"/>
      <c r="CX320" s="228"/>
      <c r="CY320" s="228"/>
      <c r="CZ320" s="228"/>
      <c r="DA320" s="228"/>
      <c r="DB320" s="228"/>
    </row>
    <row r="321" ht="12.0" customHeight="1">
      <c r="A321" s="228"/>
      <c r="B321" s="228"/>
      <c r="C321" s="228"/>
      <c r="D321" s="228"/>
      <c r="E321" s="228"/>
      <c r="F321" s="228"/>
      <c r="G321" s="228"/>
      <c r="H321" s="228"/>
      <c r="I321" s="228"/>
      <c r="J321" s="228"/>
      <c r="K321" s="228"/>
      <c r="L321" s="228"/>
      <c r="M321" s="228"/>
      <c r="N321" s="228"/>
      <c r="O321" s="228"/>
      <c r="P321" s="228"/>
      <c r="Q321" s="228"/>
      <c r="R321" s="228"/>
      <c r="S321" s="228"/>
      <c r="T321" s="228"/>
      <c r="U321" s="228"/>
      <c r="V321" s="228"/>
      <c r="W321" s="228"/>
      <c r="X321" s="228"/>
      <c r="Y321" s="228"/>
      <c r="Z321" s="228"/>
      <c r="AA321" s="228"/>
      <c r="AB321" s="228"/>
      <c r="AC321" s="228"/>
      <c r="AD321" s="228"/>
      <c r="AE321" s="228"/>
      <c r="AF321" s="228"/>
      <c r="AG321" s="228"/>
      <c r="AH321" s="228"/>
      <c r="AI321" s="228"/>
      <c r="AJ321" s="228"/>
      <c r="AK321" s="228"/>
      <c r="AL321" s="228"/>
      <c r="AM321" s="228"/>
      <c r="AN321" s="228"/>
      <c r="AO321" s="228"/>
      <c r="AP321" s="228"/>
      <c r="AQ321" s="228"/>
      <c r="AR321" s="228"/>
      <c r="AS321" s="228"/>
      <c r="AT321" s="228"/>
      <c r="AU321" s="228"/>
      <c r="AV321" s="228"/>
      <c r="AW321" s="228"/>
      <c r="AX321" s="228"/>
      <c r="AY321" s="228"/>
      <c r="AZ321" s="228"/>
      <c r="BA321" s="228"/>
      <c r="BB321" s="228"/>
      <c r="BC321" s="228"/>
      <c r="BD321" s="228"/>
      <c r="BE321" s="228"/>
      <c r="BF321" s="228"/>
      <c r="BG321" s="228"/>
      <c r="BH321" s="228"/>
      <c r="BI321" s="228"/>
      <c r="BJ321" s="228"/>
      <c r="BK321" s="228"/>
      <c r="BL321" s="228"/>
      <c r="BM321" s="228"/>
      <c r="BN321" s="228"/>
      <c r="BO321" s="228"/>
      <c r="BP321" s="228"/>
      <c r="BQ321" s="228"/>
      <c r="BR321" s="228"/>
      <c r="BS321" s="228"/>
      <c r="BT321" s="228"/>
      <c r="BU321" s="228"/>
      <c r="BV321" s="228"/>
      <c r="BW321" s="228"/>
      <c r="BX321" s="228"/>
      <c r="BY321" s="228"/>
      <c r="BZ321" s="228"/>
      <c r="CA321" s="228"/>
      <c r="CB321" s="228"/>
      <c r="CC321" s="228"/>
      <c r="CD321" s="228"/>
      <c r="CE321" s="228"/>
      <c r="CF321" s="228"/>
      <c r="CG321" s="228"/>
      <c r="CH321" s="228"/>
      <c r="CI321" s="228"/>
      <c r="CJ321" s="228"/>
      <c r="CK321" s="228"/>
      <c r="CL321" s="228"/>
      <c r="CM321" s="228"/>
      <c r="CN321" s="228"/>
      <c r="CO321" s="228"/>
      <c r="CP321" s="228"/>
      <c r="CQ321" s="228"/>
      <c r="CR321" s="228"/>
      <c r="CS321" s="228"/>
      <c r="CT321" s="228"/>
      <c r="CU321" s="228"/>
      <c r="CV321" s="228"/>
      <c r="CW321" s="228"/>
      <c r="CX321" s="228"/>
      <c r="CY321" s="228"/>
      <c r="CZ321" s="228"/>
      <c r="DA321" s="228"/>
      <c r="DB321" s="228"/>
    </row>
    <row r="322" ht="12.0" customHeight="1">
      <c r="A322" s="228"/>
      <c r="B322" s="228"/>
      <c r="C322" s="228"/>
      <c r="D322" s="228"/>
      <c r="E322" s="228"/>
      <c r="F322" s="228"/>
      <c r="G322" s="228"/>
      <c r="H322" s="228"/>
      <c r="I322" s="228"/>
      <c r="J322" s="228"/>
      <c r="K322" s="228"/>
      <c r="L322" s="228"/>
      <c r="M322" s="228"/>
      <c r="N322" s="228"/>
      <c r="O322" s="228"/>
      <c r="P322" s="228"/>
      <c r="Q322" s="228"/>
      <c r="R322" s="228"/>
      <c r="S322" s="228"/>
      <c r="T322" s="228"/>
      <c r="U322" s="228"/>
      <c r="V322" s="228"/>
      <c r="W322" s="228"/>
      <c r="X322" s="228"/>
      <c r="Y322" s="228"/>
      <c r="Z322" s="228"/>
      <c r="AA322" s="228"/>
      <c r="AB322" s="228"/>
      <c r="AC322" s="228"/>
      <c r="AD322" s="228"/>
      <c r="AE322" s="228"/>
      <c r="AF322" s="228"/>
      <c r="AG322" s="228"/>
      <c r="AH322" s="228"/>
      <c r="AI322" s="228"/>
      <c r="AJ322" s="228"/>
      <c r="AK322" s="228"/>
      <c r="AL322" s="228"/>
      <c r="AM322" s="228"/>
      <c r="AN322" s="228"/>
      <c r="AO322" s="228"/>
      <c r="AP322" s="228"/>
      <c r="AQ322" s="228"/>
      <c r="AR322" s="228"/>
      <c r="AS322" s="228"/>
      <c r="AT322" s="228"/>
      <c r="AU322" s="228"/>
      <c r="AV322" s="228"/>
      <c r="AW322" s="228"/>
      <c r="AX322" s="228"/>
      <c r="AY322" s="228"/>
      <c r="AZ322" s="228"/>
      <c r="BA322" s="228"/>
      <c r="BB322" s="228"/>
      <c r="BC322" s="228"/>
      <c r="BD322" s="228"/>
      <c r="BE322" s="228"/>
      <c r="BF322" s="228"/>
      <c r="BG322" s="228"/>
      <c r="BH322" s="228"/>
      <c r="BI322" s="228"/>
      <c r="BJ322" s="228"/>
      <c r="BK322" s="228"/>
      <c r="BL322" s="228"/>
      <c r="BM322" s="228"/>
      <c r="BN322" s="228"/>
      <c r="BO322" s="228"/>
      <c r="BP322" s="228"/>
      <c r="BQ322" s="228"/>
      <c r="BR322" s="228"/>
      <c r="BS322" s="228"/>
      <c r="BT322" s="228"/>
      <c r="BU322" s="228"/>
      <c r="BV322" s="228"/>
      <c r="BW322" s="228"/>
      <c r="BX322" s="228"/>
      <c r="BY322" s="228"/>
      <c r="BZ322" s="228"/>
      <c r="CA322" s="228"/>
      <c r="CB322" s="228"/>
      <c r="CC322" s="228"/>
      <c r="CD322" s="228"/>
      <c r="CE322" s="228"/>
      <c r="CF322" s="228"/>
      <c r="CG322" s="228"/>
      <c r="CH322" s="228"/>
      <c r="CI322" s="228"/>
      <c r="CJ322" s="228"/>
      <c r="CK322" s="228"/>
      <c r="CL322" s="228"/>
      <c r="CM322" s="228"/>
      <c r="CN322" s="228"/>
      <c r="CO322" s="228"/>
      <c r="CP322" s="228"/>
      <c r="CQ322" s="228"/>
      <c r="CR322" s="228"/>
      <c r="CS322" s="228"/>
      <c r="CT322" s="228"/>
      <c r="CU322" s="228"/>
      <c r="CV322" s="228"/>
      <c r="CW322" s="228"/>
      <c r="CX322" s="228"/>
      <c r="CY322" s="228"/>
      <c r="CZ322" s="228"/>
      <c r="DA322" s="228"/>
      <c r="DB322" s="228"/>
    </row>
    <row r="323" ht="12.0" customHeight="1">
      <c r="A323" s="228"/>
      <c r="B323" s="228"/>
      <c r="C323" s="228"/>
      <c r="D323" s="228"/>
      <c r="E323" s="228"/>
      <c r="F323" s="228"/>
      <c r="G323" s="228"/>
      <c r="H323" s="228"/>
      <c r="I323" s="228"/>
      <c r="J323" s="228"/>
      <c r="K323" s="228"/>
      <c r="L323" s="228"/>
      <c r="M323" s="228"/>
      <c r="N323" s="228"/>
      <c r="O323" s="228"/>
      <c r="P323" s="228"/>
      <c r="Q323" s="228"/>
      <c r="R323" s="228"/>
      <c r="S323" s="228"/>
      <c r="T323" s="228"/>
      <c r="U323" s="228"/>
      <c r="V323" s="228"/>
      <c r="W323" s="228"/>
      <c r="X323" s="228"/>
      <c r="Y323" s="228"/>
      <c r="Z323" s="228"/>
      <c r="AA323" s="228"/>
      <c r="AB323" s="228"/>
      <c r="AC323" s="228"/>
      <c r="AD323" s="228"/>
      <c r="AE323" s="228"/>
      <c r="AF323" s="228"/>
      <c r="AG323" s="228"/>
      <c r="AH323" s="228"/>
      <c r="AI323" s="228"/>
      <c r="AJ323" s="228"/>
      <c r="AK323" s="228"/>
      <c r="AL323" s="228"/>
      <c r="AM323" s="228"/>
      <c r="AN323" s="228"/>
      <c r="AO323" s="228"/>
      <c r="AP323" s="228"/>
      <c r="AQ323" s="228"/>
      <c r="AR323" s="228"/>
      <c r="AS323" s="228"/>
      <c r="AT323" s="228"/>
      <c r="AU323" s="228"/>
      <c r="AV323" s="228"/>
      <c r="AW323" s="228"/>
      <c r="AX323" s="228"/>
      <c r="AY323" s="228"/>
      <c r="AZ323" s="228"/>
      <c r="BA323" s="228"/>
      <c r="BB323" s="228"/>
      <c r="BC323" s="228"/>
      <c r="BD323" s="228"/>
      <c r="BE323" s="228"/>
      <c r="BF323" s="228"/>
      <c r="BG323" s="228"/>
      <c r="BH323" s="228"/>
      <c r="BI323" s="228"/>
      <c r="BJ323" s="228"/>
      <c r="BK323" s="228"/>
      <c r="BL323" s="228"/>
      <c r="BM323" s="228"/>
      <c r="BN323" s="228"/>
      <c r="BO323" s="228"/>
      <c r="BP323" s="228"/>
      <c r="BQ323" s="228"/>
      <c r="BR323" s="228"/>
      <c r="BS323" s="228"/>
      <c r="BT323" s="228"/>
      <c r="BU323" s="228"/>
      <c r="BV323" s="228"/>
      <c r="BW323" s="228"/>
      <c r="BX323" s="228"/>
      <c r="BY323" s="228"/>
      <c r="BZ323" s="228"/>
      <c r="CA323" s="228"/>
      <c r="CB323" s="228"/>
      <c r="CC323" s="228"/>
      <c r="CD323" s="228"/>
      <c r="CE323" s="228"/>
      <c r="CF323" s="228"/>
      <c r="CG323" s="228"/>
      <c r="CH323" s="228"/>
      <c r="CI323" s="228"/>
      <c r="CJ323" s="228"/>
      <c r="CK323" s="228"/>
      <c r="CL323" s="228"/>
      <c r="CM323" s="228"/>
      <c r="CN323" s="228"/>
      <c r="CO323" s="228"/>
      <c r="CP323" s="228"/>
      <c r="CQ323" s="228"/>
      <c r="CR323" s="228"/>
      <c r="CS323" s="228"/>
      <c r="CT323" s="228"/>
      <c r="CU323" s="228"/>
      <c r="CV323" s="228"/>
      <c r="CW323" s="228"/>
      <c r="CX323" s="228"/>
      <c r="CY323" s="228"/>
      <c r="CZ323" s="228"/>
      <c r="DA323" s="228"/>
      <c r="DB323" s="228"/>
    </row>
    <row r="324" ht="12.0" customHeight="1">
      <c r="A324" s="228"/>
      <c r="B324" s="228"/>
      <c r="C324" s="228"/>
      <c r="D324" s="228"/>
      <c r="E324" s="228"/>
      <c r="F324" s="228"/>
      <c r="G324" s="228"/>
      <c r="H324" s="228"/>
      <c r="I324" s="228"/>
      <c r="J324" s="228"/>
      <c r="K324" s="228"/>
      <c r="L324" s="228"/>
      <c r="M324" s="228"/>
      <c r="N324" s="228"/>
      <c r="O324" s="228"/>
      <c r="P324" s="228"/>
      <c r="Q324" s="228"/>
      <c r="R324" s="228"/>
      <c r="S324" s="228"/>
      <c r="T324" s="228"/>
      <c r="U324" s="228"/>
      <c r="V324" s="228"/>
      <c r="W324" s="228"/>
      <c r="X324" s="228"/>
      <c r="Y324" s="228"/>
      <c r="Z324" s="228"/>
      <c r="AA324" s="228"/>
      <c r="AB324" s="228"/>
      <c r="AC324" s="228"/>
      <c r="AD324" s="228"/>
      <c r="AE324" s="228"/>
      <c r="AF324" s="228"/>
      <c r="AG324" s="228"/>
      <c r="AH324" s="228"/>
      <c r="AI324" s="228"/>
      <c r="AJ324" s="228"/>
      <c r="AK324" s="228"/>
      <c r="AL324" s="228"/>
      <c r="AM324" s="228"/>
      <c r="AN324" s="228"/>
      <c r="AO324" s="228"/>
      <c r="AP324" s="228"/>
      <c r="AQ324" s="228"/>
      <c r="AR324" s="228"/>
      <c r="AS324" s="228"/>
      <c r="AT324" s="228"/>
      <c r="AU324" s="228"/>
      <c r="AV324" s="228"/>
      <c r="AW324" s="228"/>
      <c r="AX324" s="228"/>
      <c r="AY324" s="228"/>
      <c r="AZ324" s="228"/>
      <c r="BA324" s="228"/>
      <c r="BB324" s="228"/>
      <c r="BC324" s="228"/>
      <c r="BD324" s="228"/>
      <c r="BE324" s="228"/>
      <c r="BF324" s="228"/>
      <c r="BG324" s="228"/>
      <c r="BH324" s="228"/>
      <c r="BI324" s="228"/>
      <c r="BJ324" s="228"/>
      <c r="BK324" s="228"/>
      <c r="BL324" s="228"/>
      <c r="BM324" s="228"/>
      <c r="BN324" s="228"/>
      <c r="BO324" s="228"/>
      <c r="BP324" s="228"/>
      <c r="BQ324" s="228"/>
      <c r="BR324" s="228"/>
      <c r="BS324" s="228"/>
      <c r="BT324" s="228"/>
      <c r="BU324" s="228"/>
      <c r="BV324" s="228"/>
      <c r="BW324" s="228"/>
      <c r="BX324" s="228"/>
      <c r="BY324" s="228"/>
      <c r="BZ324" s="228"/>
      <c r="CA324" s="228"/>
      <c r="CB324" s="228"/>
      <c r="CC324" s="228"/>
      <c r="CD324" s="228"/>
      <c r="CE324" s="228"/>
      <c r="CF324" s="228"/>
      <c r="CG324" s="228"/>
      <c r="CH324" s="228"/>
      <c r="CI324" s="228"/>
      <c r="CJ324" s="228"/>
      <c r="CK324" s="228"/>
      <c r="CL324" s="228"/>
      <c r="CM324" s="228"/>
      <c r="CN324" s="228"/>
      <c r="CO324" s="228"/>
      <c r="CP324" s="228"/>
      <c r="CQ324" s="228"/>
      <c r="CR324" s="228"/>
      <c r="CS324" s="228"/>
      <c r="CT324" s="228"/>
      <c r="CU324" s="228"/>
      <c r="CV324" s="228"/>
      <c r="CW324" s="228"/>
      <c r="CX324" s="228"/>
      <c r="CY324" s="228"/>
      <c r="CZ324" s="228"/>
      <c r="DA324" s="228"/>
      <c r="DB324" s="228"/>
    </row>
    <row r="325" ht="12.0" customHeight="1">
      <c r="A325" s="228"/>
      <c r="B325" s="228"/>
      <c r="C325" s="228"/>
      <c r="D325" s="228"/>
      <c r="E325" s="228"/>
      <c r="F325" s="228"/>
      <c r="G325" s="228"/>
      <c r="H325" s="228"/>
      <c r="I325" s="228"/>
      <c r="J325" s="228"/>
      <c r="K325" s="228"/>
      <c r="L325" s="228"/>
      <c r="M325" s="228"/>
      <c r="N325" s="228"/>
      <c r="O325" s="228"/>
      <c r="P325" s="228"/>
      <c r="Q325" s="228"/>
      <c r="R325" s="228"/>
      <c r="S325" s="228"/>
      <c r="T325" s="228"/>
      <c r="U325" s="228"/>
      <c r="V325" s="228"/>
      <c r="W325" s="228"/>
      <c r="X325" s="228"/>
      <c r="Y325" s="228"/>
      <c r="Z325" s="228"/>
      <c r="AA325" s="228"/>
      <c r="AB325" s="228"/>
      <c r="AC325" s="228"/>
      <c r="AD325" s="228"/>
      <c r="AE325" s="228"/>
      <c r="AF325" s="228"/>
      <c r="AG325" s="228"/>
      <c r="AH325" s="228"/>
      <c r="AI325" s="228"/>
      <c r="AJ325" s="228"/>
      <c r="AK325" s="228"/>
      <c r="AL325" s="228"/>
      <c r="AM325" s="228"/>
      <c r="AN325" s="228"/>
      <c r="AO325" s="228"/>
      <c r="AP325" s="228"/>
      <c r="AQ325" s="228"/>
      <c r="AR325" s="228"/>
      <c r="AS325" s="228"/>
      <c r="AT325" s="228"/>
      <c r="AU325" s="228"/>
      <c r="AV325" s="228"/>
      <c r="AW325" s="228"/>
      <c r="AX325" s="228"/>
      <c r="AY325" s="228"/>
      <c r="AZ325" s="228"/>
      <c r="BA325" s="228"/>
      <c r="BB325" s="228"/>
      <c r="BC325" s="228"/>
      <c r="BD325" s="228"/>
      <c r="BE325" s="228"/>
      <c r="BF325" s="228"/>
      <c r="BG325" s="228"/>
      <c r="BH325" s="228"/>
      <c r="BI325" s="228"/>
      <c r="BJ325" s="228"/>
      <c r="BK325" s="228"/>
      <c r="BL325" s="228"/>
      <c r="BM325" s="228"/>
      <c r="BN325" s="228"/>
      <c r="BO325" s="228"/>
      <c r="BP325" s="228"/>
      <c r="BQ325" s="228"/>
      <c r="BR325" s="228"/>
      <c r="BS325" s="228"/>
      <c r="BT325" s="228"/>
      <c r="BU325" s="228"/>
      <c r="BV325" s="228"/>
      <c r="BW325" s="228"/>
      <c r="BX325" s="228"/>
      <c r="BY325" s="228"/>
      <c r="BZ325" s="228"/>
      <c r="CA325" s="228"/>
      <c r="CB325" s="228"/>
      <c r="CC325" s="228"/>
      <c r="CD325" s="228"/>
      <c r="CE325" s="228"/>
      <c r="CF325" s="228"/>
      <c r="CG325" s="228"/>
      <c r="CH325" s="228"/>
      <c r="CI325" s="228"/>
      <c r="CJ325" s="228"/>
      <c r="CK325" s="228"/>
      <c r="CL325" s="228"/>
      <c r="CM325" s="228"/>
      <c r="CN325" s="228"/>
      <c r="CO325" s="228"/>
      <c r="CP325" s="228"/>
      <c r="CQ325" s="228"/>
      <c r="CR325" s="228"/>
      <c r="CS325" s="228"/>
      <c r="CT325" s="228"/>
      <c r="CU325" s="228"/>
      <c r="CV325" s="228"/>
      <c r="CW325" s="228"/>
      <c r="CX325" s="228"/>
      <c r="CY325" s="228"/>
      <c r="CZ325" s="228"/>
      <c r="DA325" s="228"/>
      <c r="DB325" s="228"/>
    </row>
    <row r="326" ht="12.0" customHeight="1">
      <c r="A326" s="228"/>
      <c r="B326" s="228"/>
      <c r="C326" s="228"/>
      <c r="D326" s="228"/>
      <c r="E326" s="228"/>
      <c r="F326" s="228"/>
      <c r="G326" s="228"/>
      <c r="H326" s="228"/>
      <c r="I326" s="228"/>
      <c r="J326" s="228"/>
      <c r="K326" s="228"/>
      <c r="L326" s="228"/>
      <c r="M326" s="228"/>
      <c r="N326" s="228"/>
      <c r="O326" s="228"/>
      <c r="P326" s="228"/>
      <c r="Q326" s="228"/>
      <c r="R326" s="228"/>
      <c r="S326" s="228"/>
      <c r="T326" s="228"/>
      <c r="U326" s="228"/>
      <c r="V326" s="228"/>
      <c r="W326" s="228"/>
      <c r="X326" s="228"/>
      <c r="Y326" s="228"/>
      <c r="Z326" s="228"/>
      <c r="AA326" s="228"/>
      <c r="AB326" s="228"/>
      <c r="AC326" s="228"/>
      <c r="AD326" s="228"/>
      <c r="AE326" s="228"/>
      <c r="AF326" s="228"/>
      <c r="AG326" s="228"/>
      <c r="AH326" s="228"/>
      <c r="AI326" s="228"/>
      <c r="AJ326" s="228"/>
      <c r="AK326" s="228"/>
      <c r="AL326" s="228"/>
      <c r="AM326" s="228"/>
      <c r="AN326" s="228"/>
      <c r="AO326" s="228"/>
      <c r="AP326" s="228"/>
      <c r="AQ326" s="228"/>
      <c r="AR326" s="228"/>
      <c r="AS326" s="228"/>
      <c r="AT326" s="228"/>
      <c r="AU326" s="228"/>
      <c r="AV326" s="228"/>
      <c r="AW326" s="228"/>
      <c r="AX326" s="228"/>
      <c r="AY326" s="228"/>
      <c r="AZ326" s="228"/>
      <c r="BA326" s="228"/>
      <c r="BB326" s="228"/>
      <c r="BC326" s="228"/>
      <c r="BD326" s="228"/>
      <c r="BE326" s="228"/>
      <c r="BF326" s="228"/>
      <c r="BG326" s="228"/>
      <c r="BH326" s="228"/>
      <c r="BI326" s="228"/>
      <c r="BJ326" s="228"/>
      <c r="BK326" s="228"/>
      <c r="BL326" s="228"/>
      <c r="BM326" s="228"/>
      <c r="BN326" s="228"/>
      <c r="BO326" s="228"/>
      <c r="BP326" s="228"/>
      <c r="BQ326" s="228"/>
      <c r="BR326" s="228"/>
      <c r="BS326" s="228"/>
      <c r="BT326" s="228"/>
      <c r="BU326" s="228"/>
      <c r="BV326" s="228"/>
      <c r="BW326" s="228"/>
      <c r="BX326" s="228"/>
      <c r="BY326" s="228"/>
      <c r="BZ326" s="228"/>
      <c r="CA326" s="228"/>
      <c r="CB326" s="228"/>
      <c r="CC326" s="228"/>
      <c r="CD326" s="228"/>
      <c r="CE326" s="228"/>
      <c r="CF326" s="228"/>
      <c r="CG326" s="228"/>
      <c r="CH326" s="228"/>
      <c r="CI326" s="228"/>
      <c r="CJ326" s="228"/>
      <c r="CK326" s="228"/>
      <c r="CL326" s="228"/>
      <c r="CM326" s="228"/>
      <c r="CN326" s="228"/>
      <c r="CO326" s="228"/>
      <c r="CP326" s="228"/>
      <c r="CQ326" s="228"/>
      <c r="CR326" s="228"/>
      <c r="CS326" s="228"/>
      <c r="CT326" s="228"/>
      <c r="CU326" s="228"/>
      <c r="CV326" s="228"/>
      <c r="CW326" s="228"/>
      <c r="CX326" s="228"/>
      <c r="CY326" s="228"/>
      <c r="CZ326" s="228"/>
      <c r="DA326" s="228"/>
      <c r="DB326" s="228"/>
    </row>
    <row r="327" ht="12.0" customHeight="1">
      <c r="A327" s="228"/>
      <c r="B327" s="228"/>
      <c r="C327" s="228"/>
      <c r="D327" s="228"/>
      <c r="E327" s="228"/>
      <c r="F327" s="228"/>
      <c r="G327" s="228"/>
      <c r="H327" s="228"/>
      <c r="I327" s="228"/>
      <c r="J327" s="228"/>
      <c r="K327" s="228"/>
      <c r="L327" s="228"/>
      <c r="M327" s="228"/>
      <c r="N327" s="228"/>
      <c r="O327" s="228"/>
      <c r="P327" s="228"/>
      <c r="Q327" s="228"/>
      <c r="R327" s="228"/>
      <c r="S327" s="228"/>
      <c r="T327" s="228"/>
      <c r="U327" s="228"/>
      <c r="V327" s="228"/>
      <c r="W327" s="228"/>
      <c r="X327" s="228"/>
      <c r="Y327" s="228"/>
      <c r="Z327" s="228"/>
      <c r="AA327" s="228"/>
      <c r="AB327" s="228"/>
      <c r="AC327" s="228"/>
      <c r="AD327" s="228"/>
      <c r="AE327" s="228"/>
      <c r="AF327" s="228"/>
      <c r="AG327" s="228"/>
      <c r="AH327" s="228"/>
      <c r="AI327" s="228"/>
      <c r="AJ327" s="228"/>
      <c r="AK327" s="228"/>
      <c r="AL327" s="228"/>
      <c r="AM327" s="228"/>
      <c r="AN327" s="228"/>
      <c r="AO327" s="228"/>
      <c r="AP327" s="228"/>
      <c r="AQ327" s="228"/>
      <c r="AR327" s="228"/>
      <c r="AS327" s="228"/>
      <c r="AT327" s="228"/>
      <c r="AU327" s="228"/>
      <c r="AV327" s="228"/>
      <c r="AW327" s="228"/>
      <c r="AX327" s="228"/>
      <c r="AY327" s="228"/>
      <c r="AZ327" s="228"/>
      <c r="BA327" s="228"/>
      <c r="BB327" s="228"/>
      <c r="BC327" s="228"/>
      <c r="BD327" s="228"/>
      <c r="BE327" s="228"/>
      <c r="BF327" s="228"/>
      <c r="BG327" s="228"/>
      <c r="BH327" s="228"/>
      <c r="BI327" s="228"/>
      <c r="BJ327" s="228"/>
      <c r="BK327" s="228"/>
      <c r="BL327" s="228"/>
      <c r="BM327" s="228"/>
      <c r="BN327" s="228"/>
      <c r="BO327" s="228"/>
      <c r="BP327" s="228"/>
      <c r="BQ327" s="228"/>
      <c r="BR327" s="228"/>
      <c r="BS327" s="228"/>
      <c r="BT327" s="228"/>
      <c r="BU327" s="228"/>
      <c r="BV327" s="228"/>
      <c r="BW327" s="228"/>
      <c r="BX327" s="228"/>
      <c r="BY327" s="228"/>
      <c r="BZ327" s="228"/>
      <c r="CA327" s="228"/>
      <c r="CB327" s="228"/>
      <c r="CC327" s="228"/>
      <c r="CD327" s="228"/>
      <c r="CE327" s="228"/>
      <c r="CF327" s="228"/>
      <c r="CG327" s="228"/>
      <c r="CH327" s="228"/>
      <c r="CI327" s="228"/>
      <c r="CJ327" s="228"/>
      <c r="CK327" s="228"/>
      <c r="CL327" s="228"/>
      <c r="CM327" s="228"/>
      <c r="CN327" s="228"/>
      <c r="CO327" s="228"/>
      <c r="CP327" s="228"/>
      <c r="CQ327" s="228"/>
      <c r="CR327" s="228"/>
      <c r="CS327" s="228"/>
      <c r="CT327" s="228"/>
      <c r="CU327" s="228"/>
      <c r="CV327" s="228"/>
      <c r="CW327" s="228"/>
      <c r="CX327" s="228"/>
      <c r="CY327" s="228"/>
      <c r="CZ327" s="228"/>
      <c r="DA327" s="228"/>
      <c r="DB327" s="228"/>
    </row>
    <row r="328" ht="12.0" customHeight="1">
      <c r="A328" s="228"/>
      <c r="B328" s="228"/>
      <c r="C328" s="228"/>
      <c r="D328" s="228"/>
      <c r="E328" s="228"/>
      <c r="F328" s="228"/>
      <c r="G328" s="228"/>
      <c r="H328" s="228"/>
      <c r="I328" s="228"/>
      <c r="J328" s="228"/>
      <c r="K328" s="228"/>
      <c r="L328" s="228"/>
      <c r="M328" s="228"/>
      <c r="N328" s="228"/>
      <c r="O328" s="228"/>
      <c r="P328" s="228"/>
      <c r="Q328" s="228"/>
      <c r="R328" s="228"/>
      <c r="S328" s="228"/>
      <c r="T328" s="228"/>
      <c r="U328" s="228"/>
      <c r="V328" s="228"/>
      <c r="W328" s="228"/>
      <c r="X328" s="228"/>
      <c r="Y328" s="228"/>
      <c r="Z328" s="228"/>
      <c r="AA328" s="228"/>
      <c r="AB328" s="228"/>
      <c r="AC328" s="228"/>
      <c r="AD328" s="228"/>
      <c r="AE328" s="228"/>
      <c r="AF328" s="228"/>
      <c r="AG328" s="228"/>
      <c r="AH328" s="228"/>
      <c r="AI328" s="228"/>
      <c r="AJ328" s="228"/>
      <c r="AK328" s="228"/>
      <c r="AL328" s="228"/>
      <c r="AM328" s="228"/>
      <c r="AN328" s="228"/>
      <c r="AO328" s="228"/>
      <c r="AP328" s="228"/>
      <c r="AQ328" s="228"/>
      <c r="AR328" s="228"/>
      <c r="AS328" s="228"/>
      <c r="AT328" s="228"/>
      <c r="AU328" s="228"/>
      <c r="AV328" s="228"/>
      <c r="AW328" s="228"/>
      <c r="AX328" s="228"/>
      <c r="AY328" s="228"/>
      <c r="AZ328" s="228"/>
      <c r="BA328" s="228"/>
      <c r="BB328" s="228"/>
      <c r="BC328" s="228"/>
      <c r="BD328" s="228"/>
      <c r="BE328" s="228"/>
      <c r="BF328" s="228"/>
      <c r="BG328" s="228"/>
      <c r="BH328" s="228"/>
      <c r="BI328" s="228"/>
      <c r="BJ328" s="228"/>
      <c r="BK328" s="228"/>
      <c r="BL328" s="228"/>
      <c r="BM328" s="228"/>
      <c r="BN328" s="228"/>
      <c r="BO328" s="228"/>
      <c r="BP328" s="228"/>
      <c r="BQ328" s="228"/>
      <c r="BR328" s="228"/>
      <c r="BS328" s="228"/>
      <c r="BT328" s="228"/>
      <c r="BU328" s="228"/>
      <c r="BV328" s="228"/>
      <c r="BW328" s="228"/>
      <c r="BX328" s="228"/>
      <c r="BY328" s="228"/>
      <c r="BZ328" s="228"/>
      <c r="CA328" s="228"/>
      <c r="CB328" s="228"/>
      <c r="CC328" s="228"/>
      <c r="CD328" s="228"/>
      <c r="CE328" s="228"/>
      <c r="CF328" s="228"/>
      <c r="CG328" s="228"/>
      <c r="CH328" s="228"/>
      <c r="CI328" s="228"/>
      <c r="CJ328" s="228"/>
      <c r="CK328" s="228"/>
      <c r="CL328" s="228"/>
      <c r="CM328" s="228"/>
      <c r="CN328" s="228"/>
      <c r="CO328" s="228"/>
      <c r="CP328" s="228"/>
      <c r="CQ328" s="228"/>
      <c r="CR328" s="228"/>
      <c r="CS328" s="228"/>
      <c r="CT328" s="228"/>
      <c r="CU328" s="228"/>
      <c r="CV328" s="228"/>
      <c r="CW328" s="228"/>
      <c r="CX328" s="228"/>
      <c r="CY328" s="228"/>
      <c r="CZ328" s="228"/>
      <c r="DA328" s="228"/>
      <c r="DB328" s="228"/>
    </row>
    <row r="329" ht="12.0" customHeight="1">
      <c r="A329" s="228"/>
      <c r="B329" s="228"/>
      <c r="C329" s="228"/>
      <c r="D329" s="228"/>
      <c r="E329" s="228"/>
      <c r="F329" s="228"/>
      <c r="G329" s="228"/>
      <c r="H329" s="228"/>
      <c r="I329" s="228"/>
      <c r="J329" s="228"/>
      <c r="K329" s="228"/>
      <c r="L329" s="228"/>
      <c r="M329" s="228"/>
      <c r="N329" s="228"/>
      <c r="O329" s="228"/>
      <c r="P329" s="228"/>
      <c r="Q329" s="228"/>
      <c r="R329" s="228"/>
      <c r="S329" s="228"/>
      <c r="T329" s="228"/>
      <c r="U329" s="228"/>
      <c r="V329" s="228"/>
      <c r="W329" s="228"/>
      <c r="X329" s="228"/>
      <c r="Y329" s="228"/>
      <c r="Z329" s="228"/>
      <c r="AA329" s="228"/>
      <c r="AB329" s="228"/>
      <c r="AC329" s="228"/>
      <c r="AD329" s="228"/>
      <c r="AE329" s="228"/>
      <c r="AF329" s="228"/>
      <c r="AG329" s="228"/>
      <c r="AH329" s="228"/>
      <c r="AI329" s="228"/>
      <c r="AJ329" s="228"/>
      <c r="AK329" s="228"/>
      <c r="AL329" s="228"/>
      <c r="AM329" s="228"/>
      <c r="AN329" s="228"/>
      <c r="AO329" s="228"/>
      <c r="AP329" s="228"/>
      <c r="AQ329" s="228"/>
      <c r="AR329" s="228"/>
      <c r="AS329" s="228"/>
      <c r="AT329" s="228"/>
      <c r="AU329" s="228"/>
      <c r="AV329" s="228"/>
      <c r="AW329" s="228"/>
      <c r="AX329" s="228"/>
      <c r="AY329" s="228"/>
      <c r="AZ329" s="228"/>
      <c r="BA329" s="228"/>
      <c r="BB329" s="228"/>
      <c r="BC329" s="228"/>
      <c r="BD329" s="228"/>
      <c r="BE329" s="228"/>
      <c r="BF329" s="228"/>
      <c r="BG329" s="228"/>
      <c r="BH329" s="228"/>
      <c r="BI329" s="228"/>
      <c r="BJ329" s="228"/>
      <c r="BK329" s="228"/>
      <c r="BL329" s="228"/>
      <c r="BM329" s="228"/>
      <c r="BN329" s="228"/>
      <c r="BO329" s="228"/>
      <c r="BP329" s="228"/>
      <c r="BQ329" s="228"/>
      <c r="BR329" s="228"/>
      <c r="BS329" s="228"/>
      <c r="BT329" s="228"/>
      <c r="BU329" s="228"/>
      <c r="BV329" s="228"/>
      <c r="BW329" s="228"/>
      <c r="BX329" s="228"/>
      <c r="BY329" s="228"/>
      <c r="BZ329" s="228"/>
      <c r="CA329" s="228"/>
      <c r="CB329" s="228"/>
      <c r="CC329" s="228"/>
      <c r="CD329" s="228"/>
      <c r="CE329" s="228"/>
      <c r="CF329" s="228"/>
      <c r="CG329" s="228"/>
      <c r="CH329" s="228"/>
      <c r="CI329" s="228"/>
      <c r="CJ329" s="228"/>
      <c r="CK329" s="228"/>
      <c r="CL329" s="228"/>
      <c r="CM329" s="228"/>
      <c r="CN329" s="228"/>
      <c r="CO329" s="228"/>
      <c r="CP329" s="228"/>
      <c r="CQ329" s="228"/>
      <c r="CR329" s="228"/>
      <c r="CS329" s="228"/>
      <c r="CT329" s="228"/>
      <c r="CU329" s="228"/>
      <c r="CV329" s="228"/>
      <c r="CW329" s="228"/>
      <c r="CX329" s="228"/>
      <c r="CY329" s="228"/>
      <c r="CZ329" s="228"/>
      <c r="DA329" s="228"/>
      <c r="DB329" s="228"/>
    </row>
    <row r="330" ht="12.0" customHeight="1">
      <c r="A330" s="228"/>
      <c r="B330" s="228"/>
      <c r="C330" s="228"/>
      <c r="D330" s="228"/>
      <c r="E330" s="228"/>
      <c r="F330" s="228"/>
      <c r="G330" s="228"/>
      <c r="H330" s="228"/>
      <c r="I330" s="228"/>
      <c r="J330" s="228"/>
      <c r="K330" s="228"/>
      <c r="L330" s="228"/>
      <c r="M330" s="228"/>
      <c r="N330" s="228"/>
      <c r="O330" s="228"/>
      <c r="P330" s="228"/>
      <c r="Q330" s="228"/>
      <c r="R330" s="228"/>
      <c r="S330" s="228"/>
      <c r="T330" s="228"/>
      <c r="U330" s="228"/>
      <c r="V330" s="228"/>
      <c r="W330" s="228"/>
      <c r="X330" s="228"/>
      <c r="Y330" s="228"/>
      <c r="Z330" s="228"/>
      <c r="AA330" s="228"/>
      <c r="AB330" s="228"/>
      <c r="AC330" s="228"/>
      <c r="AD330" s="228"/>
      <c r="AE330" s="228"/>
      <c r="AF330" s="228"/>
      <c r="AG330" s="228"/>
      <c r="AH330" s="228"/>
      <c r="AI330" s="228"/>
      <c r="AJ330" s="228"/>
      <c r="AK330" s="228"/>
      <c r="AL330" s="228"/>
      <c r="AM330" s="228"/>
      <c r="AN330" s="228"/>
      <c r="AO330" s="228"/>
      <c r="AP330" s="228"/>
      <c r="AQ330" s="228"/>
      <c r="AR330" s="228"/>
      <c r="AS330" s="228"/>
      <c r="AT330" s="228"/>
      <c r="AU330" s="228"/>
      <c r="AV330" s="228"/>
      <c r="AW330" s="228"/>
      <c r="AX330" s="228"/>
      <c r="AY330" s="228"/>
      <c r="AZ330" s="228"/>
      <c r="BA330" s="228"/>
      <c r="BB330" s="228"/>
      <c r="BC330" s="228"/>
      <c r="BD330" s="228"/>
      <c r="BE330" s="228"/>
      <c r="BF330" s="228"/>
      <c r="BG330" s="228"/>
      <c r="BH330" s="228"/>
      <c r="BI330" s="228"/>
      <c r="BJ330" s="228"/>
      <c r="BK330" s="228"/>
      <c r="BL330" s="228"/>
      <c r="BM330" s="228"/>
      <c r="BN330" s="228"/>
      <c r="BO330" s="228"/>
      <c r="BP330" s="228"/>
      <c r="BQ330" s="228"/>
      <c r="BR330" s="228"/>
      <c r="BS330" s="228"/>
      <c r="BT330" s="228"/>
      <c r="BU330" s="228"/>
      <c r="BV330" s="228"/>
      <c r="BW330" s="228"/>
      <c r="BX330" s="228"/>
      <c r="BY330" s="228"/>
      <c r="BZ330" s="228"/>
      <c r="CA330" s="228"/>
      <c r="CB330" s="228"/>
      <c r="CC330" s="228"/>
      <c r="CD330" s="228"/>
      <c r="CE330" s="228"/>
      <c r="CF330" s="228"/>
      <c r="CG330" s="228"/>
      <c r="CH330" s="228"/>
      <c r="CI330" s="228"/>
      <c r="CJ330" s="228"/>
      <c r="CK330" s="228"/>
      <c r="CL330" s="228"/>
      <c r="CM330" s="228"/>
      <c r="CN330" s="228"/>
      <c r="CO330" s="228"/>
      <c r="CP330" s="228"/>
      <c r="CQ330" s="228"/>
      <c r="CR330" s="228"/>
      <c r="CS330" s="228"/>
      <c r="CT330" s="228"/>
      <c r="CU330" s="228"/>
      <c r="CV330" s="228"/>
      <c r="CW330" s="228"/>
      <c r="CX330" s="228"/>
      <c r="CY330" s="228"/>
      <c r="CZ330" s="228"/>
      <c r="DA330" s="228"/>
      <c r="DB330" s="228"/>
    </row>
    <row r="331" ht="12.0" customHeight="1">
      <c r="A331" s="228"/>
      <c r="B331" s="228"/>
      <c r="C331" s="228"/>
      <c r="D331" s="228"/>
      <c r="E331" s="228"/>
      <c r="F331" s="228"/>
      <c r="G331" s="228"/>
      <c r="H331" s="228"/>
      <c r="I331" s="228"/>
      <c r="J331" s="228"/>
      <c r="K331" s="228"/>
      <c r="L331" s="228"/>
      <c r="M331" s="228"/>
      <c r="N331" s="228"/>
      <c r="O331" s="228"/>
      <c r="P331" s="228"/>
      <c r="Q331" s="228"/>
      <c r="R331" s="228"/>
      <c r="S331" s="228"/>
      <c r="T331" s="228"/>
      <c r="U331" s="228"/>
      <c r="V331" s="228"/>
      <c r="W331" s="228"/>
      <c r="X331" s="228"/>
      <c r="Y331" s="228"/>
      <c r="Z331" s="228"/>
      <c r="AA331" s="228"/>
      <c r="AB331" s="228"/>
      <c r="AC331" s="228"/>
      <c r="AD331" s="228"/>
      <c r="AE331" s="228"/>
      <c r="AF331" s="228"/>
      <c r="AG331" s="228"/>
      <c r="AH331" s="228"/>
      <c r="AI331" s="228"/>
      <c r="AJ331" s="228"/>
      <c r="AK331" s="228"/>
      <c r="AL331" s="228"/>
      <c r="AM331" s="228"/>
      <c r="AN331" s="228"/>
      <c r="AO331" s="228"/>
      <c r="AP331" s="228"/>
      <c r="AQ331" s="228"/>
      <c r="AR331" s="228"/>
      <c r="AS331" s="228"/>
      <c r="AT331" s="228"/>
      <c r="AU331" s="228"/>
      <c r="AV331" s="228"/>
      <c r="AW331" s="228"/>
      <c r="AX331" s="228"/>
      <c r="AY331" s="228"/>
      <c r="AZ331" s="228"/>
      <c r="BA331" s="228"/>
      <c r="BB331" s="228"/>
      <c r="BC331" s="228"/>
      <c r="BD331" s="228"/>
      <c r="BE331" s="228"/>
      <c r="BF331" s="228"/>
      <c r="BG331" s="228"/>
      <c r="BH331" s="228"/>
      <c r="BI331" s="228"/>
      <c r="BJ331" s="228"/>
      <c r="BK331" s="228"/>
      <c r="BL331" s="228"/>
      <c r="BM331" s="228"/>
      <c r="BN331" s="228"/>
      <c r="BO331" s="228"/>
      <c r="BP331" s="228"/>
      <c r="BQ331" s="228"/>
      <c r="BR331" s="228"/>
      <c r="BS331" s="228"/>
      <c r="BT331" s="228"/>
      <c r="BU331" s="228"/>
      <c r="BV331" s="228"/>
      <c r="BW331" s="228"/>
      <c r="BX331" s="228"/>
      <c r="BY331" s="228"/>
      <c r="BZ331" s="228"/>
      <c r="CA331" s="228"/>
      <c r="CB331" s="228"/>
      <c r="CC331" s="228"/>
      <c r="CD331" s="228"/>
      <c r="CE331" s="228"/>
      <c r="CF331" s="228"/>
      <c r="CG331" s="228"/>
      <c r="CH331" s="228"/>
      <c r="CI331" s="228"/>
      <c r="CJ331" s="228"/>
      <c r="CK331" s="228"/>
      <c r="CL331" s="228"/>
      <c r="CM331" s="228"/>
      <c r="CN331" s="228"/>
      <c r="CO331" s="228"/>
      <c r="CP331" s="228"/>
      <c r="CQ331" s="228"/>
      <c r="CR331" s="228"/>
      <c r="CS331" s="228"/>
      <c r="CT331" s="228"/>
      <c r="CU331" s="228"/>
      <c r="CV331" s="228"/>
      <c r="CW331" s="228"/>
      <c r="CX331" s="228"/>
      <c r="CY331" s="228"/>
      <c r="CZ331" s="228"/>
      <c r="DA331" s="228"/>
      <c r="DB331" s="228"/>
    </row>
    <row r="332" ht="12.0" customHeight="1">
      <c r="A332" s="228"/>
      <c r="B332" s="228"/>
      <c r="C332" s="228"/>
      <c r="D332" s="228"/>
      <c r="E332" s="228"/>
      <c r="F332" s="228"/>
      <c r="G332" s="228"/>
      <c r="H332" s="228"/>
      <c r="I332" s="228"/>
      <c r="J332" s="228"/>
      <c r="K332" s="228"/>
      <c r="L332" s="228"/>
      <c r="M332" s="228"/>
      <c r="N332" s="228"/>
      <c r="O332" s="228"/>
      <c r="P332" s="228"/>
      <c r="Q332" s="228"/>
      <c r="R332" s="228"/>
      <c r="S332" s="228"/>
      <c r="T332" s="228"/>
      <c r="U332" s="228"/>
      <c r="V332" s="228"/>
      <c r="W332" s="228"/>
      <c r="X332" s="228"/>
      <c r="Y332" s="228"/>
      <c r="Z332" s="228"/>
      <c r="AA332" s="228"/>
      <c r="AB332" s="228"/>
      <c r="AC332" s="228"/>
      <c r="AD332" s="228"/>
      <c r="AE332" s="228"/>
      <c r="AF332" s="228"/>
      <c r="AG332" s="228"/>
      <c r="AH332" s="228"/>
      <c r="AI332" s="228"/>
      <c r="AJ332" s="228"/>
      <c r="AK332" s="228"/>
      <c r="AL332" s="228"/>
      <c r="AM332" s="228"/>
      <c r="AN332" s="228"/>
      <c r="AO332" s="228"/>
      <c r="AP332" s="228"/>
      <c r="AQ332" s="228"/>
      <c r="AR332" s="228"/>
      <c r="AS332" s="228"/>
      <c r="AT332" s="228"/>
      <c r="AU332" s="228"/>
      <c r="AV332" s="228"/>
      <c r="AW332" s="228"/>
      <c r="AX332" s="228"/>
      <c r="AY332" s="228"/>
      <c r="AZ332" s="228"/>
      <c r="BA332" s="228"/>
      <c r="BB332" s="228"/>
      <c r="BC332" s="228"/>
      <c r="BD332" s="228"/>
      <c r="BE332" s="228"/>
      <c r="BF332" s="228"/>
      <c r="BG332" s="228"/>
      <c r="BH332" s="228"/>
      <c r="BI332" s="228"/>
      <c r="BJ332" s="228"/>
      <c r="BK332" s="228"/>
      <c r="BL332" s="228"/>
      <c r="BM332" s="228"/>
      <c r="BN332" s="228"/>
      <c r="BO332" s="228"/>
      <c r="BP332" s="228"/>
      <c r="BQ332" s="228"/>
      <c r="BR332" s="228"/>
      <c r="BS332" s="228"/>
      <c r="BT332" s="228"/>
      <c r="BU332" s="228"/>
      <c r="BV332" s="228"/>
      <c r="BW332" s="228"/>
      <c r="BX332" s="228"/>
      <c r="BY332" s="228"/>
      <c r="BZ332" s="228"/>
      <c r="CA332" s="228"/>
      <c r="CB332" s="228"/>
      <c r="CC332" s="228"/>
      <c r="CD332" s="228"/>
      <c r="CE332" s="228"/>
      <c r="CF332" s="228"/>
      <c r="CG332" s="228"/>
      <c r="CH332" s="228"/>
      <c r="CI332" s="228"/>
      <c r="CJ332" s="228"/>
      <c r="CK332" s="228"/>
      <c r="CL332" s="228"/>
      <c r="CM332" s="228"/>
      <c r="CN332" s="228"/>
      <c r="CO332" s="228"/>
      <c r="CP332" s="228"/>
      <c r="CQ332" s="228"/>
      <c r="CR332" s="228"/>
      <c r="CS332" s="228"/>
      <c r="CT332" s="228"/>
      <c r="CU332" s="228"/>
      <c r="CV332" s="228"/>
      <c r="CW332" s="228"/>
      <c r="CX332" s="228"/>
      <c r="CY332" s="228"/>
      <c r="CZ332" s="228"/>
      <c r="DA332" s="228"/>
      <c r="DB332" s="228"/>
    </row>
    <row r="333" ht="12.0" customHeight="1">
      <c r="A333" s="228"/>
      <c r="B333" s="228"/>
      <c r="C333" s="228"/>
      <c r="D333" s="228"/>
      <c r="E333" s="228"/>
      <c r="F333" s="228"/>
      <c r="G333" s="228"/>
      <c r="H333" s="228"/>
      <c r="I333" s="228"/>
      <c r="J333" s="228"/>
      <c r="K333" s="228"/>
      <c r="L333" s="228"/>
      <c r="M333" s="228"/>
      <c r="N333" s="228"/>
      <c r="O333" s="228"/>
      <c r="P333" s="228"/>
      <c r="Q333" s="228"/>
      <c r="R333" s="228"/>
      <c r="S333" s="228"/>
      <c r="T333" s="228"/>
      <c r="U333" s="228"/>
      <c r="V333" s="228"/>
      <c r="W333" s="228"/>
      <c r="X333" s="228"/>
      <c r="Y333" s="228"/>
      <c r="Z333" s="228"/>
      <c r="AA333" s="228"/>
      <c r="AB333" s="228"/>
      <c r="AC333" s="228"/>
      <c r="AD333" s="228"/>
      <c r="AE333" s="228"/>
      <c r="AF333" s="228"/>
      <c r="AG333" s="228"/>
      <c r="AH333" s="228"/>
      <c r="AI333" s="228"/>
      <c r="AJ333" s="228"/>
      <c r="AK333" s="228"/>
      <c r="AL333" s="228"/>
      <c r="AM333" s="228"/>
      <c r="AN333" s="228"/>
      <c r="AO333" s="228"/>
      <c r="AP333" s="228"/>
      <c r="AQ333" s="228"/>
      <c r="AR333" s="228"/>
      <c r="AS333" s="228"/>
      <c r="AT333" s="228"/>
      <c r="AU333" s="228"/>
      <c r="AV333" s="228"/>
      <c r="AW333" s="228"/>
      <c r="AX333" s="228"/>
      <c r="AY333" s="228"/>
      <c r="AZ333" s="228"/>
      <c r="BA333" s="228"/>
      <c r="BB333" s="228"/>
      <c r="BC333" s="228"/>
      <c r="BD333" s="228"/>
      <c r="BE333" s="228"/>
      <c r="BF333" s="228"/>
      <c r="BG333" s="228"/>
      <c r="BH333" s="228"/>
      <c r="BI333" s="228"/>
      <c r="BJ333" s="228"/>
      <c r="BK333" s="228"/>
      <c r="BL333" s="228"/>
      <c r="BM333" s="228"/>
      <c r="BN333" s="228"/>
      <c r="BO333" s="228"/>
      <c r="BP333" s="228"/>
      <c r="BQ333" s="228"/>
      <c r="BR333" s="228"/>
      <c r="BS333" s="228"/>
      <c r="BT333" s="228"/>
      <c r="BU333" s="228"/>
      <c r="BV333" s="228"/>
      <c r="BW333" s="228"/>
      <c r="BX333" s="228"/>
      <c r="BY333" s="228"/>
      <c r="BZ333" s="228"/>
      <c r="CA333" s="228"/>
      <c r="CB333" s="228"/>
      <c r="CC333" s="228"/>
      <c r="CD333" s="228"/>
      <c r="CE333" s="228"/>
      <c r="CF333" s="228"/>
      <c r="CG333" s="228"/>
      <c r="CH333" s="228"/>
      <c r="CI333" s="228"/>
      <c r="CJ333" s="228"/>
      <c r="CK333" s="228"/>
      <c r="CL333" s="228"/>
      <c r="CM333" s="228"/>
      <c r="CN333" s="228"/>
      <c r="CO333" s="228"/>
      <c r="CP333" s="228"/>
      <c r="CQ333" s="228"/>
      <c r="CR333" s="228"/>
      <c r="CS333" s="228"/>
      <c r="CT333" s="228"/>
      <c r="CU333" s="228"/>
      <c r="CV333" s="228"/>
      <c r="CW333" s="228"/>
      <c r="CX333" s="228"/>
      <c r="CY333" s="228"/>
      <c r="CZ333" s="228"/>
      <c r="DA333" s="228"/>
      <c r="DB333" s="228"/>
    </row>
    <row r="334" ht="12.0" customHeight="1">
      <c r="A334" s="228"/>
      <c r="B334" s="228"/>
      <c r="C334" s="228"/>
      <c r="D334" s="228"/>
      <c r="E334" s="228"/>
      <c r="F334" s="228"/>
      <c r="G334" s="228"/>
      <c r="H334" s="228"/>
      <c r="I334" s="228"/>
      <c r="J334" s="228"/>
      <c r="K334" s="228"/>
      <c r="L334" s="228"/>
      <c r="M334" s="228"/>
      <c r="N334" s="228"/>
      <c r="O334" s="228"/>
      <c r="P334" s="228"/>
      <c r="Q334" s="228"/>
      <c r="R334" s="228"/>
      <c r="S334" s="228"/>
      <c r="T334" s="228"/>
      <c r="U334" s="228"/>
      <c r="V334" s="228"/>
      <c r="W334" s="228"/>
      <c r="X334" s="228"/>
      <c r="Y334" s="228"/>
      <c r="Z334" s="228"/>
      <c r="AA334" s="228"/>
      <c r="AB334" s="228"/>
      <c r="AC334" s="228"/>
      <c r="AD334" s="228"/>
      <c r="AE334" s="228"/>
      <c r="AF334" s="228"/>
      <c r="AG334" s="228"/>
      <c r="AH334" s="228"/>
      <c r="AI334" s="228"/>
      <c r="AJ334" s="228"/>
      <c r="AK334" s="228"/>
      <c r="AL334" s="228"/>
      <c r="AM334" s="228"/>
      <c r="AN334" s="228"/>
      <c r="AO334" s="228"/>
      <c r="AP334" s="228"/>
      <c r="AQ334" s="228"/>
      <c r="AR334" s="228"/>
      <c r="AS334" s="228"/>
      <c r="AT334" s="228"/>
      <c r="AU334" s="228"/>
      <c r="AV334" s="228"/>
      <c r="AW334" s="228"/>
      <c r="AX334" s="228"/>
      <c r="AY334" s="228"/>
      <c r="AZ334" s="228"/>
      <c r="BA334" s="228"/>
      <c r="BB334" s="228"/>
      <c r="BC334" s="228"/>
      <c r="BD334" s="228"/>
      <c r="BE334" s="228"/>
      <c r="BF334" s="228"/>
      <c r="BG334" s="228"/>
      <c r="BH334" s="228"/>
      <c r="BI334" s="228"/>
      <c r="BJ334" s="228"/>
      <c r="BK334" s="228"/>
      <c r="BL334" s="228"/>
      <c r="BM334" s="228"/>
      <c r="BN334" s="228"/>
      <c r="BO334" s="228"/>
      <c r="BP334" s="228"/>
      <c r="BQ334" s="228"/>
      <c r="BR334" s="228"/>
      <c r="BS334" s="228"/>
      <c r="BT334" s="228"/>
      <c r="BU334" s="228"/>
      <c r="BV334" s="228"/>
      <c r="BW334" s="228"/>
      <c r="BX334" s="228"/>
      <c r="BY334" s="228"/>
      <c r="BZ334" s="228"/>
      <c r="CA334" s="228"/>
      <c r="CB334" s="228"/>
      <c r="CC334" s="228"/>
      <c r="CD334" s="228"/>
      <c r="CE334" s="228"/>
      <c r="CF334" s="228"/>
      <c r="CG334" s="228"/>
      <c r="CH334" s="228"/>
      <c r="CI334" s="228"/>
      <c r="CJ334" s="228"/>
      <c r="CK334" s="228"/>
      <c r="CL334" s="228"/>
      <c r="CM334" s="228"/>
      <c r="CN334" s="228"/>
      <c r="CO334" s="228"/>
      <c r="CP334" s="228"/>
      <c r="CQ334" s="228"/>
      <c r="CR334" s="228"/>
      <c r="CS334" s="228"/>
      <c r="CT334" s="228"/>
      <c r="CU334" s="228"/>
      <c r="CV334" s="228"/>
      <c r="CW334" s="228"/>
      <c r="CX334" s="228"/>
      <c r="CY334" s="228"/>
      <c r="CZ334" s="228"/>
      <c r="DA334" s="228"/>
      <c r="DB334" s="228"/>
    </row>
    <row r="335" ht="12.0" customHeight="1">
      <c r="A335" s="228"/>
      <c r="B335" s="228"/>
      <c r="C335" s="228"/>
      <c r="D335" s="228"/>
      <c r="E335" s="228"/>
      <c r="F335" s="228"/>
      <c r="G335" s="228"/>
      <c r="H335" s="228"/>
      <c r="I335" s="228"/>
      <c r="J335" s="228"/>
      <c r="K335" s="228"/>
      <c r="L335" s="228"/>
      <c r="M335" s="228"/>
      <c r="N335" s="228"/>
      <c r="O335" s="228"/>
      <c r="P335" s="228"/>
      <c r="Q335" s="228"/>
      <c r="R335" s="228"/>
      <c r="S335" s="228"/>
      <c r="T335" s="228"/>
      <c r="U335" s="228"/>
      <c r="V335" s="228"/>
      <c r="W335" s="228"/>
      <c r="X335" s="228"/>
      <c r="Y335" s="228"/>
      <c r="Z335" s="228"/>
      <c r="AA335" s="228"/>
      <c r="AB335" s="228"/>
      <c r="AC335" s="228"/>
      <c r="AD335" s="228"/>
      <c r="AE335" s="228"/>
      <c r="AF335" s="228"/>
      <c r="AG335" s="228"/>
      <c r="AH335" s="228"/>
      <c r="AI335" s="228"/>
      <c r="AJ335" s="228"/>
      <c r="AK335" s="228"/>
      <c r="AL335" s="228"/>
      <c r="AM335" s="228"/>
      <c r="AN335" s="228"/>
      <c r="AO335" s="228"/>
      <c r="AP335" s="228"/>
      <c r="AQ335" s="228"/>
      <c r="AR335" s="228"/>
      <c r="AS335" s="228"/>
      <c r="AT335" s="228"/>
      <c r="AU335" s="228"/>
      <c r="AV335" s="228"/>
      <c r="AW335" s="228"/>
      <c r="AX335" s="228"/>
      <c r="AY335" s="228"/>
      <c r="AZ335" s="228"/>
      <c r="BA335" s="228"/>
      <c r="BB335" s="228"/>
      <c r="BC335" s="228"/>
      <c r="BD335" s="228"/>
      <c r="BE335" s="228"/>
      <c r="BF335" s="228"/>
      <c r="BG335" s="228"/>
      <c r="BH335" s="228"/>
      <c r="BI335" s="228"/>
      <c r="BJ335" s="228"/>
      <c r="BK335" s="228"/>
      <c r="BL335" s="228"/>
      <c r="BM335" s="228"/>
      <c r="BN335" s="228"/>
      <c r="BO335" s="228"/>
      <c r="BP335" s="228"/>
      <c r="BQ335" s="228"/>
      <c r="BR335" s="228"/>
      <c r="BS335" s="228"/>
      <c r="BT335" s="228"/>
      <c r="BU335" s="228"/>
      <c r="BV335" s="228"/>
      <c r="BW335" s="228"/>
      <c r="BX335" s="228"/>
      <c r="BY335" s="228"/>
      <c r="BZ335" s="228"/>
      <c r="CA335" s="228"/>
      <c r="CB335" s="228"/>
      <c r="CC335" s="228"/>
      <c r="CD335" s="228"/>
      <c r="CE335" s="228"/>
      <c r="CF335" s="228"/>
      <c r="CG335" s="228"/>
      <c r="CH335" s="228"/>
      <c r="CI335" s="228"/>
      <c r="CJ335" s="228"/>
      <c r="CK335" s="228"/>
      <c r="CL335" s="228"/>
      <c r="CM335" s="228"/>
      <c r="CN335" s="228"/>
      <c r="CO335" s="228"/>
      <c r="CP335" s="228"/>
      <c r="CQ335" s="228"/>
      <c r="CR335" s="228"/>
      <c r="CS335" s="228"/>
      <c r="CT335" s="228"/>
      <c r="CU335" s="228"/>
      <c r="CV335" s="228"/>
      <c r="CW335" s="228"/>
      <c r="CX335" s="228"/>
      <c r="CY335" s="228"/>
      <c r="CZ335" s="228"/>
      <c r="DA335" s="228"/>
      <c r="DB335" s="228"/>
    </row>
    <row r="336" ht="12.0" customHeight="1">
      <c r="A336" s="228"/>
      <c r="B336" s="228"/>
      <c r="C336" s="228"/>
      <c r="D336" s="228"/>
      <c r="E336" s="228"/>
      <c r="F336" s="228"/>
      <c r="G336" s="228"/>
      <c r="H336" s="228"/>
      <c r="I336" s="228"/>
      <c r="J336" s="228"/>
      <c r="K336" s="228"/>
      <c r="L336" s="228"/>
      <c r="M336" s="228"/>
      <c r="N336" s="228"/>
      <c r="O336" s="228"/>
      <c r="P336" s="228"/>
      <c r="Q336" s="228"/>
      <c r="R336" s="228"/>
      <c r="S336" s="228"/>
      <c r="T336" s="228"/>
      <c r="U336" s="228"/>
      <c r="V336" s="228"/>
      <c r="W336" s="228"/>
      <c r="X336" s="228"/>
      <c r="Y336" s="228"/>
      <c r="Z336" s="228"/>
      <c r="AA336" s="228"/>
      <c r="AB336" s="228"/>
      <c r="AC336" s="228"/>
      <c r="AD336" s="228"/>
      <c r="AE336" s="228"/>
      <c r="AF336" s="228"/>
      <c r="AG336" s="228"/>
      <c r="AH336" s="228"/>
      <c r="AI336" s="228"/>
      <c r="AJ336" s="228"/>
      <c r="AK336" s="228"/>
      <c r="AL336" s="228"/>
      <c r="AM336" s="228"/>
      <c r="AN336" s="228"/>
      <c r="AO336" s="228"/>
      <c r="AP336" s="228"/>
      <c r="AQ336" s="228"/>
      <c r="AR336" s="228"/>
      <c r="AS336" s="228"/>
      <c r="AT336" s="228"/>
      <c r="AU336" s="228"/>
      <c r="AV336" s="228"/>
      <c r="AW336" s="228"/>
      <c r="AX336" s="228"/>
      <c r="AY336" s="228"/>
      <c r="AZ336" s="228"/>
      <c r="BA336" s="228"/>
      <c r="BB336" s="228"/>
      <c r="BC336" s="228"/>
      <c r="BD336" s="228"/>
      <c r="BE336" s="228"/>
      <c r="BF336" s="228"/>
      <c r="BG336" s="228"/>
      <c r="BH336" s="228"/>
      <c r="BI336" s="228"/>
      <c r="BJ336" s="228"/>
      <c r="BK336" s="228"/>
      <c r="BL336" s="228"/>
      <c r="BM336" s="228"/>
      <c r="BN336" s="228"/>
      <c r="BO336" s="228"/>
      <c r="BP336" s="228"/>
      <c r="BQ336" s="228"/>
      <c r="BR336" s="228"/>
      <c r="BS336" s="228"/>
      <c r="BT336" s="228"/>
      <c r="BU336" s="228"/>
      <c r="BV336" s="228"/>
      <c r="BW336" s="228"/>
      <c r="BX336" s="228"/>
      <c r="BY336" s="228"/>
      <c r="BZ336" s="228"/>
      <c r="CA336" s="228"/>
      <c r="CB336" s="228"/>
      <c r="CC336" s="228"/>
      <c r="CD336" s="228"/>
      <c r="CE336" s="228"/>
      <c r="CF336" s="228"/>
      <c r="CG336" s="228"/>
      <c r="CH336" s="228"/>
      <c r="CI336" s="228"/>
      <c r="CJ336" s="228"/>
      <c r="CK336" s="228"/>
      <c r="CL336" s="228"/>
      <c r="CM336" s="228"/>
      <c r="CN336" s="228"/>
      <c r="CO336" s="228"/>
      <c r="CP336" s="228"/>
      <c r="CQ336" s="228"/>
      <c r="CR336" s="228"/>
      <c r="CS336" s="228"/>
      <c r="CT336" s="228"/>
      <c r="CU336" s="228"/>
      <c r="CV336" s="228"/>
      <c r="CW336" s="228"/>
      <c r="CX336" s="228"/>
      <c r="CY336" s="228"/>
      <c r="CZ336" s="228"/>
      <c r="DA336" s="228"/>
      <c r="DB336" s="228"/>
    </row>
    <row r="337" ht="12.0" customHeight="1">
      <c r="A337" s="228"/>
      <c r="B337" s="228"/>
      <c r="C337" s="228"/>
      <c r="D337" s="228"/>
      <c r="E337" s="228"/>
      <c r="F337" s="228"/>
      <c r="G337" s="228"/>
      <c r="H337" s="228"/>
      <c r="I337" s="228"/>
      <c r="J337" s="228"/>
      <c r="K337" s="228"/>
      <c r="L337" s="228"/>
      <c r="M337" s="228"/>
      <c r="N337" s="228"/>
      <c r="O337" s="228"/>
      <c r="P337" s="228"/>
      <c r="Q337" s="228"/>
      <c r="R337" s="228"/>
      <c r="S337" s="228"/>
      <c r="T337" s="228"/>
      <c r="U337" s="228"/>
      <c r="V337" s="228"/>
      <c r="W337" s="228"/>
      <c r="X337" s="228"/>
      <c r="Y337" s="228"/>
      <c r="Z337" s="228"/>
      <c r="AA337" s="228"/>
      <c r="AB337" s="228"/>
      <c r="AC337" s="228"/>
      <c r="AD337" s="228"/>
      <c r="AE337" s="228"/>
      <c r="AF337" s="228"/>
      <c r="AG337" s="228"/>
      <c r="AH337" s="228"/>
      <c r="AI337" s="228"/>
      <c r="AJ337" s="228"/>
      <c r="AK337" s="228"/>
      <c r="AL337" s="228"/>
      <c r="AM337" s="228"/>
      <c r="AN337" s="228"/>
      <c r="AO337" s="228"/>
      <c r="AP337" s="228"/>
      <c r="AQ337" s="228"/>
      <c r="AR337" s="228"/>
      <c r="AS337" s="228"/>
      <c r="AT337" s="228"/>
      <c r="AU337" s="228"/>
      <c r="AV337" s="228"/>
      <c r="AW337" s="228"/>
      <c r="AX337" s="228"/>
      <c r="AY337" s="228"/>
      <c r="AZ337" s="228"/>
      <c r="BA337" s="228"/>
      <c r="BB337" s="228"/>
      <c r="BC337" s="228"/>
      <c r="BD337" s="228"/>
      <c r="BE337" s="228"/>
      <c r="BF337" s="228"/>
      <c r="BG337" s="228"/>
      <c r="BH337" s="228"/>
      <c r="BI337" s="228"/>
      <c r="BJ337" s="228"/>
      <c r="BK337" s="228"/>
      <c r="BL337" s="228"/>
      <c r="BM337" s="228"/>
      <c r="BN337" s="228"/>
      <c r="BO337" s="228"/>
      <c r="BP337" s="228"/>
      <c r="BQ337" s="228"/>
      <c r="BR337" s="228"/>
      <c r="BS337" s="228"/>
      <c r="BT337" s="228"/>
      <c r="BU337" s="228"/>
      <c r="BV337" s="228"/>
      <c r="BW337" s="228"/>
      <c r="BX337" s="228"/>
      <c r="BY337" s="228"/>
      <c r="BZ337" s="228"/>
      <c r="CA337" s="228"/>
      <c r="CB337" s="228"/>
      <c r="CC337" s="228"/>
      <c r="CD337" s="228"/>
      <c r="CE337" s="228"/>
      <c r="CF337" s="228"/>
      <c r="CG337" s="228"/>
      <c r="CH337" s="228"/>
      <c r="CI337" s="228"/>
      <c r="CJ337" s="228"/>
      <c r="CK337" s="228"/>
      <c r="CL337" s="228"/>
      <c r="CM337" s="228"/>
      <c r="CN337" s="228"/>
      <c r="CO337" s="228"/>
      <c r="CP337" s="228"/>
      <c r="CQ337" s="228"/>
      <c r="CR337" s="228"/>
      <c r="CS337" s="228"/>
      <c r="CT337" s="228"/>
      <c r="CU337" s="228"/>
      <c r="CV337" s="228"/>
      <c r="CW337" s="228"/>
      <c r="CX337" s="228"/>
      <c r="CY337" s="228"/>
      <c r="CZ337" s="228"/>
      <c r="DA337" s="228"/>
      <c r="DB337" s="228"/>
    </row>
    <row r="338" ht="12.0" customHeight="1">
      <c r="A338" s="228"/>
      <c r="B338" s="228"/>
      <c r="C338" s="228"/>
      <c r="D338" s="228"/>
      <c r="E338" s="228"/>
      <c r="F338" s="228"/>
      <c r="G338" s="228"/>
      <c r="H338" s="228"/>
      <c r="I338" s="228"/>
      <c r="J338" s="228"/>
      <c r="K338" s="228"/>
      <c r="L338" s="228"/>
      <c r="M338" s="228"/>
      <c r="N338" s="228"/>
      <c r="O338" s="228"/>
      <c r="P338" s="228"/>
      <c r="Q338" s="228"/>
      <c r="R338" s="228"/>
      <c r="S338" s="228"/>
      <c r="T338" s="228"/>
      <c r="U338" s="228"/>
      <c r="V338" s="228"/>
      <c r="W338" s="228"/>
      <c r="X338" s="228"/>
      <c r="Y338" s="228"/>
      <c r="Z338" s="228"/>
      <c r="AA338" s="228"/>
      <c r="AB338" s="228"/>
      <c r="AC338" s="228"/>
      <c r="AD338" s="228"/>
      <c r="AE338" s="228"/>
      <c r="AF338" s="228"/>
      <c r="AG338" s="228"/>
      <c r="AH338" s="228"/>
      <c r="AI338" s="228"/>
      <c r="AJ338" s="228"/>
      <c r="AK338" s="228"/>
      <c r="AL338" s="228"/>
      <c r="AM338" s="228"/>
      <c r="AN338" s="228"/>
      <c r="AO338" s="228"/>
      <c r="AP338" s="228"/>
      <c r="AQ338" s="228"/>
      <c r="AR338" s="228"/>
      <c r="AS338" s="228"/>
      <c r="AT338" s="228"/>
      <c r="AU338" s="228"/>
      <c r="AV338" s="228"/>
      <c r="AW338" s="228"/>
      <c r="AX338" s="228"/>
      <c r="AY338" s="228"/>
      <c r="AZ338" s="228"/>
      <c r="BA338" s="228"/>
      <c r="BB338" s="228"/>
      <c r="BC338" s="228"/>
      <c r="BD338" s="228"/>
      <c r="BE338" s="228"/>
      <c r="BF338" s="228"/>
      <c r="BG338" s="228"/>
      <c r="BH338" s="228"/>
      <c r="BI338" s="228"/>
      <c r="BJ338" s="228"/>
      <c r="BK338" s="228"/>
      <c r="BL338" s="228"/>
      <c r="BM338" s="228"/>
      <c r="BN338" s="228"/>
      <c r="BO338" s="228"/>
      <c r="BP338" s="228"/>
      <c r="BQ338" s="228"/>
      <c r="BR338" s="228"/>
      <c r="BS338" s="228"/>
      <c r="BT338" s="228"/>
      <c r="BU338" s="228"/>
      <c r="BV338" s="228"/>
      <c r="BW338" s="228"/>
      <c r="BX338" s="228"/>
      <c r="BY338" s="228"/>
      <c r="BZ338" s="228"/>
      <c r="CA338" s="228"/>
      <c r="CB338" s="228"/>
      <c r="CC338" s="228"/>
      <c r="CD338" s="228"/>
      <c r="CE338" s="228"/>
      <c r="CF338" s="228"/>
      <c r="CG338" s="228"/>
      <c r="CH338" s="228"/>
      <c r="CI338" s="228"/>
      <c r="CJ338" s="228"/>
      <c r="CK338" s="228"/>
      <c r="CL338" s="228"/>
      <c r="CM338" s="228"/>
      <c r="CN338" s="228"/>
      <c r="CO338" s="228"/>
      <c r="CP338" s="228"/>
      <c r="CQ338" s="228"/>
      <c r="CR338" s="228"/>
      <c r="CS338" s="228"/>
      <c r="CT338" s="228"/>
      <c r="CU338" s="228"/>
      <c r="CV338" s="228"/>
      <c r="CW338" s="228"/>
      <c r="CX338" s="228"/>
      <c r="CY338" s="228"/>
      <c r="CZ338" s="228"/>
      <c r="DA338" s="228"/>
      <c r="DB338" s="228"/>
    </row>
    <row r="339" ht="12.0" customHeight="1">
      <c r="A339" s="228"/>
      <c r="B339" s="228"/>
      <c r="C339" s="228"/>
      <c r="D339" s="228"/>
      <c r="E339" s="228"/>
      <c r="F339" s="228"/>
      <c r="G339" s="228"/>
      <c r="H339" s="228"/>
      <c r="I339" s="228"/>
      <c r="J339" s="228"/>
      <c r="K339" s="228"/>
      <c r="L339" s="228"/>
      <c r="M339" s="228"/>
      <c r="N339" s="228"/>
      <c r="O339" s="228"/>
      <c r="P339" s="228"/>
      <c r="Q339" s="228"/>
      <c r="R339" s="228"/>
      <c r="S339" s="228"/>
      <c r="T339" s="228"/>
      <c r="U339" s="228"/>
      <c r="V339" s="228"/>
      <c r="W339" s="228"/>
      <c r="X339" s="228"/>
      <c r="Y339" s="228"/>
      <c r="Z339" s="228"/>
      <c r="AA339" s="228"/>
      <c r="AB339" s="228"/>
      <c r="AC339" s="228"/>
      <c r="AD339" s="228"/>
      <c r="AE339" s="228"/>
      <c r="AF339" s="228"/>
      <c r="AG339" s="228"/>
      <c r="AH339" s="228"/>
      <c r="AI339" s="228"/>
      <c r="AJ339" s="228"/>
      <c r="AK339" s="228"/>
      <c r="AL339" s="228"/>
      <c r="AM339" s="228"/>
      <c r="AN339" s="228"/>
      <c r="AO339" s="228"/>
      <c r="AP339" s="228"/>
      <c r="AQ339" s="228"/>
      <c r="AR339" s="228"/>
      <c r="AS339" s="228"/>
      <c r="AT339" s="228"/>
      <c r="AU339" s="228"/>
      <c r="AV339" s="228"/>
      <c r="AW339" s="228"/>
      <c r="AX339" s="228"/>
      <c r="AY339" s="228"/>
      <c r="AZ339" s="228"/>
      <c r="BA339" s="228"/>
      <c r="BB339" s="228"/>
      <c r="BC339" s="228"/>
      <c r="BD339" s="228"/>
      <c r="BE339" s="228"/>
      <c r="BF339" s="228"/>
      <c r="BG339" s="228"/>
      <c r="BH339" s="228"/>
      <c r="BI339" s="228"/>
      <c r="BJ339" s="228"/>
      <c r="BK339" s="228"/>
      <c r="BL339" s="228"/>
      <c r="BM339" s="228"/>
      <c r="BN339" s="228"/>
      <c r="BO339" s="228"/>
      <c r="BP339" s="228"/>
      <c r="BQ339" s="228"/>
      <c r="BR339" s="228"/>
      <c r="BS339" s="228"/>
      <c r="BT339" s="228"/>
      <c r="BU339" s="228"/>
      <c r="BV339" s="228"/>
      <c r="BW339" s="228"/>
      <c r="BX339" s="228"/>
      <c r="BY339" s="228"/>
      <c r="BZ339" s="228"/>
      <c r="CA339" s="228"/>
      <c r="CB339" s="228"/>
      <c r="CC339" s="228"/>
      <c r="CD339" s="228"/>
      <c r="CE339" s="228"/>
      <c r="CF339" s="228"/>
      <c r="CG339" s="228"/>
      <c r="CH339" s="228"/>
      <c r="CI339" s="228"/>
      <c r="CJ339" s="228"/>
      <c r="CK339" s="228"/>
      <c r="CL339" s="228"/>
      <c r="CM339" s="228"/>
      <c r="CN339" s="228"/>
      <c r="CO339" s="228"/>
      <c r="CP339" s="228"/>
      <c r="CQ339" s="228"/>
      <c r="CR339" s="228"/>
      <c r="CS339" s="228"/>
      <c r="CT339" s="228"/>
      <c r="CU339" s="228"/>
      <c r="CV339" s="228"/>
      <c r="CW339" s="228"/>
      <c r="CX339" s="228"/>
      <c r="CY339" s="228"/>
      <c r="CZ339" s="228"/>
      <c r="DA339" s="228"/>
      <c r="DB339" s="228"/>
    </row>
    <row r="340" ht="12.0" customHeight="1">
      <c r="A340" s="228"/>
      <c r="B340" s="228"/>
      <c r="C340" s="228"/>
      <c r="D340" s="228"/>
      <c r="E340" s="228"/>
      <c r="F340" s="228"/>
      <c r="G340" s="228"/>
      <c r="H340" s="228"/>
      <c r="I340" s="228"/>
      <c r="J340" s="228"/>
      <c r="K340" s="228"/>
      <c r="L340" s="228"/>
      <c r="M340" s="228"/>
      <c r="N340" s="228"/>
      <c r="O340" s="228"/>
      <c r="P340" s="228"/>
      <c r="Q340" s="228"/>
      <c r="R340" s="228"/>
      <c r="S340" s="228"/>
      <c r="T340" s="228"/>
      <c r="U340" s="228"/>
      <c r="V340" s="228"/>
      <c r="W340" s="228"/>
      <c r="X340" s="228"/>
      <c r="Y340" s="228"/>
      <c r="Z340" s="228"/>
      <c r="AA340" s="228"/>
      <c r="AB340" s="228"/>
      <c r="AC340" s="228"/>
      <c r="AD340" s="228"/>
      <c r="AE340" s="228"/>
      <c r="AF340" s="228"/>
      <c r="AG340" s="228"/>
      <c r="AH340" s="228"/>
      <c r="AI340" s="228"/>
      <c r="AJ340" s="228"/>
      <c r="AK340" s="228"/>
      <c r="AL340" s="228"/>
      <c r="AM340" s="228"/>
      <c r="AN340" s="228"/>
      <c r="AO340" s="228"/>
      <c r="AP340" s="228"/>
      <c r="AQ340" s="228"/>
      <c r="AR340" s="228"/>
      <c r="AS340" s="228"/>
      <c r="AT340" s="228"/>
      <c r="AU340" s="228"/>
      <c r="AV340" s="228"/>
      <c r="AW340" s="228"/>
      <c r="AX340" s="228"/>
      <c r="AY340" s="228"/>
      <c r="AZ340" s="228"/>
      <c r="BA340" s="228"/>
      <c r="BB340" s="228"/>
      <c r="BC340" s="228"/>
      <c r="BD340" s="228"/>
      <c r="BE340" s="228"/>
      <c r="BF340" s="228"/>
      <c r="BG340" s="228"/>
      <c r="BH340" s="228"/>
      <c r="BI340" s="228"/>
      <c r="BJ340" s="228"/>
      <c r="BK340" s="228"/>
      <c r="BL340" s="228"/>
      <c r="BM340" s="228"/>
      <c r="BN340" s="228"/>
      <c r="BO340" s="228"/>
      <c r="BP340" s="228"/>
      <c r="BQ340" s="228"/>
      <c r="BR340" s="228"/>
      <c r="BS340" s="228"/>
      <c r="BT340" s="228"/>
      <c r="BU340" s="228"/>
      <c r="BV340" s="228"/>
      <c r="BW340" s="228"/>
      <c r="BX340" s="228"/>
      <c r="BY340" s="228"/>
      <c r="BZ340" s="228"/>
      <c r="CA340" s="228"/>
      <c r="CB340" s="228"/>
      <c r="CC340" s="228"/>
      <c r="CD340" s="228"/>
      <c r="CE340" s="228"/>
      <c r="CF340" s="228"/>
      <c r="CG340" s="228"/>
      <c r="CH340" s="228"/>
      <c r="CI340" s="228"/>
      <c r="CJ340" s="228"/>
      <c r="CK340" s="228"/>
      <c r="CL340" s="228"/>
      <c r="CM340" s="228"/>
      <c r="CN340" s="228"/>
      <c r="CO340" s="228"/>
      <c r="CP340" s="228"/>
      <c r="CQ340" s="228"/>
      <c r="CR340" s="228"/>
      <c r="CS340" s="228"/>
      <c r="CT340" s="228"/>
      <c r="CU340" s="228"/>
      <c r="CV340" s="228"/>
      <c r="CW340" s="228"/>
      <c r="CX340" s="228"/>
      <c r="CY340" s="228"/>
      <c r="CZ340" s="228"/>
      <c r="DA340" s="228"/>
      <c r="DB340" s="228"/>
    </row>
    <row r="341" ht="12.0" customHeight="1">
      <c r="A341" s="228"/>
      <c r="B341" s="228"/>
      <c r="C341" s="228"/>
      <c r="D341" s="228"/>
      <c r="E341" s="228"/>
      <c r="F341" s="228"/>
      <c r="G341" s="228"/>
      <c r="H341" s="228"/>
      <c r="I341" s="228"/>
      <c r="J341" s="228"/>
      <c r="K341" s="228"/>
      <c r="L341" s="228"/>
      <c r="M341" s="228"/>
      <c r="N341" s="228"/>
      <c r="O341" s="228"/>
      <c r="P341" s="228"/>
      <c r="Q341" s="228"/>
      <c r="R341" s="228"/>
      <c r="S341" s="228"/>
      <c r="T341" s="228"/>
      <c r="U341" s="228"/>
      <c r="V341" s="228"/>
      <c r="W341" s="228"/>
      <c r="X341" s="228"/>
      <c r="Y341" s="228"/>
      <c r="Z341" s="228"/>
      <c r="AA341" s="228"/>
      <c r="AB341" s="228"/>
      <c r="AC341" s="228"/>
      <c r="AD341" s="228"/>
      <c r="AE341" s="228"/>
      <c r="AF341" s="228"/>
      <c r="AG341" s="228"/>
      <c r="AH341" s="228"/>
      <c r="AI341" s="228"/>
      <c r="AJ341" s="228"/>
      <c r="AK341" s="228"/>
      <c r="AL341" s="228"/>
      <c r="AM341" s="228"/>
      <c r="AN341" s="228"/>
      <c r="AO341" s="228"/>
      <c r="AP341" s="228"/>
      <c r="AQ341" s="228"/>
      <c r="AR341" s="228"/>
      <c r="AS341" s="228"/>
      <c r="AT341" s="228"/>
      <c r="AU341" s="228"/>
      <c r="AV341" s="228"/>
      <c r="AW341" s="228"/>
      <c r="AX341" s="228"/>
      <c r="AY341" s="228"/>
      <c r="AZ341" s="228"/>
      <c r="BA341" s="228"/>
      <c r="BB341" s="228"/>
      <c r="BC341" s="228"/>
      <c r="BD341" s="228"/>
      <c r="BE341" s="228"/>
      <c r="BF341" s="228"/>
      <c r="BG341" s="228"/>
      <c r="BH341" s="228"/>
      <c r="BI341" s="228"/>
      <c r="BJ341" s="228"/>
      <c r="BK341" s="228"/>
      <c r="BL341" s="228"/>
      <c r="BM341" s="228"/>
      <c r="BN341" s="228"/>
      <c r="BO341" s="228"/>
      <c r="BP341" s="228"/>
      <c r="BQ341" s="228"/>
      <c r="BR341" s="228"/>
      <c r="BS341" s="228"/>
      <c r="BT341" s="228"/>
      <c r="BU341" s="228"/>
      <c r="BV341" s="228"/>
      <c r="BW341" s="228"/>
      <c r="BX341" s="228"/>
      <c r="BY341" s="228"/>
      <c r="BZ341" s="228"/>
      <c r="CA341" s="228"/>
      <c r="CB341" s="228"/>
      <c r="CC341" s="228"/>
      <c r="CD341" s="228"/>
      <c r="CE341" s="228"/>
      <c r="CF341" s="228"/>
      <c r="CG341" s="228"/>
      <c r="CH341" s="228"/>
      <c r="CI341" s="228"/>
      <c r="CJ341" s="228"/>
      <c r="CK341" s="228"/>
      <c r="CL341" s="228"/>
      <c r="CM341" s="228"/>
      <c r="CN341" s="228"/>
      <c r="CO341" s="228"/>
      <c r="CP341" s="228"/>
      <c r="CQ341" s="228"/>
      <c r="CR341" s="228"/>
      <c r="CS341" s="228"/>
      <c r="CT341" s="228"/>
      <c r="CU341" s="228"/>
      <c r="CV341" s="228"/>
      <c r="CW341" s="228"/>
      <c r="CX341" s="228"/>
      <c r="CY341" s="228"/>
      <c r="CZ341" s="228"/>
      <c r="DA341" s="228"/>
      <c r="DB341" s="228"/>
    </row>
    <row r="342" ht="12.0" customHeight="1">
      <c r="A342" s="228"/>
      <c r="B342" s="228"/>
      <c r="C342" s="228"/>
      <c r="D342" s="228"/>
      <c r="E342" s="228"/>
      <c r="F342" s="228"/>
      <c r="G342" s="228"/>
      <c r="H342" s="228"/>
      <c r="I342" s="228"/>
      <c r="J342" s="228"/>
      <c r="K342" s="228"/>
      <c r="L342" s="228"/>
      <c r="M342" s="228"/>
      <c r="N342" s="228"/>
      <c r="O342" s="228"/>
      <c r="P342" s="228"/>
      <c r="Q342" s="228"/>
      <c r="R342" s="228"/>
      <c r="S342" s="228"/>
      <c r="T342" s="228"/>
      <c r="U342" s="228"/>
      <c r="V342" s="228"/>
      <c r="W342" s="228"/>
      <c r="X342" s="228"/>
      <c r="Y342" s="228"/>
      <c r="Z342" s="228"/>
      <c r="AA342" s="228"/>
      <c r="AB342" s="228"/>
      <c r="AC342" s="228"/>
      <c r="AD342" s="228"/>
      <c r="AE342" s="228"/>
      <c r="AF342" s="228"/>
      <c r="AG342" s="228"/>
      <c r="AH342" s="228"/>
      <c r="AI342" s="228"/>
      <c r="AJ342" s="228"/>
      <c r="AK342" s="228"/>
      <c r="AL342" s="228"/>
      <c r="AM342" s="228"/>
      <c r="AN342" s="228"/>
      <c r="AO342" s="228"/>
      <c r="AP342" s="228"/>
      <c r="AQ342" s="228"/>
      <c r="AR342" s="228"/>
      <c r="AS342" s="228"/>
      <c r="AT342" s="228"/>
      <c r="AU342" s="228"/>
      <c r="AV342" s="228"/>
      <c r="AW342" s="228"/>
      <c r="AX342" s="228"/>
      <c r="AY342" s="228"/>
      <c r="AZ342" s="228"/>
      <c r="BA342" s="228"/>
      <c r="BB342" s="228"/>
      <c r="BC342" s="228"/>
      <c r="BD342" s="228"/>
      <c r="BE342" s="228"/>
      <c r="BF342" s="228"/>
      <c r="BG342" s="228"/>
      <c r="BH342" s="228"/>
      <c r="BI342" s="228"/>
      <c r="BJ342" s="228"/>
      <c r="BK342" s="228"/>
      <c r="BL342" s="228"/>
      <c r="BM342" s="228"/>
      <c r="BN342" s="228"/>
      <c r="BO342" s="228"/>
      <c r="BP342" s="228"/>
      <c r="BQ342" s="228"/>
      <c r="BR342" s="228"/>
      <c r="BS342" s="228"/>
      <c r="BT342" s="228"/>
      <c r="BU342" s="228"/>
      <c r="BV342" s="228"/>
      <c r="BW342" s="228"/>
      <c r="BX342" s="228"/>
      <c r="BY342" s="228"/>
      <c r="BZ342" s="228"/>
      <c r="CA342" s="228"/>
      <c r="CB342" s="228"/>
      <c r="CC342" s="228"/>
      <c r="CD342" s="228"/>
      <c r="CE342" s="228"/>
      <c r="CF342" s="228"/>
      <c r="CG342" s="228"/>
      <c r="CH342" s="228"/>
      <c r="CI342" s="228"/>
      <c r="CJ342" s="228"/>
      <c r="CK342" s="228"/>
      <c r="CL342" s="228"/>
      <c r="CM342" s="228"/>
      <c r="CN342" s="228"/>
      <c r="CO342" s="228"/>
      <c r="CP342" s="228"/>
      <c r="CQ342" s="228"/>
      <c r="CR342" s="228"/>
      <c r="CS342" s="228"/>
      <c r="CT342" s="228"/>
      <c r="CU342" s="228"/>
      <c r="CV342" s="228"/>
      <c r="CW342" s="228"/>
      <c r="CX342" s="228"/>
      <c r="CY342" s="228"/>
      <c r="CZ342" s="228"/>
      <c r="DA342" s="228"/>
      <c r="DB342" s="228"/>
    </row>
    <row r="343" ht="12.0" customHeight="1">
      <c r="A343" s="228"/>
      <c r="B343" s="228"/>
      <c r="C343" s="228"/>
      <c r="D343" s="228"/>
      <c r="E343" s="228"/>
      <c r="F343" s="228"/>
      <c r="G343" s="228"/>
      <c r="H343" s="228"/>
      <c r="I343" s="228"/>
      <c r="J343" s="228"/>
      <c r="K343" s="228"/>
      <c r="L343" s="228"/>
      <c r="M343" s="228"/>
      <c r="N343" s="228"/>
      <c r="O343" s="228"/>
      <c r="P343" s="228"/>
      <c r="Q343" s="228"/>
      <c r="R343" s="228"/>
      <c r="S343" s="228"/>
      <c r="T343" s="228"/>
      <c r="U343" s="228"/>
      <c r="V343" s="228"/>
      <c r="W343" s="228"/>
      <c r="X343" s="228"/>
      <c r="Y343" s="228"/>
      <c r="Z343" s="228"/>
      <c r="AA343" s="228"/>
      <c r="AB343" s="228"/>
      <c r="AC343" s="228"/>
      <c r="AD343" s="228"/>
      <c r="AE343" s="228"/>
      <c r="AF343" s="228"/>
      <c r="AG343" s="228"/>
      <c r="AH343" s="228"/>
      <c r="AI343" s="228"/>
      <c r="AJ343" s="228"/>
      <c r="AK343" s="228"/>
      <c r="AL343" s="228"/>
      <c r="AM343" s="228"/>
      <c r="AN343" s="228"/>
      <c r="AO343" s="228"/>
      <c r="AP343" s="228"/>
      <c r="AQ343" s="228"/>
      <c r="AR343" s="228"/>
      <c r="AS343" s="228"/>
      <c r="AT343" s="228"/>
      <c r="AU343" s="228"/>
      <c r="AV343" s="228"/>
      <c r="AW343" s="228"/>
      <c r="AX343" s="228"/>
      <c r="AY343" s="228"/>
      <c r="AZ343" s="228"/>
      <c r="BA343" s="228"/>
      <c r="BB343" s="228"/>
      <c r="BC343" s="228"/>
      <c r="BD343" s="228"/>
      <c r="BE343" s="228"/>
      <c r="BF343" s="228"/>
      <c r="BG343" s="228"/>
      <c r="BH343" s="228"/>
      <c r="BI343" s="228"/>
      <c r="BJ343" s="228"/>
      <c r="BK343" s="228"/>
      <c r="BL343" s="228"/>
      <c r="BM343" s="228"/>
      <c r="BN343" s="228"/>
      <c r="BO343" s="228"/>
      <c r="BP343" s="228"/>
      <c r="BQ343" s="228"/>
      <c r="BR343" s="228"/>
      <c r="BS343" s="228"/>
      <c r="BT343" s="228"/>
      <c r="BU343" s="228"/>
      <c r="BV343" s="228"/>
      <c r="BW343" s="228"/>
      <c r="BX343" s="228"/>
      <c r="BY343" s="228"/>
      <c r="BZ343" s="228"/>
      <c r="CA343" s="228"/>
      <c r="CB343" s="228"/>
      <c r="CC343" s="228"/>
      <c r="CD343" s="228"/>
      <c r="CE343" s="228"/>
      <c r="CF343" s="228"/>
      <c r="CG343" s="228"/>
      <c r="CH343" s="228"/>
      <c r="CI343" s="228"/>
      <c r="CJ343" s="228"/>
      <c r="CK343" s="228"/>
      <c r="CL343" s="228"/>
      <c r="CM343" s="228"/>
      <c r="CN343" s="228"/>
      <c r="CO343" s="228"/>
      <c r="CP343" s="228"/>
      <c r="CQ343" s="228"/>
      <c r="CR343" s="228"/>
      <c r="CS343" s="228"/>
      <c r="CT343" s="228"/>
      <c r="CU343" s="228"/>
      <c r="CV343" s="228"/>
      <c r="CW343" s="228"/>
      <c r="CX343" s="228"/>
      <c r="CY343" s="228"/>
      <c r="CZ343" s="228"/>
      <c r="DA343" s="228"/>
      <c r="DB343" s="228"/>
    </row>
    <row r="344" ht="12.0" customHeight="1">
      <c r="A344" s="228"/>
      <c r="B344" s="228"/>
      <c r="C344" s="228"/>
      <c r="D344" s="228"/>
      <c r="E344" s="228"/>
      <c r="F344" s="228"/>
      <c r="G344" s="228"/>
      <c r="H344" s="228"/>
      <c r="I344" s="228"/>
      <c r="J344" s="228"/>
      <c r="K344" s="228"/>
      <c r="L344" s="228"/>
      <c r="M344" s="228"/>
      <c r="N344" s="228"/>
      <c r="O344" s="228"/>
      <c r="P344" s="228"/>
      <c r="Q344" s="228"/>
      <c r="R344" s="228"/>
      <c r="S344" s="228"/>
      <c r="T344" s="228"/>
      <c r="U344" s="228"/>
      <c r="V344" s="228"/>
      <c r="W344" s="228"/>
      <c r="X344" s="228"/>
      <c r="Y344" s="228"/>
      <c r="Z344" s="228"/>
      <c r="AA344" s="228"/>
      <c r="AB344" s="228"/>
      <c r="AC344" s="228"/>
      <c r="AD344" s="228"/>
      <c r="AE344" s="228"/>
      <c r="AF344" s="228"/>
      <c r="AG344" s="228"/>
      <c r="AH344" s="228"/>
      <c r="AI344" s="228"/>
      <c r="AJ344" s="228"/>
      <c r="AK344" s="228"/>
      <c r="AL344" s="228"/>
      <c r="AM344" s="228"/>
      <c r="AN344" s="228"/>
      <c r="AO344" s="228"/>
      <c r="AP344" s="228"/>
      <c r="AQ344" s="228"/>
      <c r="AR344" s="228"/>
      <c r="AS344" s="228"/>
      <c r="AT344" s="228"/>
      <c r="AU344" s="228"/>
      <c r="AV344" s="228"/>
      <c r="AW344" s="228"/>
      <c r="AX344" s="228"/>
      <c r="AY344" s="228"/>
      <c r="AZ344" s="228"/>
      <c r="BA344" s="228"/>
      <c r="BB344" s="228"/>
      <c r="BC344" s="228"/>
      <c r="BD344" s="228"/>
      <c r="BE344" s="228"/>
      <c r="BF344" s="228"/>
      <c r="BG344" s="228"/>
      <c r="BH344" s="228"/>
      <c r="BI344" s="228"/>
      <c r="BJ344" s="228"/>
      <c r="BK344" s="228"/>
      <c r="BL344" s="228"/>
      <c r="BM344" s="228"/>
      <c r="BN344" s="228"/>
      <c r="BO344" s="228"/>
      <c r="BP344" s="228"/>
      <c r="BQ344" s="228"/>
      <c r="BR344" s="228"/>
      <c r="BS344" s="228"/>
      <c r="BT344" s="228"/>
      <c r="BU344" s="228"/>
      <c r="BV344" s="228"/>
      <c r="BW344" s="228"/>
      <c r="BX344" s="228"/>
      <c r="BY344" s="228"/>
      <c r="BZ344" s="228"/>
      <c r="CA344" s="228"/>
      <c r="CB344" s="228"/>
      <c r="CC344" s="228"/>
      <c r="CD344" s="228"/>
      <c r="CE344" s="228"/>
      <c r="CF344" s="228"/>
      <c r="CG344" s="228"/>
      <c r="CH344" s="228"/>
      <c r="CI344" s="228"/>
      <c r="CJ344" s="228"/>
      <c r="CK344" s="228"/>
      <c r="CL344" s="228"/>
      <c r="CM344" s="228"/>
      <c r="CN344" s="228"/>
      <c r="CO344" s="228"/>
      <c r="CP344" s="228"/>
      <c r="CQ344" s="228"/>
      <c r="CR344" s="228"/>
      <c r="CS344" s="228"/>
      <c r="CT344" s="228"/>
      <c r="CU344" s="228"/>
      <c r="CV344" s="228"/>
      <c r="CW344" s="228"/>
      <c r="CX344" s="228"/>
      <c r="CY344" s="228"/>
      <c r="CZ344" s="228"/>
      <c r="DA344" s="228"/>
      <c r="DB344" s="228"/>
    </row>
    <row r="345" ht="12.0" customHeight="1">
      <c r="A345" s="228"/>
      <c r="B345" s="228"/>
      <c r="C345" s="228"/>
      <c r="D345" s="228"/>
      <c r="E345" s="228"/>
      <c r="F345" s="228"/>
      <c r="G345" s="228"/>
      <c r="H345" s="228"/>
      <c r="I345" s="228"/>
      <c r="J345" s="228"/>
      <c r="K345" s="228"/>
      <c r="L345" s="228"/>
      <c r="M345" s="228"/>
      <c r="N345" s="228"/>
      <c r="O345" s="228"/>
      <c r="P345" s="228"/>
      <c r="Q345" s="228"/>
      <c r="R345" s="228"/>
      <c r="S345" s="228"/>
      <c r="T345" s="228"/>
      <c r="U345" s="228"/>
      <c r="V345" s="228"/>
      <c r="W345" s="228"/>
      <c r="X345" s="228"/>
      <c r="Y345" s="228"/>
      <c r="Z345" s="228"/>
      <c r="AA345" s="228"/>
      <c r="AB345" s="228"/>
      <c r="AC345" s="228"/>
      <c r="AD345" s="228"/>
      <c r="AE345" s="228"/>
      <c r="AF345" s="228"/>
      <c r="AG345" s="228"/>
      <c r="AH345" s="228"/>
      <c r="AI345" s="228"/>
      <c r="AJ345" s="228"/>
      <c r="AK345" s="228"/>
      <c r="AL345" s="228"/>
      <c r="AM345" s="228"/>
      <c r="AN345" s="228"/>
      <c r="AO345" s="228"/>
      <c r="AP345" s="228"/>
      <c r="AQ345" s="228"/>
      <c r="AR345" s="228"/>
      <c r="AS345" s="228"/>
      <c r="AT345" s="228"/>
      <c r="AU345" s="228"/>
      <c r="AV345" s="228"/>
      <c r="AW345" s="228"/>
      <c r="AX345" s="228"/>
      <c r="AY345" s="228"/>
      <c r="AZ345" s="228"/>
      <c r="BA345" s="228"/>
      <c r="BB345" s="228"/>
      <c r="BC345" s="228"/>
      <c r="BD345" s="228"/>
      <c r="BE345" s="228"/>
      <c r="BF345" s="228"/>
      <c r="BG345" s="228"/>
      <c r="BH345" s="228"/>
      <c r="BI345" s="228"/>
      <c r="BJ345" s="228"/>
      <c r="BK345" s="228"/>
      <c r="BL345" s="228"/>
      <c r="BM345" s="228"/>
      <c r="BN345" s="228"/>
      <c r="BO345" s="228"/>
      <c r="BP345" s="228"/>
      <c r="BQ345" s="228"/>
      <c r="BR345" s="228"/>
      <c r="BS345" s="228"/>
      <c r="BT345" s="228"/>
      <c r="BU345" s="228"/>
      <c r="BV345" s="228"/>
      <c r="BW345" s="228"/>
      <c r="BX345" s="228"/>
      <c r="BY345" s="228"/>
      <c r="BZ345" s="228"/>
      <c r="CA345" s="228"/>
      <c r="CB345" s="228"/>
      <c r="CC345" s="228"/>
      <c r="CD345" s="228"/>
      <c r="CE345" s="228"/>
      <c r="CF345" s="228"/>
      <c r="CG345" s="228"/>
      <c r="CH345" s="228"/>
      <c r="CI345" s="228"/>
      <c r="CJ345" s="228"/>
      <c r="CK345" s="228"/>
      <c r="CL345" s="228"/>
      <c r="CM345" s="228"/>
      <c r="CN345" s="228"/>
      <c r="CO345" s="228"/>
      <c r="CP345" s="228"/>
      <c r="CQ345" s="228"/>
      <c r="CR345" s="228"/>
      <c r="CS345" s="228"/>
      <c r="CT345" s="228"/>
      <c r="CU345" s="228"/>
      <c r="CV345" s="228"/>
      <c r="CW345" s="228"/>
      <c r="CX345" s="228"/>
      <c r="CY345" s="228"/>
      <c r="CZ345" s="228"/>
      <c r="DA345" s="228"/>
      <c r="DB345" s="228"/>
    </row>
    <row r="346" ht="12.0" customHeight="1">
      <c r="A346" s="228"/>
      <c r="B346" s="228"/>
      <c r="C346" s="228"/>
      <c r="D346" s="228"/>
      <c r="E346" s="228"/>
      <c r="F346" s="228"/>
      <c r="G346" s="228"/>
      <c r="H346" s="228"/>
      <c r="I346" s="228"/>
      <c r="J346" s="228"/>
      <c r="K346" s="228"/>
      <c r="L346" s="228"/>
      <c r="M346" s="228"/>
      <c r="N346" s="228"/>
      <c r="O346" s="228"/>
      <c r="P346" s="228"/>
      <c r="Q346" s="228"/>
      <c r="R346" s="228"/>
      <c r="S346" s="228"/>
      <c r="T346" s="228"/>
      <c r="U346" s="228"/>
      <c r="V346" s="228"/>
      <c r="W346" s="228"/>
      <c r="X346" s="228"/>
      <c r="Y346" s="228"/>
      <c r="Z346" s="228"/>
      <c r="AA346" s="228"/>
      <c r="AB346" s="228"/>
      <c r="AC346" s="228"/>
      <c r="AD346" s="228"/>
      <c r="AE346" s="228"/>
      <c r="AF346" s="228"/>
      <c r="AG346" s="228"/>
      <c r="AH346" s="228"/>
      <c r="AI346" s="228"/>
      <c r="AJ346" s="228"/>
      <c r="AK346" s="228"/>
      <c r="AL346" s="228"/>
      <c r="AM346" s="228"/>
      <c r="AN346" s="228"/>
      <c r="AO346" s="228"/>
      <c r="AP346" s="228"/>
      <c r="AQ346" s="228"/>
      <c r="AR346" s="228"/>
      <c r="AS346" s="228"/>
      <c r="AT346" s="228"/>
      <c r="AU346" s="228"/>
      <c r="AV346" s="228"/>
      <c r="AW346" s="228"/>
      <c r="AX346" s="228"/>
      <c r="AY346" s="228"/>
      <c r="AZ346" s="228"/>
      <c r="BA346" s="228"/>
      <c r="BB346" s="228"/>
      <c r="BC346" s="228"/>
      <c r="BD346" s="228"/>
      <c r="BE346" s="228"/>
      <c r="BF346" s="228"/>
      <c r="BG346" s="228"/>
      <c r="BH346" s="228"/>
      <c r="BI346" s="228"/>
      <c r="BJ346" s="228"/>
      <c r="BK346" s="228"/>
      <c r="BL346" s="228"/>
      <c r="BM346" s="228"/>
      <c r="BN346" s="228"/>
      <c r="BO346" s="228"/>
      <c r="BP346" s="228"/>
      <c r="BQ346" s="228"/>
      <c r="BR346" s="228"/>
      <c r="BS346" s="228"/>
      <c r="BT346" s="228"/>
      <c r="BU346" s="228"/>
      <c r="BV346" s="228"/>
      <c r="BW346" s="228"/>
      <c r="BX346" s="228"/>
      <c r="BY346" s="228"/>
      <c r="BZ346" s="228"/>
      <c r="CA346" s="228"/>
      <c r="CB346" s="228"/>
      <c r="CC346" s="228"/>
      <c r="CD346" s="228"/>
      <c r="CE346" s="228"/>
      <c r="CF346" s="228"/>
      <c r="CG346" s="228"/>
      <c r="CH346" s="228"/>
      <c r="CI346" s="228"/>
      <c r="CJ346" s="228"/>
      <c r="CK346" s="228"/>
      <c r="CL346" s="228"/>
      <c r="CM346" s="228"/>
      <c r="CN346" s="228"/>
      <c r="CO346" s="228"/>
      <c r="CP346" s="228"/>
      <c r="CQ346" s="228"/>
      <c r="CR346" s="228"/>
      <c r="CS346" s="228"/>
      <c r="CT346" s="228"/>
      <c r="CU346" s="228"/>
      <c r="CV346" s="228"/>
      <c r="CW346" s="228"/>
      <c r="CX346" s="228"/>
      <c r="CY346" s="228"/>
      <c r="CZ346" s="228"/>
      <c r="DA346" s="228"/>
      <c r="DB346" s="228"/>
    </row>
    <row r="347" ht="12.0" customHeight="1">
      <c r="A347" s="228"/>
      <c r="B347" s="228"/>
      <c r="C347" s="228"/>
      <c r="D347" s="228"/>
      <c r="E347" s="228"/>
      <c r="F347" s="228"/>
      <c r="G347" s="228"/>
      <c r="H347" s="228"/>
      <c r="I347" s="228"/>
      <c r="J347" s="228"/>
      <c r="K347" s="228"/>
      <c r="L347" s="228"/>
      <c r="M347" s="228"/>
      <c r="N347" s="228"/>
      <c r="O347" s="228"/>
      <c r="P347" s="228"/>
      <c r="Q347" s="228"/>
      <c r="R347" s="228"/>
      <c r="S347" s="228"/>
      <c r="T347" s="228"/>
      <c r="U347" s="228"/>
      <c r="V347" s="228"/>
      <c r="W347" s="228"/>
      <c r="X347" s="228"/>
      <c r="Y347" s="228"/>
      <c r="Z347" s="228"/>
      <c r="AA347" s="228"/>
      <c r="AB347" s="228"/>
      <c r="AC347" s="228"/>
      <c r="AD347" s="228"/>
      <c r="AE347" s="228"/>
      <c r="AF347" s="228"/>
      <c r="AG347" s="228"/>
      <c r="AH347" s="228"/>
      <c r="AI347" s="228"/>
      <c r="AJ347" s="228"/>
      <c r="AK347" s="228"/>
      <c r="AL347" s="228"/>
      <c r="AM347" s="228"/>
      <c r="AN347" s="228"/>
      <c r="AO347" s="228"/>
      <c r="AP347" s="228"/>
      <c r="AQ347" s="228"/>
      <c r="AR347" s="228"/>
      <c r="AS347" s="228"/>
      <c r="AT347" s="228"/>
      <c r="AU347" s="228"/>
      <c r="AV347" s="228"/>
      <c r="AW347" s="228"/>
      <c r="AX347" s="228"/>
      <c r="AY347" s="228"/>
      <c r="AZ347" s="228"/>
      <c r="BA347" s="228"/>
      <c r="BB347" s="228"/>
      <c r="BC347" s="228"/>
      <c r="BD347" s="228"/>
      <c r="BE347" s="228"/>
      <c r="BF347" s="228"/>
      <c r="BG347" s="228"/>
      <c r="BH347" s="228"/>
      <c r="BI347" s="228"/>
      <c r="BJ347" s="228"/>
      <c r="BK347" s="228"/>
      <c r="BL347" s="228"/>
      <c r="BM347" s="228"/>
      <c r="BN347" s="228"/>
      <c r="BO347" s="228"/>
      <c r="BP347" s="228"/>
      <c r="BQ347" s="228"/>
      <c r="BR347" s="228"/>
      <c r="BS347" s="228"/>
      <c r="BT347" s="228"/>
      <c r="BU347" s="228"/>
      <c r="BV347" s="228"/>
      <c r="BW347" s="228"/>
      <c r="BX347" s="228"/>
      <c r="BY347" s="228"/>
      <c r="BZ347" s="228"/>
      <c r="CA347" s="228"/>
      <c r="CB347" s="228"/>
      <c r="CC347" s="228"/>
      <c r="CD347" s="228"/>
      <c r="CE347" s="228"/>
      <c r="CF347" s="228"/>
      <c r="CG347" s="228"/>
      <c r="CH347" s="228"/>
      <c r="CI347" s="228"/>
      <c r="CJ347" s="228"/>
      <c r="CK347" s="228"/>
      <c r="CL347" s="228"/>
      <c r="CM347" s="228"/>
      <c r="CN347" s="228"/>
      <c r="CO347" s="228"/>
      <c r="CP347" s="228"/>
      <c r="CQ347" s="228"/>
      <c r="CR347" s="228"/>
      <c r="CS347" s="228"/>
      <c r="CT347" s="228"/>
      <c r="CU347" s="228"/>
      <c r="CV347" s="228"/>
      <c r="CW347" s="228"/>
      <c r="CX347" s="228"/>
      <c r="CY347" s="228"/>
      <c r="CZ347" s="228"/>
      <c r="DA347" s="228"/>
      <c r="DB347" s="228"/>
    </row>
    <row r="348" ht="12.0" customHeight="1">
      <c r="A348" s="228"/>
      <c r="B348" s="228"/>
      <c r="C348" s="228"/>
      <c r="D348" s="228"/>
      <c r="E348" s="228"/>
      <c r="F348" s="228"/>
      <c r="G348" s="228"/>
      <c r="H348" s="228"/>
      <c r="I348" s="228"/>
      <c r="J348" s="228"/>
      <c r="K348" s="228"/>
      <c r="L348" s="228"/>
      <c r="M348" s="228"/>
      <c r="N348" s="228"/>
      <c r="O348" s="228"/>
      <c r="P348" s="228"/>
      <c r="Q348" s="228"/>
      <c r="R348" s="228"/>
      <c r="S348" s="228"/>
      <c r="T348" s="228"/>
      <c r="U348" s="228"/>
      <c r="V348" s="228"/>
      <c r="W348" s="228"/>
      <c r="X348" s="228"/>
      <c r="Y348" s="228"/>
      <c r="Z348" s="228"/>
      <c r="AA348" s="228"/>
      <c r="AB348" s="228"/>
      <c r="AC348" s="228"/>
      <c r="AD348" s="228"/>
      <c r="AE348" s="228"/>
      <c r="AF348" s="228"/>
      <c r="AG348" s="228"/>
      <c r="AH348" s="228"/>
      <c r="AI348" s="228"/>
      <c r="AJ348" s="228"/>
      <c r="AK348" s="228"/>
      <c r="AL348" s="228"/>
      <c r="AM348" s="228"/>
      <c r="AN348" s="228"/>
      <c r="AO348" s="228"/>
      <c r="AP348" s="228"/>
      <c r="AQ348" s="228"/>
      <c r="AR348" s="228"/>
      <c r="AS348" s="228"/>
      <c r="AT348" s="228"/>
      <c r="AU348" s="228"/>
      <c r="AV348" s="228"/>
      <c r="AW348" s="228"/>
      <c r="AX348" s="228"/>
      <c r="AY348" s="228"/>
      <c r="AZ348" s="228"/>
      <c r="BA348" s="228"/>
      <c r="BB348" s="228"/>
      <c r="BC348" s="228"/>
      <c r="BD348" s="228"/>
      <c r="BE348" s="228"/>
      <c r="BF348" s="228"/>
      <c r="BG348" s="228"/>
      <c r="BH348" s="228"/>
      <c r="BI348" s="228"/>
      <c r="BJ348" s="228"/>
      <c r="BK348" s="228"/>
      <c r="BL348" s="228"/>
      <c r="BM348" s="228"/>
      <c r="BN348" s="228"/>
      <c r="BO348" s="228"/>
      <c r="BP348" s="228"/>
      <c r="BQ348" s="228"/>
      <c r="BR348" s="228"/>
      <c r="BS348" s="228"/>
      <c r="BT348" s="228"/>
      <c r="BU348" s="228"/>
      <c r="BV348" s="228"/>
      <c r="BW348" s="228"/>
      <c r="BX348" s="228"/>
      <c r="BY348" s="228"/>
      <c r="BZ348" s="228"/>
      <c r="CA348" s="228"/>
      <c r="CB348" s="228"/>
      <c r="CC348" s="228"/>
      <c r="CD348" s="228"/>
      <c r="CE348" s="228"/>
      <c r="CF348" s="228"/>
      <c r="CG348" s="228"/>
      <c r="CH348" s="228"/>
      <c r="CI348" s="228"/>
      <c r="CJ348" s="228"/>
      <c r="CK348" s="228"/>
      <c r="CL348" s="228"/>
      <c r="CM348" s="228"/>
      <c r="CN348" s="228"/>
      <c r="CO348" s="228"/>
      <c r="CP348" s="228"/>
      <c r="CQ348" s="228"/>
      <c r="CR348" s="228"/>
      <c r="CS348" s="228"/>
      <c r="CT348" s="228"/>
      <c r="CU348" s="228"/>
      <c r="CV348" s="228"/>
      <c r="CW348" s="228"/>
      <c r="CX348" s="228"/>
      <c r="CY348" s="228"/>
      <c r="CZ348" s="228"/>
      <c r="DA348" s="228"/>
      <c r="DB348" s="228"/>
    </row>
    <row r="349" ht="12.0" customHeight="1">
      <c r="A349" s="228"/>
      <c r="B349" s="228"/>
      <c r="C349" s="228"/>
      <c r="D349" s="228"/>
      <c r="E349" s="228"/>
      <c r="F349" s="228"/>
      <c r="G349" s="228"/>
      <c r="H349" s="228"/>
      <c r="I349" s="228"/>
      <c r="J349" s="228"/>
      <c r="K349" s="228"/>
      <c r="L349" s="228"/>
      <c r="M349" s="228"/>
      <c r="N349" s="228"/>
      <c r="O349" s="228"/>
      <c r="P349" s="228"/>
      <c r="Q349" s="228"/>
      <c r="R349" s="228"/>
      <c r="S349" s="228"/>
      <c r="T349" s="228"/>
      <c r="U349" s="228"/>
      <c r="V349" s="228"/>
      <c r="W349" s="228"/>
      <c r="X349" s="228"/>
      <c r="Y349" s="228"/>
      <c r="Z349" s="228"/>
      <c r="AA349" s="228"/>
      <c r="AB349" s="228"/>
      <c r="AC349" s="228"/>
      <c r="AD349" s="228"/>
      <c r="AE349" s="228"/>
      <c r="AF349" s="228"/>
      <c r="AG349" s="228"/>
      <c r="AH349" s="228"/>
      <c r="AI349" s="228"/>
      <c r="AJ349" s="228"/>
      <c r="AK349" s="228"/>
      <c r="AL349" s="228"/>
      <c r="AM349" s="228"/>
      <c r="AN349" s="228"/>
      <c r="AO349" s="228"/>
      <c r="AP349" s="228"/>
      <c r="AQ349" s="228"/>
      <c r="AR349" s="228"/>
      <c r="AS349" s="228"/>
      <c r="AT349" s="228"/>
      <c r="AU349" s="228"/>
      <c r="AV349" s="228"/>
      <c r="AW349" s="228"/>
      <c r="AX349" s="228"/>
      <c r="AY349" s="228"/>
      <c r="AZ349" s="228"/>
      <c r="BA349" s="228"/>
      <c r="BB349" s="228"/>
      <c r="BC349" s="228"/>
      <c r="BD349" s="228"/>
      <c r="BE349" s="228"/>
      <c r="BF349" s="228"/>
      <c r="BG349" s="228"/>
      <c r="BH349" s="228"/>
      <c r="BI349" s="228"/>
      <c r="BJ349" s="228"/>
      <c r="BK349" s="228"/>
      <c r="BL349" s="228"/>
      <c r="BM349" s="228"/>
      <c r="BN349" s="228"/>
      <c r="BO349" s="228"/>
      <c r="BP349" s="228"/>
      <c r="BQ349" s="228"/>
      <c r="BR349" s="228"/>
      <c r="BS349" s="228"/>
      <c r="BT349" s="228"/>
      <c r="BU349" s="228"/>
      <c r="BV349" s="228"/>
      <c r="BW349" s="228"/>
      <c r="BX349" s="228"/>
      <c r="BY349" s="228"/>
      <c r="BZ349" s="228"/>
      <c r="CA349" s="228"/>
      <c r="CB349" s="228"/>
      <c r="CC349" s="228"/>
      <c r="CD349" s="228"/>
      <c r="CE349" s="228"/>
      <c r="CF349" s="228"/>
      <c r="CG349" s="228"/>
      <c r="CH349" s="228"/>
      <c r="CI349" s="228"/>
      <c r="CJ349" s="228"/>
      <c r="CK349" s="228"/>
      <c r="CL349" s="228"/>
      <c r="CM349" s="228"/>
      <c r="CN349" s="228"/>
      <c r="CO349" s="228"/>
      <c r="CP349" s="228"/>
      <c r="CQ349" s="228"/>
      <c r="CR349" s="228"/>
      <c r="CS349" s="228"/>
      <c r="CT349" s="228"/>
      <c r="CU349" s="228"/>
      <c r="CV349" s="228"/>
      <c r="CW349" s="228"/>
      <c r="CX349" s="228"/>
      <c r="CY349" s="228"/>
      <c r="CZ349" s="228"/>
      <c r="DA349" s="228"/>
      <c r="DB349" s="228"/>
    </row>
    <row r="350" ht="12.0" customHeight="1">
      <c r="A350" s="228"/>
      <c r="B350" s="228"/>
      <c r="C350" s="228"/>
      <c r="D350" s="228"/>
      <c r="E350" s="228"/>
      <c r="F350" s="228"/>
      <c r="G350" s="228"/>
      <c r="H350" s="228"/>
      <c r="I350" s="228"/>
      <c r="J350" s="228"/>
      <c r="K350" s="228"/>
      <c r="L350" s="228"/>
      <c r="M350" s="228"/>
      <c r="N350" s="228"/>
      <c r="O350" s="228"/>
      <c r="P350" s="228"/>
      <c r="Q350" s="228"/>
      <c r="R350" s="228"/>
      <c r="S350" s="228"/>
      <c r="T350" s="228"/>
      <c r="U350" s="228"/>
      <c r="V350" s="228"/>
      <c r="W350" s="228"/>
      <c r="X350" s="228"/>
      <c r="Y350" s="228"/>
      <c r="Z350" s="228"/>
      <c r="AA350" s="228"/>
      <c r="AB350" s="228"/>
      <c r="AC350" s="228"/>
      <c r="AD350" s="228"/>
      <c r="AE350" s="228"/>
      <c r="AF350" s="228"/>
      <c r="AG350" s="228"/>
      <c r="AH350" s="228"/>
      <c r="AI350" s="228"/>
      <c r="AJ350" s="228"/>
      <c r="AK350" s="228"/>
      <c r="AL350" s="228"/>
      <c r="AM350" s="228"/>
      <c r="AN350" s="228"/>
      <c r="AO350" s="228"/>
      <c r="AP350" s="228"/>
      <c r="AQ350" s="228"/>
      <c r="AR350" s="228"/>
      <c r="AS350" s="228"/>
      <c r="AT350" s="228"/>
      <c r="AU350" s="228"/>
      <c r="AV350" s="228"/>
      <c r="AW350" s="228"/>
      <c r="AX350" s="228"/>
      <c r="AY350" s="228"/>
      <c r="AZ350" s="228"/>
      <c r="BA350" s="228"/>
      <c r="BB350" s="228"/>
      <c r="BC350" s="228"/>
      <c r="BD350" s="228"/>
      <c r="BE350" s="228"/>
      <c r="BF350" s="228"/>
      <c r="BG350" s="228"/>
      <c r="BH350" s="228"/>
      <c r="BI350" s="228"/>
      <c r="BJ350" s="228"/>
      <c r="BK350" s="228"/>
      <c r="BL350" s="228"/>
      <c r="BM350" s="228"/>
      <c r="BN350" s="228"/>
      <c r="BO350" s="228"/>
      <c r="BP350" s="228"/>
      <c r="BQ350" s="228"/>
      <c r="BR350" s="228"/>
      <c r="BS350" s="228"/>
      <c r="BT350" s="228"/>
      <c r="BU350" s="228"/>
      <c r="BV350" s="228"/>
      <c r="BW350" s="228"/>
      <c r="BX350" s="228"/>
      <c r="BY350" s="228"/>
      <c r="BZ350" s="228"/>
      <c r="CA350" s="228"/>
      <c r="CB350" s="228"/>
      <c r="CC350" s="228"/>
      <c r="CD350" s="228"/>
      <c r="CE350" s="228"/>
      <c r="CF350" s="228"/>
      <c r="CG350" s="228"/>
      <c r="CH350" s="228"/>
      <c r="CI350" s="228"/>
      <c r="CJ350" s="228"/>
      <c r="CK350" s="228"/>
      <c r="CL350" s="228"/>
      <c r="CM350" s="228"/>
      <c r="CN350" s="228"/>
      <c r="CO350" s="228"/>
      <c r="CP350" s="228"/>
      <c r="CQ350" s="228"/>
      <c r="CR350" s="228"/>
      <c r="CS350" s="228"/>
      <c r="CT350" s="228"/>
      <c r="CU350" s="228"/>
      <c r="CV350" s="228"/>
      <c r="CW350" s="228"/>
      <c r="CX350" s="228"/>
      <c r="CY350" s="228"/>
      <c r="CZ350" s="228"/>
      <c r="DA350" s="228"/>
      <c r="DB350" s="228"/>
    </row>
    <row r="351" ht="12.0" customHeight="1">
      <c r="A351" s="228"/>
      <c r="B351" s="228"/>
      <c r="C351" s="228"/>
      <c r="D351" s="228"/>
      <c r="E351" s="228"/>
      <c r="F351" s="228"/>
      <c r="G351" s="228"/>
      <c r="H351" s="228"/>
      <c r="I351" s="228"/>
      <c r="J351" s="228"/>
      <c r="K351" s="228"/>
      <c r="L351" s="228"/>
      <c r="M351" s="228"/>
      <c r="N351" s="228"/>
      <c r="O351" s="228"/>
      <c r="P351" s="228"/>
      <c r="Q351" s="228"/>
      <c r="R351" s="228"/>
      <c r="S351" s="228"/>
      <c r="T351" s="228"/>
      <c r="U351" s="228"/>
      <c r="V351" s="228"/>
      <c r="W351" s="228"/>
      <c r="X351" s="228"/>
      <c r="Y351" s="228"/>
      <c r="Z351" s="228"/>
      <c r="AA351" s="228"/>
      <c r="AB351" s="228"/>
      <c r="AC351" s="228"/>
      <c r="AD351" s="228"/>
      <c r="AE351" s="228"/>
      <c r="AF351" s="228"/>
      <c r="AG351" s="228"/>
      <c r="AH351" s="228"/>
      <c r="AI351" s="228"/>
      <c r="AJ351" s="228"/>
      <c r="AK351" s="228"/>
      <c r="AL351" s="228"/>
      <c r="AM351" s="228"/>
      <c r="AN351" s="228"/>
      <c r="AO351" s="228"/>
      <c r="AP351" s="228"/>
      <c r="AQ351" s="228"/>
      <c r="AR351" s="228"/>
      <c r="AS351" s="228"/>
      <c r="AT351" s="228"/>
      <c r="AU351" s="228"/>
      <c r="AV351" s="228"/>
      <c r="AW351" s="228"/>
      <c r="AX351" s="228"/>
      <c r="AY351" s="228"/>
      <c r="AZ351" s="228"/>
      <c r="BA351" s="228"/>
      <c r="BB351" s="228"/>
      <c r="BC351" s="228"/>
      <c r="BD351" s="228"/>
      <c r="BE351" s="228"/>
      <c r="BF351" s="228"/>
      <c r="BG351" s="228"/>
      <c r="BH351" s="228"/>
      <c r="BI351" s="228"/>
      <c r="BJ351" s="228"/>
      <c r="BK351" s="228"/>
      <c r="BL351" s="228"/>
      <c r="BM351" s="228"/>
      <c r="BN351" s="228"/>
      <c r="BO351" s="228"/>
      <c r="BP351" s="228"/>
      <c r="BQ351" s="228"/>
      <c r="BR351" s="228"/>
      <c r="BS351" s="228"/>
      <c r="BT351" s="228"/>
      <c r="BU351" s="228"/>
      <c r="BV351" s="228"/>
      <c r="BW351" s="228"/>
      <c r="BX351" s="228"/>
      <c r="BY351" s="228"/>
      <c r="BZ351" s="228"/>
      <c r="CA351" s="228"/>
      <c r="CB351" s="228"/>
      <c r="CC351" s="228"/>
      <c r="CD351" s="228"/>
      <c r="CE351" s="228"/>
      <c r="CF351" s="228"/>
      <c r="CG351" s="228"/>
      <c r="CH351" s="228"/>
      <c r="CI351" s="228"/>
      <c r="CJ351" s="228"/>
      <c r="CK351" s="228"/>
      <c r="CL351" s="228"/>
      <c r="CM351" s="228"/>
      <c r="CN351" s="228"/>
      <c r="CO351" s="228"/>
      <c r="CP351" s="228"/>
      <c r="CQ351" s="228"/>
      <c r="CR351" s="228"/>
      <c r="CS351" s="228"/>
      <c r="CT351" s="228"/>
      <c r="CU351" s="228"/>
      <c r="CV351" s="228"/>
      <c r="CW351" s="228"/>
      <c r="CX351" s="228"/>
      <c r="CY351" s="228"/>
      <c r="CZ351" s="228"/>
      <c r="DA351" s="228"/>
      <c r="DB351" s="228"/>
    </row>
    <row r="352" ht="12.0" customHeight="1">
      <c r="A352" s="228"/>
      <c r="B352" s="228"/>
      <c r="C352" s="228"/>
      <c r="D352" s="228"/>
      <c r="E352" s="228"/>
      <c r="F352" s="228"/>
      <c r="G352" s="228"/>
      <c r="H352" s="228"/>
      <c r="I352" s="228"/>
      <c r="J352" s="228"/>
      <c r="K352" s="228"/>
      <c r="L352" s="228"/>
      <c r="M352" s="228"/>
      <c r="N352" s="228"/>
      <c r="O352" s="228"/>
      <c r="P352" s="228"/>
      <c r="Q352" s="228"/>
      <c r="R352" s="228"/>
      <c r="S352" s="228"/>
      <c r="T352" s="228"/>
      <c r="U352" s="228"/>
      <c r="V352" s="228"/>
      <c r="W352" s="228"/>
      <c r="X352" s="228"/>
      <c r="Y352" s="228"/>
      <c r="Z352" s="228"/>
      <c r="AA352" s="228"/>
      <c r="AB352" s="228"/>
      <c r="AC352" s="228"/>
      <c r="AD352" s="228"/>
      <c r="AE352" s="228"/>
      <c r="AF352" s="228"/>
      <c r="AG352" s="228"/>
      <c r="AH352" s="228"/>
      <c r="AI352" s="228"/>
      <c r="AJ352" s="228"/>
      <c r="AK352" s="228"/>
      <c r="AL352" s="228"/>
      <c r="AM352" s="228"/>
      <c r="AN352" s="228"/>
      <c r="AO352" s="228"/>
      <c r="AP352" s="228"/>
      <c r="AQ352" s="228"/>
      <c r="AR352" s="228"/>
      <c r="AS352" s="228"/>
      <c r="AT352" s="228"/>
      <c r="AU352" s="228"/>
      <c r="AV352" s="228"/>
      <c r="AW352" s="228"/>
      <c r="AX352" s="228"/>
      <c r="AY352" s="228"/>
      <c r="AZ352" s="228"/>
      <c r="BA352" s="228"/>
      <c r="BB352" s="228"/>
      <c r="BC352" s="228"/>
      <c r="BD352" s="228"/>
      <c r="BE352" s="228"/>
      <c r="BF352" s="228"/>
      <c r="BG352" s="228"/>
      <c r="BH352" s="228"/>
      <c r="BI352" s="228"/>
      <c r="BJ352" s="228"/>
      <c r="BK352" s="228"/>
      <c r="BL352" s="228"/>
      <c r="BM352" s="228"/>
      <c r="BN352" s="228"/>
      <c r="BO352" s="228"/>
      <c r="BP352" s="228"/>
      <c r="BQ352" s="228"/>
      <c r="BR352" s="228"/>
      <c r="BS352" s="228"/>
      <c r="BT352" s="228"/>
      <c r="BU352" s="228"/>
      <c r="BV352" s="228"/>
      <c r="BW352" s="228"/>
      <c r="BX352" s="228"/>
      <c r="BY352" s="228"/>
      <c r="BZ352" s="228"/>
      <c r="CA352" s="228"/>
      <c r="CB352" s="228"/>
      <c r="CC352" s="228"/>
      <c r="CD352" s="228"/>
      <c r="CE352" s="228"/>
      <c r="CF352" s="228"/>
      <c r="CG352" s="228"/>
      <c r="CH352" s="228"/>
      <c r="CI352" s="228"/>
      <c r="CJ352" s="228"/>
      <c r="CK352" s="228"/>
      <c r="CL352" s="228"/>
      <c r="CM352" s="228"/>
      <c r="CN352" s="228"/>
      <c r="CO352" s="228"/>
      <c r="CP352" s="228"/>
      <c r="CQ352" s="228"/>
      <c r="CR352" s="228"/>
      <c r="CS352" s="228"/>
      <c r="CT352" s="228"/>
      <c r="CU352" s="228"/>
      <c r="CV352" s="228"/>
      <c r="CW352" s="228"/>
      <c r="CX352" s="228"/>
      <c r="CY352" s="228"/>
      <c r="CZ352" s="228"/>
      <c r="DA352" s="228"/>
      <c r="DB352" s="228"/>
    </row>
    <row r="353" ht="12.0" customHeight="1">
      <c r="A353" s="228"/>
      <c r="B353" s="228"/>
      <c r="C353" s="228"/>
      <c r="D353" s="228"/>
      <c r="E353" s="228"/>
      <c r="F353" s="228"/>
      <c r="G353" s="228"/>
      <c r="H353" s="228"/>
      <c r="I353" s="228"/>
      <c r="J353" s="228"/>
      <c r="K353" s="228"/>
      <c r="L353" s="228"/>
      <c r="M353" s="228"/>
      <c r="N353" s="228"/>
      <c r="O353" s="228"/>
      <c r="P353" s="228"/>
      <c r="Q353" s="228"/>
      <c r="R353" s="228"/>
      <c r="S353" s="228"/>
      <c r="T353" s="228"/>
      <c r="U353" s="228"/>
      <c r="V353" s="228"/>
      <c r="W353" s="228"/>
      <c r="X353" s="228"/>
      <c r="Y353" s="228"/>
      <c r="Z353" s="228"/>
      <c r="AA353" s="228"/>
      <c r="AB353" s="228"/>
      <c r="AC353" s="228"/>
      <c r="AD353" s="228"/>
      <c r="AE353" s="228"/>
      <c r="AF353" s="228"/>
      <c r="AG353" s="228"/>
      <c r="AH353" s="228"/>
      <c r="AI353" s="228"/>
      <c r="AJ353" s="228"/>
      <c r="AK353" s="228"/>
      <c r="AL353" s="228"/>
      <c r="AM353" s="228"/>
      <c r="AN353" s="228"/>
      <c r="AO353" s="228"/>
      <c r="AP353" s="228"/>
      <c r="AQ353" s="228"/>
      <c r="AR353" s="228"/>
      <c r="AS353" s="228"/>
      <c r="AT353" s="228"/>
      <c r="AU353" s="228"/>
      <c r="AV353" s="228"/>
      <c r="AW353" s="228"/>
      <c r="AX353" s="228"/>
      <c r="AY353" s="228"/>
      <c r="AZ353" s="228"/>
      <c r="BA353" s="228"/>
      <c r="BB353" s="228"/>
      <c r="BC353" s="228"/>
      <c r="BD353" s="228"/>
      <c r="BE353" s="228"/>
      <c r="BF353" s="228"/>
      <c r="BG353" s="228"/>
      <c r="BH353" s="228"/>
      <c r="BI353" s="228"/>
      <c r="BJ353" s="228"/>
      <c r="BK353" s="228"/>
      <c r="BL353" s="228"/>
      <c r="BM353" s="228"/>
      <c r="BN353" s="228"/>
      <c r="BO353" s="228"/>
      <c r="BP353" s="228"/>
      <c r="BQ353" s="228"/>
      <c r="BR353" s="228"/>
      <c r="BS353" s="228"/>
      <c r="BT353" s="228"/>
      <c r="BU353" s="228"/>
      <c r="BV353" s="228"/>
      <c r="BW353" s="228"/>
      <c r="BX353" s="228"/>
      <c r="BY353" s="228"/>
      <c r="BZ353" s="228"/>
      <c r="CA353" s="228"/>
      <c r="CB353" s="228"/>
      <c r="CC353" s="228"/>
      <c r="CD353" s="228"/>
      <c r="CE353" s="228"/>
      <c r="CF353" s="228"/>
      <c r="CG353" s="228"/>
      <c r="CH353" s="228"/>
      <c r="CI353" s="228"/>
      <c r="CJ353" s="228"/>
      <c r="CK353" s="228"/>
      <c r="CL353" s="228"/>
      <c r="CM353" s="228"/>
      <c r="CN353" s="228"/>
      <c r="CO353" s="228"/>
      <c r="CP353" s="228"/>
      <c r="CQ353" s="228"/>
      <c r="CR353" s="228"/>
      <c r="CS353" s="228"/>
      <c r="CT353" s="228"/>
      <c r="CU353" s="228"/>
      <c r="CV353" s="228"/>
      <c r="CW353" s="228"/>
      <c r="CX353" s="228"/>
      <c r="CY353" s="228"/>
      <c r="CZ353" s="228"/>
      <c r="DA353" s="228"/>
      <c r="DB353" s="228"/>
    </row>
    <row r="354" ht="12.0" customHeight="1">
      <c r="A354" s="228"/>
      <c r="B354" s="228"/>
      <c r="C354" s="228"/>
      <c r="D354" s="228"/>
      <c r="E354" s="228"/>
      <c r="F354" s="228"/>
      <c r="G354" s="228"/>
      <c r="H354" s="228"/>
      <c r="I354" s="228"/>
      <c r="J354" s="228"/>
      <c r="K354" s="228"/>
      <c r="L354" s="228"/>
      <c r="M354" s="228"/>
      <c r="N354" s="228"/>
      <c r="O354" s="228"/>
      <c r="P354" s="228"/>
      <c r="Q354" s="228"/>
      <c r="R354" s="228"/>
      <c r="S354" s="228"/>
      <c r="T354" s="228"/>
      <c r="U354" s="228"/>
      <c r="V354" s="228"/>
      <c r="W354" s="228"/>
      <c r="X354" s="228"/>
      <c r="Y354" s="228"/>
      <c r="Z354" s="228"/>
      <c r="AA354" s="228"/>
      <c r="AB354" s="228"/>
      <c r="AC354" s="228"/>
      <c r="AD354" s="228"/>
      <c r="AE354" s="228"/>
      <c r="AF354" s="228"/>
      <c r="AG354" s="228"/>
      <c r="AH354" s="228"/>
      <c r="AI354" s="228"/>
      <c r="AJ354" s="228"/>
      <c r="AK354" s="228"/>
      <c r="AL354" s="228"/>
      <c r="AM354" s="228"/>
      <c r="AN354" s="228"/>
      <c r="AO354" s="228"/>
      <c r="AP354" s="228"/>
      <c r="AQ354" s="228"/>
      <c r="AR354" s="228"/>
      <c r="AS354" s="228"/>
      <c r="AT354" s="228"/>
      <c r="AU354" s="228"/>
      <c r="AV354" s="228"/>
      <c r="AW354" s="228"/>
      <c r="AX354" s="228"/>
      <c r="AY354" s="228"/>
      <c r="AZ354" s="228"/>
      <c r="BA354" s="228"/>
      <c r="BB354" s="228"/>
      <c r="BC354" s="228"/>
      <c r="BD354" s="228"/>
      <c r="BE354" s="228"/>
      <c r="BF354" s="228"/>
      <c r="BG354" s="228"/>
      <c r="BH354" s="228"/>
      <c r="BI354" s="228"/>
      <c r="BJ354" s="228"/>
      <c r="BK354" s="228"/>
      <c r="BL354" s="228"/>
      <c r="BM354" s="228"/>
      <c r="BN354" s="228"/>
      <c r="BO354" s="228"/>
      <c r="BP354" s="228"/>
      <c r="BQ354" s="228"/>
      <c r="BR354" s="228"/>
      <c r="BS354" s="228"/>
      <c r="BT354" s="228"/>
      <c r="BU354" s="228"/>
      <c r="BV354" s="228"/>
      <c r="BW354" s="228"/>
      <c r="BX354" s="228"/>
      <c r="BY354" s="228"/>
      <c r="BZ354" s="228"/>
      <c r="CA354" s="228"/>
      <c r="CB354" s="228"/>
      <c r="CC354" s="228"/>
      <c r="CD354" s="228"/>
      <c r="CE354" s="228"/>
      <c r="CF354" s="228"/>
      <c r="CG354" s="228"/>
      <c r="CH354" s="228"/>
      <c r="CI354" s="228"/>
      <c r="CJ354" s="228"/>
      <c r="CK354" s="228"/>
      <c r="CL354" s="228"/>
      <c r="CM354" s="228"/>
      <c r="CN354" s="228"/>
      <c r="CO354" s="228"/>
      <c r="CP354" s="228"/>
      <c r="CQ354" s="228"/>
      <c r="CR354" s="228"/>
      <c r="CS354" s="228"/>
      <c r="CT354" s="228"/>
      <c r="CU354" s="228"/>
      <c r="CV354" s="228"/>
      <c r="CW354" s="228"/>
      <c r="CX354" s="228"/>
      <c r="CY354" s="228"/>
      <c r="CZ354" s="228"/>
      <c r="DA354" s="228"/>
      <c r="DB354" s="228"/>
    </row>
    <row r="355" ht="12.0" customHeight="1">
      <c r="A355" s="228"/>
      <c r="B355" s="228"/>
      <c r="C355" s="228"/>
      <c r="D355" s="228"/>
      <c r="E355" s="228"/>
      <c r="F355" s="228"/>
      <c r="G355" s="228"/>
      <c r="H355" s="228"/>
      <c r="I355" s="228"/>
      <c r="J355" s="228"/>
      <c r="K355" s="228"/>
      <c r="L355" s="228"/>
      <c r="M355" s="228"/>
      <c r="N355" s="228"/>
      <c r="O355" s="228"/>
      <c r="P355" s="228"/>
      <c r="Q355" s="228"/>
      <c r="R355" s="228"/>
      <c r="S355" s="228"/>
      <c r="T355" s="228"/>
      <c r="U355" s="228"/>
      <c r="V355" s="228"/>
      <c r="W355" s="228"/>
      <c r="X355" s="228"/>
      <c r="Y355" s="228"/>
      <c r="Z355" s="228"/>
      <c r="AA355" s="228"/>
      <c r="AB355" s="228"/>
      <c r="AC355" s="228"/>
      <c r="AD355" s="228"/>
      <c r="AE355" s="228"/>
      <c r="AF355" s="228"/>
      <c r="AG355" s="228"/>
      <c r="AH355" s="228"/>
      <c r="AI355" s="228"/>
      <c r="AJ355" s="228"/>
      <c r="AK355" s="228"/>
      <c r="AL355" s="228"/>
      <c r="AM355" s="228"/>
      <c r="AN355" s="228"/>
      <c r="AO355" s="228"/>
      <c r="AP355" s="228"/>
      <c r="AQ355" s="228"/>
      <c r="AR355" s="228"/>
      <c r="AS355" s="228"/>
      <c r="AT355" s="228"/>
      <c r="AU355" s="228"/>
      <c r="AV355" s="228"/>
      <c r="AW355" s="228"/>
      <c r="AX355" s="228"/>
      <c r="AY355" s="228"/>
      <c r="AZ355" s="228"/>
      <c r="BA355" s="228"/>
      <c r="BB355" s="228"/>
      <c r="BC355" s="228"/>
      <c r="BD355" s="228"/>
      <c r="BE355" s="228"/>
      <c r="BF355" s="228"/>
      <c r="BG355" s="228"/>
      <c r="BH355" s="228"/>
      <c r="BI355" s="228"/>
      <c r="BJ355" s="228"/>
      <c r="BK355" s="228"/>
      <c r="BL355" s="228"/>
      <c r="BM355" s="228"/>
      <c r="BN355" s="228"/>
      <c r="BO355" s="228"/>
      <c r="BP355" s="228"/>
      <c r="BQ355" s="228"/>
      <c r="BR355" s="228"/>
      <c r="BS355" s="228"/>
      <c r="BT355" s="228"/>
      <c r="BU355" s="228"/>
      <c r="BV355" s="228"/>
      <c r="BW355" s="228"/>
      <c r="BX355" s="228"/>
      <c r="BY355" s="228"/>
      <c r="BZ355" s="228"/>
      <c r="CA355" s="228"/>
      <c r="CB355" s="228"/>
      <c r="CC355" s="228"/>
      <c r="CD355" s="228"/>
      <c r="CE355" s="228"/>
      <c r="CF355" s="228"/>
      <c r="CG355" s="228"/>
      <c r="CH355" s="228"/>
      <c r="CI355" s="228"/>
      <c r="CJ355" s="228"/>
      <c r="CK355" s="228"/>
      <c r="CL355" s="228"/>
      <c r="CM355" s="228"/>
      <c r="CN355" s="228"/>
      <c r="CO355" s="228"/>
      <c r="CP355" s="228"/>
      <c r="CQ355" s="228"/>
      <c r="CR355" s="228"/>
      <c r="CS355" s="228"/>
      <c r="CT355" s="228"/>
      <c r="CU355" s="228"/>
      <c r="CV355" s="228"/>
      <c r="CW355" s="228"/>
      <c r="CX355" s="228"/>
      <c r="CY355" s="228"/>
      <c r="CZ355" s="228"/>
      <c r="DA355" s="228"/>
      <c r="DB355" s="228"/>
    </row>
    <row r="356" ht="12.0" customHeight="1">
      <c r="A356" s="228"/>
      <c r="B356" s="228"/>
      <c r="C356" s="228"/>
      <c r="D356" s="228"/>
      <c r="E356" s="228"/>
      <c r="F356" s="228"/>
      <c r="G356" s="228"/>
      <c r="H356" s="228"/>
      <c r="I356" s="228"/>
      <c r="J356" s="228"/>
      <c r="K356" s="228"/>
      <c r="L356" s="228"/>
      <c r="M356" s="228"/>
      <c r="N356" s="228"/>
      <c r="O356" s="228"/>
      <c r="P356" s="228"/>
      <c r="Q356" s="228"/>
      <c r="R356" s="228"/>
      <c r="S356" s="228"/>
      <c r="T356" s="228"/>
      <c r="U356" s="228"/>
      <c r="V356" s="228"/>
      <c r="W356" s="228"/>
      <c r="X356" s="228"/>
      <c r="Y356" s="228"/>
      <c r="Z356" s="228"/>
      <c r="AA356" s="228"/>
      <c r="AB356" s="228"/>
      <c r="AC356" s="228"/>
      <c r="AD356" s="228"/>
      <c r="AE356" s="228"/>
      <c r="AF356" s="228"/>
      <c r="AG356" s="228"/>
      <c r="AH356" s="228"/>
      <c r="AI356" s="228"/>
      <c r="AJ356" s="228"/>
      <c r="AK356" s="228"/>
      <c r="AL356" s="228"/>
      <c r="AM356" s="228"/>
      <c r="AN356" s="228"/>
      <c r="AO356" s="228"/>
      <c r="AP356" s="228"/>
      <c r="AQ356" s="228"/>
      <c r="AR356" s="228"/>
      <c r="AS356" s="228"/>
      <c r="AT356" s="228"/>
      <c r="AU356" s="228"/>
      <c r="AV356" s="228"/>
      <c r="AW356" s="228"/>
      <c r="AX356" s="228"/>
      <c r="AY356" s="228"/>
      <c r="AZ356" s="228"/>
      <c r="BA356" s="228"/>
      <c r="BB356" s="228"/>
      <c r="BC356" s="228"/>
      <c r="BD356" s="228"/>
      <c r="BE356" s="228"/>
      <c r="BF356" s="228"/>
      <c r="BG356" s="228"/>
      <c r="BH356" s="228"/>
      <c r="BI356" s="228"/>
      <c r="BJ356" s="228"/>
      <c r="BK356" s="228"/>
      <c r="BL356" s="228"/>
      <c r="BM356" s="228"/>
      <c r="BN356" s="228"/>
      <c r="BO356" s="228"/>
      <c r="BP356" s="228"/>
      <c r="BQ356" s="228"/>
      <c r="BR356" s="228"/>
      <c r="BS356" s="228"/>
      <c r="BT356" s="228"/>
      <c r="BU356" s="228"/>
      <c r="BV356" s="228"/>
      <c r="BW356" s="228"/>
      <c r="BX356" s="228"/>
      <c r="BY356" s="228"/>
      <c r="BZ356" s="228"/>
      <c r="CA356" s="228"/>
      <c r="CB356" s="228"/>
      <c r="CC356" s="228"/>
      <c r="CD356" s="228"/>
      <c r="CE356" s="228"/>
      <c r="CF356" s="228"/>
      <c r="CG356" s="228"/>
      <c r="CH356" s="228"/>
      <c r="CI356" s="228"/>
      <c r="CJ356" s="228"/>
      <c r="CK356" s="228"/>
      <c r="CL356" s="228"/>
      <c r="CM356" s="228"/>
      <c r="CN356" s="228"/>
      <c r="CO356" s="228"/>
      <c r="CP356" s="228"/>
      <c r="CQ356" s="228"/>
      <c r="CR356" s="228"/>
      <c r="CS356" s="228"/>
      <c r="CT356" s="228"/>
      <c r="CU356" s="228"/>
      <c r="CV356" s="228"/>
      <c r="CW356" s="228"/>
      <c r="CX356" s="228"/>
      <c r="CY356" s="228"/>
      <c r="CZ356" s="228"/>
      <c r="DA356" s="228"/>
      <c r="DB356" s="228"/>
    </row>
    <row r="357" ht="12.0" customHeight="1">
      <c r="A357" s="228"/>
      <c r="B357" s="228"/>
      <c r="C357" s="228"/>
      <c r="D357" s="228"/>
      <c r="E357" s="228"/>
      <c r="F357" s="228"/>
      <c r="G357" s="228"/>
      <c r="H357" s="228"/>
      <c r="I357" s="228"/>
      <c r="J357" s="228"/>
      <c r="K357" s="228"/>
      <c r="L357" s="228"/>
      <c r="M357" s="228"/>
      <c r="N357" s="228"/>
      <c r="O357" s="228"/>
      <c r="P357" s="228"/>
      <c r="Q357" s="228"/>
      <c r="R357" s="228"/>
      <c r="S357" s="228"/>
      <c r="T357" s="228"/>
      <c r="U357" s="228"/>
      <c r="V357" s="228"/>
      <c r="W357" s="228"/>
      <c r="X357" s="228"/>
      <c r="Y357" s="228"/>
      <c r="Z357" s="228"/>
      <c r="AA357" s="228"/>
      <c r="AB357" s="228"/>
      <c r="AC357" s="228"/>
      <c r="AD357" s="228"/>
      <c r="AE357" s="228"/>
      <c r="AF357" s="228"/>
      <c r="AG357" s="228"/>
      <c r="AH357" s="228"/>
      <c r="AI357" s="228"/>
      <c r="AJ357" s="228"/>
      <c r="AK357" s="228"/>
      <c r="AL357" s="228"/>
      <c r="AM357" s="228"/>
      <c r="AN357" s="228"/>
      <c r="AO357" s="228"/>
      <c r="AP357" s="228"/>
      <c r="AQ357" s="228"/>
      <c r="AR357" s="228"/>
      <c r="AS357" s="228"/>
      <c r="AT357" s="228"/>
      <c r="AU357" s="228"/>
      <c r="AV357" s="228"/>
      <c r="AW357" s="228"/>
      <c r="AX357" s="228"/>
      <c r="AY357" s="228"/>
      <c r="AZ357" s="228"/>
      <c r="BA357" s="228"/>
      <c r="BB357" s="228"/>
      <c r="BC357" s="228"/>
      <c r="BD357" s="228"/>
      <c r="BE357" s="228"/>
      <c r="BF357" s="228"/>
      <c r="BG357" s="228"/>
      <c r="BH357" s="228"/>
      <c r="BI357" s="228"/>
      <c r="BJ357" s="228"/>
      <c r="BK357" s="228"/>
      <c r="BL357" s="228"/>
      <c r="BM357" s="228"/>
      <c r="BN357" s="228"/>
      <c r="BO357" s="228"/>
      <c r="BP357" s="228"/>
      <c r="BQ357" s="228"/>
      <c r="BR357" s="228"/>
      <c r="BS357" s="228"/>
      <c r="BT357" s="228"/>
      <c r="BU357" s="228"/>
      <c r="BV357" s="228"/>
      <c r="BW357" s="228"/>
      <c r="BX357" s="228"/>
      <c r="BY357" s="228"/>
      <c r="BZ357" s="228"/>
      <c r="CA357" s="228"/>
      <c r="CB357" s="228"/>
      <c r="CC357" s="228"/>
      <c r="CD357" s="228"/>
      <c r="CE357" s="228"/>
      <c r="CF357" s="228"/>
      <c r="CG357" s="228"/>
      <c r="CH357" s="228"/>
      <c r="CI357" s="228"/>
      <c r="CJ357" s="228"/>
      <c r="CK357" s="228"/>
      <c r="CL357" s="228"/>
      <c r="CM357" s="228"/>
      <c r="CN357" s="228"/>
      <c r="CO357" s="228"/>
      <c r="CP357" s="228"/>
      <c r="CQ357" s="228"/>
      <c r="CR357" s="228"/>
      <c r="CS357" s="228"/>
      <c r="CT357" s="228"/>
      <c r="CU357" s="228"/>
      <c r="CV357" s="228"/>
      <c r="CW357" s="228"/>
      <c r="CX357" s="228"/>
      <c r="CY357" s="228"/>
      <c r="CZ357" s="228"/>
      <c r="DA357" s="228"/>
      <c r="DB357" s="228"/>
    </row>
    <row r="358" ht="12.0" customHeight="1">
      <c r="A358" s="228"/>
      <c r="B358" s="228"/>
      <c r="C358" s="228"/>
      <c r="D358" s="228"/>
      <c r="E358" s="228"/>
      <c r="F358" s="228"/>
      <c r="G358" s="228"/>
      <c r="H358" s="228"/>
      <c r="I358" s="228"/>
      <c r="J358" s="228"/>
      <c r="K358" s="228"/>
      <c r="L358" s="228"/>
      <c r="M358" s="228"/>
      <c r="N358" s="228"/>
      <c r="O358" s="228"/>
      <c r="P358" s="228"/>
      <c r="Q358" s="228"/>
      <c r="R358" s="228"/>
      <c r="S358" s="228"/>
      <c r="T358" s="228"/>
      <c r="U358" s="228"/>
      <c r="V358" s="228"/>
      <c r="W358" s="228"/>
      <c r="X358" s="228"/>
      <c r="Y358" s="228"/>
      <c r="Z358" s="228"/>
      <c r="AA358" s="228"/>
      <c r="AB358" s="228"/>
      <c r="AC358" s="228"/>
      <c r="AD358" s="228"/>
      <c r="AE358" s="228"/>
      <c r="AF358" s="228"/>
      <c r="AG358" s="228"/>
      <c r="AH358" s="228"/>
      <c r="AI358" s="228"/>
      <c r="AJ358" s="228"/>
      <c r="AK358" s="228"/>
      <c r="AL358" s="228"/>
      <c r="AM358" s="228"/>
      <c r="AN358" s="228"/>
      <c r="AO358" s="228"/>
      <c r="AP358" s="228"/>
      <c r="AQ358" s="228"/>
      <c r="AR358" s="228"/>
      <c r="AS358" s="228"/>
      <c r="AT358" s="228"/>
      <c r="AU358" s="228"/>
      <c r="AV358" s="228"/>
      <c r="AW358" s="228"/>
      <c r="AX358" s="228"/>
      <c r="AY358" s="228"/>
      <c r="AZ358" s="228"/>
      <c r="BA358" s="228"/>
      <c r="BB358" s="228"/>
      <c r="BC358" s="228"/>
      <c r="BD358" s="228"/>
      <c r="BE358" s="228"/>
      <c r="BF358" s="228"/>
      <c r="BG358" s="228"/>
      <c r="BH358" s="228"/>
      <c r="BI358" s="228"/>
      <c r="BJ358" s="228"/>
      <c r="BK358" s="228"/>
      <c r="BL358" s="228"/>
      <c r="BM358" s="228"/>
      <c r="BN358" s="228"/>
      <c r="BO358" s="228"/>
      <c r="BP358" s="228"/>
      <c r="BQ358" s="228"/>
      <c r="BR358" s="228"/>
      <c r="BS358" s="228"/>
      <c r="BT358" s="228"/>
      <c r="BU358" s="228"/>
      <c r="BV358" s="228"/>
      <c r="BW358" s="228"/>
      <c r="BX358" s="228"/>
      <c r="BY358" s="228"/>
      <c r="BZ358" s="228"/>
      <c r="CA358" s="228"/>
      <c r="CB358" s="228"/>
      <c r="CC358" s="228"/>
      <c r="CD358" s="228"/>
      <c r="CE358" s="228"/>
      <c r="CF358" s="228"/>
      <c r="CG358" s="228"/>
      <c r="CH358" s="228"/>
      <c r="CI358" s="228"/>
      <c r="CJ358" s="228"/>
      <c r="CK358" s="228"/>
      <c r="CL358" s="228"/>
      <c r="CM358" s="228"/>
      <c r="CN358" s="228"/>
      <c r="CO358" s="228"/>
      <c r="CP358" s="228"/>
      <c r="CQ358" s="228"/>
      <c r="CR358" s="228"/>
      <c r="CS358" s="228"/>
      <c r="CT358" s="228"/>
      <c r="CU358" s="228"/>
      <c r="CV358" s="228"/>
      <c r="CW358" s="228"/>
      <c r="CX358" s="228"/>
      <c r="CY358" s="228"/>
      <c r="CZ358" s="228"/>
      <c r="DA358" s="228"/>
      <c r="DB358" s="228"/>
    </row>
    <row r="359" ht="12.0" customHeight="1">
      <c r="A359" s="228"/>
      <c r="B359" s="228"/>
      <c r="C359" s="228"/>
      <c r="D359" s="228"/>
      <c r="E359" s="228"/>
      <c r="F359" s="228"/>
      <c r="G359" s="228"/>
      <c r="H359" s="228"/>
      <c r="I359" s="228"/>
      <c r="J359" s="228"/>
      <c r="K359" s="228"/>
      <c r="L359" s="228"/>
      <c r="M359" s="228"/>
      <c r="N359" s="228"/>
      <c r="O359" s="228"/>
      <c r="P359" s="228"/>
      <c r="Q359" s="228"/>
      <c r="R359" s="228"/>
      <c r="S359" s="228"/>
      <c r="T359" s="228"/>
      <c r="U359" s="228"/>
      <c r="V359" s="228"/>
      <c r="W359" s="228"/>
      <c r="X359" s="228"/>
      <c r="Y359" s="228"/>
      <c r="Z359" s="228"/>
      <c r="AA359" s="228"/>
      <c r="AB359" s="228"/>
      <c r="AC359" s="228"/>
      <c r="AD359" s="228"/>
      <c r="AE359" s="228"/>
      <c r="AF359" s="228"/>
      <c r="AG359" s="228"/>
      <c r="AH359" s="228"/>
      <c r="AI359" s="228"/>
      <c r="AJ359" s="228"/>
      <c r="AK359" s="228"/>
      <c r="AL359" s="228"/>
      <c r="AM359" s="228"/>
      <c r="AN359" s="228"/>
      <c r="AO359" s="228"/>
      <c r="AP359" s="228"/>
      <c r="AQ359" s="228"/>
      <c r="AR359" s="228"/>
      <c r="AS359" s="228"/>
      <c r="AT359" s="228"/>
      <c r="AU359" s="228"/>
      <c r="AV359" s="228"/>
      <c r="AW359" s="228"/>
      <c r="AX359" s="228"/>
      <c r="AY359" s="228"/>
      <c r="AZ359" s="228"/>
      <c r="BA359" s="228"/>
      <c r="BB359" s="228"/>
      <c r="BC359" s="228"/>
      <c r="BD359" s="228"/>
      <c r="BE359" s="228"/>
      <c r="BF359" s="228"/>
      <c r="BG359" s="228"/>
      <c r="BH359" s="228"/>
      <c r="BI359" s="228"/>
      <c r="BJ359" s="228"/>
      <c r="BK359" s="228"/>
      <c r="BL359" s="228"/>
      <c r="BM359" s="228"/>
      <c r="BN359" s="228"/>
      <c r="BO359" s="228"/>
      <c r="BP359" s="228"/>
      <c r="BQ359" s="228"/>
      <c r="BR359" s="228"/>
      <c r="BS359" s="228"/>
      <c r="BT359" s="228"/>
      <c r="BU359" s="228"/>
      <c r="BV359" s="228"/>
      <c r="BW359" s="228"/>
      <c r="BX359" s="228"/>
      <c r="BY359" s="228"/>
      <c r="BZ359" s="228"/>
      <c r="CA359" s="228"/>
      <c r="CB359" s="228"/>
      <c r="CC359" s="228"/>
      <c r="CD359" s="228"/>
      <c r="CE359" s="228"/>
      <c r="CF359" s="228"/>
      <c r="CG359" s="228"/>
      <c r="CH359" s="228"/>
      <c r="CI359" s="228"/>
      <c r="CJ359" s="228"/>
      <c r="CK359" s="228"/>
      <c r="CL359" s="228"/>
      <c r="CM359" s="228"/>
      <c r="CN359" s="228"/>
      <c r="CO359" s="228"/>
      <c r="CP359" s="228"/>
      <c r="CQ359" s="228"/>
      <c r="CR359" s="228"/>
      <c r="CS359" s="228"/>
      <c r="CT359" s="228"/>
      <c r="CU359" s="228"/>
      <c r="CV359" s="228"/>
      <c r="CW359" s="228"/>
      <c r="CX359" s="228"/>
      <c r="CY359" s="228"/>
      <c r="CZ359" s="228"/>
      <c r="DA359" s="228"/>
      <c r="DB359" s="228"/>
    </row>
    <row r="360" ht="12.0" customHeight="1">
      <c r="A360" s="228"/>
      <c r="B360" s="228"/>
      <c r="C360" s="228"/>
      <c r="D360" s="228"/>
      <c r="E360" s="228"/>
      <c r="F360" s="228"/>
      <c r="G360" s="228"/>
      <c r="H360" s="228"/>
      <c r="I360" s="228"/>
      <c r="J360" s="228"/>
      <c r="K360" s="228"/>
      <c r="L360" s="228"/>
      <c r="M360" s="228"/>
      <c r="N360" s="228"/>
      <c r="O360" s="228"/>
      <c r="P360" s="228"/>
      <c r="Q360" s="228"/>
      <c r="R360" s="228"/>
      <c r="S360" s="228"/>
      <c r="T360" s="228"/>
      <c r="U360" s="228"/>
      <c r="V360" s="228"/>
      <c r="W360" s="228"/>
      <c r="X360" s="228"/>
      <c r="Y360" s="228"/>
      <c r="Z360" s="228"/>
      <c r="AA360" s="228"/>
      <c r="AB360" s="228"/>
      <c r="AC360" s="228"/>
      <c r="AD360" s="228"/>
      <c r="AE360" s="228"/>
      <c r="AF360" s="228"/>
      <c r="AG360" s="228"/>
      <c r="AH360" s="228"/>
      <c r="AI360" s="228"/>
      <c r="AJ360" s="228"/>
      <c r="AK360" s="228"/>
      <c r="AL360" s="228"/>
      <c r="AM360" s="228"/>
      <c r="AN360" s="228"/>
      <c r="AO360" s="228"/>
      <c r="AP360" s="228"/>
      <c r="AQ360" s="228"/>
      <c r="AR360" s="228"/>
      <c r="AS360" s="228"/>
      <c r="AT360" s="228"/>
      <c r="AU360" s="228"/>
      <c r="AV360" s="228"/>
      <c r="AW360" s="228"/>
      <c r="AX360" s="228"/>
      <c r="AY360" s="228"/>
      <c r="AZ360" s="228"/>
      <c r="BA360" s="228"/>
      <c r="BB360" s="228"/>
      <c r="BC360" s="228"/>
      <c r="BD360" s="228"/>
      <c r="BE360" s="228"/>
      <c r="BF360" s="228"/>
      <c r="BG360" s="228"/>
      <c r="BH360" s="228"/>
      <c r="BI360" s="228"/>
      <c r="BJ360" s="228"/>
      <c r="BK360" s="228"/>
      <c r="BL360" s="228"/>
      <c r="BM360" s="228"/>
      <c r="BN360" s="228"/>
      <c r="BO360" s="228"/>
      <c r="BP360" s="228"/>
      <c r="BQ360" s="228"/>
      <c r="BR360" s="228"/>
      <c r="BS360" s="228"/>
      <c r="BT360" s="228"/>
      <c r="BU360" s="228"/>
      <c r="BV360" s="228"/>
      <c r="BW360" s="228"/>
      <c r="BX360" s="228"/>
      <c r="BY360" s="228"/>
      <c r="BZ360" s="228"/>
      <c r="CA360" s="228"/>
      <c r="CB360" s="228"/>
      <c r="CC360" s="228"/>
      <c r="CD360" s="228"/>
      <c r="CE360" s="228"/>
      <c r="CF360" s="228"/>
      <c r="CG360" s="228"/>
      <c r="CH360" s="228"/>
      <c r="CI360" s="228"/>
      <c r="CJ360" s="228"/>
      <c r="CK360" s="228"/>
      <c r="CL360" s="228"/>
      <c r="CM360" s="228"/>
      <c r="CN360" s="228"/>
      <c r="CO360" s="228"/>
      <c r="CP360" s="228"/>
      <c r="CQ360" s="228"/>
      <c r="CR360" s="228"/>
      <c r="CS360" s="228"/>
      <c r="CT360" s="228"/>
      <c r="CU360" s="228"/>
      <c r="CV360" s="228"/>
      <c r="CW360" s="228"/>
      <c r="CX360" s="228"/>
      <c r="CY360" s="228"/>
      <c r="CZ360" s="228"/>
      <c r="DA360" s="228"/>
      <c r="DB360" s="228"/>
    </row>
    <row r="361" ht="12.0" customHeight="1">
      <c r="A361" s="228"/>
      <c r="B361" s="228"/>
      <c r="C361" s="228"/>
      <c r="D361" s="228"/>
      <c r="E361" s="228"/>
      <c r="F361" s="228"/>
      <c r="G361" s="228"/>
      <c r="H361" s="228"/>
      <c r="I361" s="228"/>
      <c r="J361" s="228"/>
      <c r="K361" s="228"/>
      <c r="L361" s="228"/>
      <c r="M361" s="228"/>
      <c r="N361" s="228"/>
      <c r="O361" s="228"/>
      <c r="P361" s="228"/>
      <c r="Q361" s="228"/>
      <c r="R361" s="228"/>
      <c r="S361" s="228"/>
      <c r="T361" s="228"/>
      <c r="U361" s="228"/>
      <c r="V361" s="228"/>
      <c r="W361" s="228"/>
      <c r="X361" s="228"/>
      <c r="Y361" s="228"/>
      <c r="Z361" s="228"/>
      <c r="AA361" s="228"/>
      <c r="AB361" s="228"/>
      <c r="AC361" s="228"/>
      <c r="AD361" s="228"/>
      <c r="AE361" s="228"/>
      <c r="AF361" s="228"/>
      <c r="AG361" s="228"/>
      <c r="AH361" s="228"/>
      <c r="AI361" s="228"/>
      <c r="AJ361" s="228"/>
      <c r="AK361" s="228"/>
      <c r="AL361" s="228"/>
      <c r="AM361" s="228"/>
      <c r="AN361" s="228"/>
      <c r="AO361" s="228"/>
      <c r="AP361" s="228"/>
      <c r="AQ361" s="228"/>
      <c r="AR361" s="228"/>
      <c r="AS361" s="228"/>
      <c r="AT361" s="228"/>
      <c r="AU361" s="228"/>
      <c r="AV361" s="228"/>
      <c r="AW361" s="228"/>
      <c r="AX361" s="228"/>
      <c r="AY361" s="228"/>
      <c r="AZ361" s="228"/>
      <c r="BA361" s="228"/>
      <c r="BB361" s="228"/>
      <c r="BC361" s="228"/>
      <c r="BD361" s="228"/>
      <c r="BE361" s="228"/>
      <c r="BF361" s="228"/>
      <c r="BG361" s="228"/>
      <c r="BH361" s="228"/>
      <c r="BI361" s="228"/>
      <c r="BJ361" s="228"/>
      <c r="BK361" s="228"/>
      <c r="BL361" s="228"/>
      <c r="BM361" s="228"/>
      <c r="BN361" s="228"/>
      <c r="BO361" s="228"/>
      <c r="BP361" s="228"/>
      <c r="BQ361" s="228"/>
      <c r="BR361" s="228"/>
      <c r="BS361" s="228"/>
      <c r="BT361" s="228"/>
      <c r="BU361" s="228"/>
      <c r="BV361" s="228"/>
      <c r="BW361" s="228"/>
      <c r="BX361" s="228"/>
      <c r="BY361" s="228"/>
      <c r="BZ361" s="228"/>
      <c r="CA361" s="228"/>
      <c r="CB361" s="228"/>
      <c r="CC361" s="228"/>
      <c r="CD361" s="228"/>
      <c r="CE361" s="228"/>
      <c r="CF361" s="228"/>
      <c r="CG361" s="228"/>
      <c r="CH361" s="228"/>
      <c r="CI361" s="228"/>
      <c r="CJ361" s="228"/>
      <c r="CK361" s="228"/>
      <c r="CL361" s="228"/>
      <c r="CM361" s="228"/>
      <c r="CN361" s="228"/>
      <c r="CO361" s="228"/>
      <c r="CP361" s="228"/>
      <c r="CQ361" s="228"/>
      <c r="CR361" s="228"/>
      <c r="CS361" s="228"/>
      <c r="CT361" s="228"/>
      <c r="CU361" s="228"/>
      <c r="CV361" s="228"/>
      <c r="CW361" s="228"/>
      <c r="CX361" s="228"/>
      <c r="CY361" s="228"/>
      <c r="CZ361" s="228"/>
      <c r="DA361" s="228"/>
      <c r="DB361" s="228"/>
    </row>
    <row r="362" ht="12.0" customHeight="1">
      <c r="A362" s="228"/>
      <c r="B362" s="228"/>
      <c r="C362" s="228"/>
      <c r="D362" s="228"/>
      <c r="E362" s="228"/>
      <c r="F362" s="228"/>
      <c r="G362" s="228"/>
      <c r="H362" s="228"/>
      <c r="I362" s="228"/>
      <c r="J362" s="228"/>
      <c r="K362" s="228"/>
      <c r="L362" s="228"/>
      <c r="M362" s="228"/>
      <c r="N362" s="228"/>
      <c r="O362" s="228"/>
      <c r="P362" s="228"/>
      <c r="Q362" s="228"/>
      <c r="R362" s="228"/>
      <c r="S362" s="228"/>
      <c r="T362" s="228"/>
      <c r="U362" s="228"/>
      <c r="V362" s="228"/>
      <c r="W362" s="228"/>
      <c r="X362" s="228"/>
      <c r="Y362" s="228"/>
      <c r="Z362" s="228"/>
      <c r="AA362" s="228"/>
      <c r="AB362" s="228"/>
      <c r="AC362" s="228"/>
      <c r="AD362" s="228"/>
      <c r="AE362" s="228"/>
      <c r="AF362" s="228"/>
      <c r="AG362" s="228"/>
      <c r="AH362" s="228"/>
      <c r="AI362" s="228"/>
      <c r="AJ362" s="228"/>
      <c r="AK362" s="228"/>
      <c r="AL362" s="228"/>
      <c r="AM362" s="228"/>
      <c r="AN362" s="228"/>
      <c r="AO362" s="228"/>
      <c r="AP362" s="228"/>
      <c r="AQ362" s="228"/>
      <c r="AR362" s="228"/>
      <c r="AS362" s="228"/>
      <c r="AT362" s="228"/>
      <c r="AU362" s="228"/>
      <c r="AV362" s="228"/>
      <c r="AW362" s="228"/>
      <c r="AX362" s="228"/>
      <c r="AY362" s="228"/>
      <c r="AZ362" s="228"/>
      <c r="BA362" s="228"/>
      <c r="BB362" s="228"/>
      <c r="BC362" s="228"/>
      <c r="BD362" s="228"/>
      <c r="BE362" s="228"/>
      <c r="BF362" s="228"/>
      <c r="BG362" s="228"/>
      <c r="BH362" s="228"/>
      <c r="BI362" s="228"/>
      <c r="BJ362" s="228"/>
      <c r="BK362" s="228"/>
      <c r="BL362" s="228"/>
      <c r="BM362" s="228"/>
      <c r="BN362" s="228"/>
      <c r="BO362" s="228"/>
      <c r="BP362" s="228"/>
      <c r="BQ362" s="228"/>
      <c r="BR362" s="228"/>
      <c r="BS362" s="228"/>
      <c r="BT362" s="228"/>
      <c r="BU362" s="228"/>
      <c r="BV362" s="228"/>
      <c r="BW362" s="228"/>
      <c r="BX362" s="228"/>
      <c r="BY362" s="228"/>
      <c r="BZ362" s="228"/>
      <c r="CA362" s="228"/>
      <c r="CB362" s="228"/>
      <c r="CC362" s="228"/>
      <c r="CD362" s="228"/>
      <c r="CE362" s="228"/>
      <c r="CF362" s="228"/>
      <c r="CG362" s="228"/>
      <c r="CH362" s="228"/>
      <c r="CI362" s="228"/>
      <c r="CJ362" s="228"/>
      <c r="CK362" s="228"/>
      <c r="CL362" s="228"/>
      <c r="CM362" s="228"/>
      <c r="CN362" s="228"/>
      <c r="CO362" s="228"/>
      <c r="CP362" s="228"/>
      <c r="CQ362" s="228"/>
      <c r="CR362" s="228"/>
      <c r="CS362" s="228"/>
      <c r="CT362" s="228"/>
      <c r="CU362" s="228"/>
      <c r="CV362" s="228"/>
      <c r="CW362" s="228"/>
      <c r="CX362" s="228"/>
      <c r="CY362" s="228"/>
      <c r="CZ362" s="228"/>
      <c r="DA362" s="228"/>
      <c r="DB362" s="228"/>
    </row>
    <row r="363" ht="12.0" customHeight="1">
      <c r="A363" s="228"/>
      <c r="B363" s="228"/>
      <c r="C363" s="228"/>
      <c r="D363" s="228"/>
      <c r="E363" s="228"/>
      <c r="F363" s="228"/>
      <c r="G363" s="228"/>
      <c r="H363" s="228"/>
      <c r="I363" s="228"/>
      <c r="J363" s="228"/>
      <c r="K363" s="228"/>
      <c r="L363" s="228"/>
      <c r="M363" s="228"/>
      <c r="N363" s="228"/>
      <c r="O363" s="228"/>
      <c r="P363" s="228"/>
      <c r="Q363" s="228"/>
      <c r="R363" s="228"/>
      <c r="S363" s="228"/>
      <c r="T363" s="228"/>
      <c r="U363" s="228"/>
      <c r="V363" s="228"/>
      <c r="W363" s="228"/>
      <c r="X363" s="228"/>
      <c r="Y363" s="228"/>
      <c r="Z363" s="228"/>
      <c r="AA363" s="228"/>
      <c r="AB363" s="228"/>
      <c r="AC363" s="228"/>
      <c r="AD363" s="228"/>
      <c r="AE363" s="228"/>
      <c r="AF363" s="228"/>
      <c r="AG363" s="228"/>
      <c r="AH363" s="228"/>
      <c r="AI363" s="228"/>
      <c r="AJ363" s="228"/>
      <c r="AK363" s="228"/>
      <c r="AL363" s="228"/>
      <c r="AM363" s="228"/>
      <c r="AN363" s="228"/>
      <c r="AO363" s="228"/>
      <c r="AP363" s="228"/>
      <c r="AQ363" s="228"/>
      <c r="AR363" s="228"/>
      <c r="AS363" s="228"/>
      <c r="AT363" s="228"/>
      <c r="AU363" s="228"/>
      <c r="AV363" s="228"/>
      <c r="AW363" s="228"/>
      <c r="AX363" s="228"/>
      <c r="AY363" s="228"/>
      <c r="AZ363" s="228"/>
      <c r="BA363" s="228"/>
      <c r="BB363" s="228"/>
      <c r="BC363" s="228"/>
      <c r="BD363" s="228"/>
      <c r="BE363" s="228"/>
      <c r="BF363" s="228"/>
      <c r="BG363" s="228"/>
      <c r="BH363" s="228"/>
      <c r="BI363" s="228"/>
      <c r="BJ363" s="228"/>
      <c r="BK363" s="228"/>
      <c r="BL363" s="228"/>
      <c r="BM363" s="228"/>
      <c r="BN363" s="228"/>
      <c r="BO363" s="228"/>
      <c r="BP363" s="228"/>
      <c r="BQ363" s="228"/>
      <c r="BR363" s="228"/>
      <c r="BS363" s="228"/>
      <c r="BT363" s="228"/>
      <c r="BU363" s="228"/>
      <c r="BV363" s="228"/>
      <c r="BW363" s="228"/>
      <c r="BX363" s="228"/>
      <c r="BY363" s="228"/>
      <c r="BZ363" s="228"/>
      <c r="CA363" s="228"/>
      <c r="CB363" s="228"/>
      <c r="CC363" s="228"/>
      <c r="CD363" s="228"/>
      <c r="CE363" s="228"/>
      <c r="CF363" s="228"/>
      <c r="CG363" s="228"/>
      <c r="CH363" s="228"/>
      <c r="CI363" s="228"/>
      <c r="CJ363" s="228"/>
      <c r="CK363" s="228"/>
      <c r="CL363" s="228"/>
      <c r="CM363" s="228"/>
      <c r="CN363" s="228"/>
      <c r="CO363" s="228"/>
      <c r="CP363" s="228"/>
      <c r="CQ363" s="228"/>
      <c r="CR363" s="228"/>
      <c r="CS363" s="228"/>
      <c r="CT363" s="228"/>
      <c r="CU363" s="228"/>
      <c r="CV363" s="228"/>
      <c r="CW363" s="228"/>
      <c r="CX363" s="228"/>
      <c r="CY363" s="228"/>
      <c r="CZ363" s="228"/>
      <c r="DA363" s="228"/>
      <c r="DB363" s="228"/>
    </row>
    <row r="364" ht="12.0" customHeight="1">
      <c r="A364" s="228"/>
      <c r="B364" s="228"/>
      <c r="C364" s="228"/>
      <c r="D364" s="228"/>
      <c r="E364" s="228"/>
      <c r="F364" s="228"/>
      <c r="G364" s="228"/>
      <c r="H364" s="228"/>
      <c r="I364" s="228"/>
      <c r="J364" s="228"/>
      <c r="K364" s="228"/>
      <c r="L364" s="228"/>
      <c r="M364" s="228"/>
      <c r="N364" s="228"/>
      <c r="O364" s="228"/>
      <c r="P364" s="228"/>
      <c r="Q364" s="228"/>
      <c r="R364" s="228"/>
      <c r="S364" s="228"/>
      <c r="T364" s="228"/>
      <c r="U364" s="228"/>
      <c r="V364" s="228"/>
      <c r="W364" s="228"/>
      <c r="X364" s="228"/>
      <c r="Y364" s="228"/>
      <c r="Z364" s="228"/>
      <c r="AA364" s="228"/>
      <c r="AB364" s="228"/>
      <c r="AC364" s="228"/>
      <c r="AD364" s="228"/>
      <c r="AE364" s="228"/>
      <c r="AF364" s="228"/>
      <c r="AG364" s="228"/>
      <c r="AH364" s="228"/>
      <c r="AI364" s="228"/>
      <c r="AJ364" s="228"/>
      <c r="AK364" s="228"/>
      <c r="AL364" s="228"/>
      <c r="AM364" s="228"/>
      <c r="AN364" s="228"/>
      <c r="AO364" s="228"/>
      <c r="AP364" s="228"/>
      <c r="AQ364" s="228"/>
      <c r="AR364" s="228"/>
      <c r="AS364" s="228"/>
      <c r="AT364" s="228"/>
      <c r="AU364" s="228"/>
      <c r="AV364" s="228"/>
      <c r="AW364" s="228"/>
      <c r="AX364" s="228"/>
      <c r="AY364" s="228"/>
      <c r="AZ364" s="228"/>
      <c r="BA364" s="228"/>
      <c r="BB364" s="228"/>
      <c r="BC364" s="228"/>
      <c r="BD364" s="228"/>
      <c r="BE364" s="228"/>
      <c r="BF364" s="228"/>
      <c r="BG364" s="228"/>
      <c r="BH364" s="228"/>
      <c r="BI364" s="228"/>
      <c r="BJ364" s="228"/>
      <c r="BK364" s="228"/>
      <c r="BL364" s="228"/>
      <c r="BM364" s="228"/>
      <c r="BN364" s="228"/>
      <c r="BO364" s="228"/>
      <c r="BP364" s="228"/>
      <c r="BQ364" s="228"/>
      <c r="BR364" s="228"/>
      <c r="BS364" s="228"/>
      <c r="BT364" s="228"/>
      <c r="BU364" s="228"/>
      <c r="BV364" s="228"/>
      <c r="BW364" s="228"/>
      <c r="BX364" s="228"/>
      <c r="BY364" s="228"/>
      <c r="BZ364" s="228"/>
      <c r="CA364" s="228"/>
      <c r="CB364" s="228"/>
      <c r="CC364" s="228"/>
      <c r="CD364" s="228"/>
      <c r="CE364" s="228"/>
      <c r="CF364" s="228"/>
      <c r="CG364" s="228"/>
      <c r="CH364" s="228"/>
      <c r="CI364" s="228"/>
      <c r="CJ364" s="228"/>
      <c r="CK364" s="228"/>
      <c r="CL364" s="228"/>
      <c r="CM364" s="228"/>
      <c r="CN364" s="228"/>
      <c r="CO364" s="228"/>
      <c r="CP364" s="228"/>
      <c r="CQ364" s="228"/>
      <c r="CR364" s="228"/>
      <c r="CS364" s="228"/>
      <c r="CT364" s="228"/>
      <c r="CU364" s="228"/>
      <c r="CV364" s="228"/>
      <c r="CW364" s="228"/>
      <c r="CX364" s="228"/>
      <c r="CY364" s="228"/>
      <c r="CZ364" s="228"/>
      <c r="DA364" s="228"/>
      <c r="DB364" s="228"/>
    </row>
    <row r="365" ht="12.0" customHeight="1">
      <c r="A365" s="228"/>
      <c r="B365" s="228"/>
      <c r="C365" s="228"/>
      <c r="D365" s="228"/>
      <c r="E365" s="228"/>
      <c r="F365" s="228"/>
      <c r="G365" s="228"/>
      <c r="H365" s="228"/>
      <c r="I365" s="228"/>
      <c r="J365" s="228"/>
      <c r="K365" s="228"/>
      <c r="L365" s="228"/>
      <c r="M365" s="228"/>
      <c r="N365" s="228"/>
      <c r="O365" s="228"/>
      <c r="P365" s="228"/>
      <c r="Q365" s="228"/>
      <c r="R365" s="228"/>
      <c r="S365" s="228"/>
      <c r="T365" s="228"/>
      <c r="U365" s="228"/>
      <c r="V365" s="228"/>
      <c r="W365" s="228"/>
      <c r="X365" s="228"/>
      <c r="Y365" s="228"/>
      <c r="Z365" s="228"/>
      <c r="AA365" s="228"/>
      <c r="AB365" s="228"/>
      <c r="AC365" s="228"/>
      <c r="AD365" s="228"/>
      <c r="AE365" s="228"/>
      <c r="AF365" s="228"/>
      <c r="AG365" s="228"/>
      <c r="AH365" s="228"/>
      <c r="AI365" s="228"/>
      <c r="AJ365" s="228"/>
      <c r="AK365" s="228"/>
      <c r="AL365" s="228"/>
      <c r="AM365" s="228"/>
      <c r="AN365" s="228"/>
      <c r="AO365" s="228"/>
      <c r="AP365" s="228"/>
      <c r="AQ365" s="228"/>
      <c r="AR365" s="228"/>
      <c r="AS365" s="228"/>
      <c r="AT365" s="228"/>
      <c r="AU365" s="228"/>
      <c r="AV365" s="228"/>
      <c r="AW365" s="228"/>
      <c r="AX365" s="228"/>
      <c r="AY365" s="228"/>
      <c r="AZ365" s="228"/>
      <c r="BA365" s="228"/>
      <c r="BB365" s="228"/>
      <c r="BC365" s="228"/>
      <c r="BD365" s="228"/>
      <c r="BE365" s="228"/>
      <c r="BF365" s="228"/>
      <c r="BG365" s="228"/>
      <c r="BH365" s="228"/>
      <c r="BI365" s="228"/>
      <c r="BJ365" s="228"/>
      <c r="BK365" s="228"/>
      <c r="BL365" s="228"/>
      <c r="BM365" s="228"/>
      <c r="BN365" s="228"/>
      <c r="BO365" s="228"/>
      <c r="BP365" s="228"/>
      <c r="BQ365" s="228"/>
      <c r="BR365" s="228"/>
      <c r="BS365" s="228"/>
      <c r="BT365" s="228"/>
      <c r="BU365" s="228"/>
      <c r="BV365" s="228"/>
      <c r="BW365" s="228"/>
      <c r="BX365" s="228"/>
      <c r="BY365" s="228"/>
      <c r="BZ365" s="228"/>
      <c r="CA365" s="228"/>
      <c r="CB365" s="228"/>
      <c r="CC365" s="228"/>
      <c r="CD365" s="228"/>
      <c r="CE365" s="228"/>
      <c r="CF365" s="228"/>
      <c r="CG365" s="228"/>
      <c r="CH365" s="228"/>
      <c r="CI365" s="228"/>
      <c r="CJ365" s="228"/>
      <c r="CK365" s="228"/>
      <c r="CL365" s="228"/>
      <c r="CM365" s="228"/>
      <c r="CN365" s="228"/>
      <c r="CO365" s="228"/>
      <c r="CP365" s="228"/>
      <c r="CQ365" s="228"/>
      <c r="CR365" s="228"/>
      <c r="CS365" s="228"/>
      <c r="CT365" s="228"/>
      <c r="CU365" s="228"/>
      <c r="CV365" s="228"/>
      <c r="CW365" s="228"/>
      <c r="CX365" s="228"/>
      <c r="CY365" s="228"/>
      <c r="CZ365" s="228"/>
      <c r="DA365" s="228"/>
      <c r="DB365" s="228"/>
    </row>
    <row r="366" ht="12.0" customHeight="1">
      <c r="A366" s="228"/>
      <c r="B366" s="228"/>
      <c r="C366" s="228"/>
      <c r="D366" s="228"/>
      <c r="E366" s="228"/>
      <c r="F366" s="228"/>
      <c r="G366" s="228"/>
      <c r="H366" s="228"/>
      <c r="I366" s="228"/>
      <c r="J366" s="228"/>
      <c r="K366" s="228"/>
      <c r="L366" s="228"/>
      <c r="M366" s="228"/>
      <c r="N366" s="228"/>
      <c r="O366" s="228"/>
      <c r="P366" s="228"/>
      <c r="Q366" s="228"/>
      <c r="R366" s="228"/>
      <c r="S366" s="228"/>
      <c r="T366" s="228"/>
      <c r="U366" s="228"/>
      <c r="V366" s="228"/>
      <c r="W366" s="228"/>
      <c r="X366" s="228"/>
      <c r="Y366" s="228"/>
      <c r="Z366" s="228"/>
      <c r="AA366" s="228"/>
      <c r="AB366" s="228"/>
      <c r="AC366" s="228"/>
      <c r="AD366" s="228"/>
      <c r="AE366" s="228"/>
      <c r="AF366" s="228"/>
      <c r="AG366" s="228"/>
      <c r="AH366" s="228"/>
      <c r="AI366" s="228"/>
      <c r="AJ366" s="228"/>
      <c r="AK366" s="228"/>
      <c r="AL366" s="228"/>
      <c r="AM366" s="228"/>
      <c r="AN366" s="228"/>
      <c r="AO366" s="228"/>
      <c r="AP366" s="228"/>
      <c r="AQ366" s="228"/>
      <c r="AR366" s="228"/>
      <c r="AS366" s="228"/>
      <c r="AT366" s="228"/>
      <c r="AU366" s="228"/>
      <c r="AV366" s="228"/>
      <c r="AW366" s="228"/>
      <c r="AX366" s="228"/>
      <c r="AY366" s="228"/>
      <c r="AZ366" s="228"/>
      <c r="BA366" s="228"/>
      <c r="BB366" s="228"/>
      <c r="BC366" s="228"/>
      <c r="BD366" s="228"/>
      <c r="BE366" s="228"/>
      <c r="BF366" s="228"/>
      <c r="BG366" s="228"/>
      <c r="BH366" s="228"/>
      <c r="BI366" s="228"/>
      <c r="BJ366" s="228"/>
      <c r="BK366" s="228"/>
      <c r="BL366" s="228"/>
      <c r="BM366" s="228"/>
      <c r="BN366" s="228"/>
      <c r="BO366" s="228"/>
      <c r="BP366" s="228"/>
      <c r="BQ366" s="228"/>
      <c r="BR366" s="228"/>
      <c r="BS366" s="228"/>
      <c r="BT366" s="228"/>
      <c r="BU366" s="228"/>
      <c r="BV366" s="228"/>
      <c r="BW366" s="228"/>
      <c r="BX366" s="228"/>
      <c r="BY366" s="228"/>
      <c r="BZ366" s="228"/>
      <c r="CA366" s="228"/>
      <c r="CB366" s="228"/>
      <c r="CC366" s="228"/>
      <c r="CD366" s="228"/>
      <c r="CE366" s="228"/>
      <c r="CF366" s="228"/>
      <c r="CG366" s="228"/>
      <c r="CH366" s="228"/>
      <c r="CI366" s="228"/>
      <c r="CJ366" s="228"/>
      <c r="CK366" s="228"/>
      <c r="CL366" s="228"/>
      <c r="CM366" s="228"/>
      <c r="CN366" s="228"/>
      <c r="CO366" s="228"/>
      <c r="CP366" s="228"/>
      <c r="CQ366" s="228"/>
      <c r="CR366" s="228"/>
      <c r="CS366" s="228"/>
      <c r="CT366" s="228"/>
      <c r="CU366" s="228"/>
      <c r="CV366" s="228"/>
      <c r="CW366" s="228"/>
      <c r="CX366" s="228"/>
      <c r="CY366" s="228"/>
      <c r="CZ366" s="228"/>
      <c r="DA366" s="228"/>
      <c r="DB366" s="228"/>
    </row>
    <row r="367" ht="12.0" customHeight="1">
      <c r="A367" s="228"/>
      <c r="B367" s="228"/>
      <c r="C367" s="228"/>
      <c r="D367" s="228"/>
      <c r="E367" s="228"/>
      <c r="F367" s="228"/>
      <c r="G367" s="228"/>
      <c r="H367" s="228"/>
      <c r="I367" s="228"/>
      <c r="J367" s="228"/>
      <c r="K367" s="228"/>
      <c r="L367" s="228"/>
      <c r="M367" s="228"/>
      <c r="N367" s="228"/>
      <c r="O367" s="228"/>
      <c r="P367" s="228"/>
      <c r="Q367" s="228"/>
      <c r="R367" s="228"/>
      <c r="S367" s="228"/>
      <c r="T367" s="228"/>
      <c r="U367" s="228"/>
      <c r="V367" s="228"/>
      <c r="W367" s="228"/>
      <c r="X367" s="228"/>
      <c r="Y367" s="228"/>
      <c r="Z367" s="228"/>
      <c r="AA367" s="228"/>
      <c r="AB367" s="228"/>
      <c r="AC367" s="228"/>
      <c r="AD367" s="228"/>
      <c r="AE367" s="228"/>
      <c r="AF367" s="228"/>
      <c r="AG367" s="228"/>
      <c r="AH367" s="228"/>
      <c r="AI367" s="228"/>
      <c r="AJ367" s="228"/>
      <c r="AK367" s="228"/>
      <c r="AL367" s="228"/>
      <c r="AM367" s="228"/>
      <c r="AN367" s="228"/>
      <c r="AO367" s="228"/>
      <c r="AP367" s="228"/>
      <c r="AQ367" s="228"/>
      <c r="AR367" s="228"/>
      <c r="AS367" s="228"/>
      <c r="AT367" s="228"/>
      <c r="AU367" s="228"/>
      <c r="AV367" s="228"/>
      <c r="AW367" s="228"/>
      <c r="AX367" s="228"/>
      <c r="AY367" s="228"/>
      <c r="AZ367" s="228"/>
      <c r="BA367" s="228"/>
      <c r="BB367" s="228"/>
      <c r="BC367" s="228"/>
      <c r="BD367" s="228"/>
      <c r="BE367" s="228"/>
      <c r="BF367" s="228"/>
      <c r="BG367" s="228"/>
      <c r="BH367" s="228"/>
      <c r="BI367" s="228"/>
      <c r="BJ367" s="228"/>
      <c r="BK367" s="228"/>
      <c r="BL367" s="228"/>
      <c r="BM367" s="228"/>
      <c r="BN367" s="228"/>
      <c r="BO367" s="228"/>
      <c r="BP367" s="228"/>
      <c r="BQ367" s="228"/>
      <c r="BR367" s="228"/>
      <c r="BS367" s="228"/>
      <c r="BT367" s="228"/>
      <c r="BU367" s="228"/>
      <c r="BV367" s="228"/>
      <c r="BW367" s="228"/>
      <c r="BX367" s="228"/>
      <c r="BY367" s="228"/>
      <c r="BZ367" s="228"/>
      <c r="CA367" s="228"/>
      <c r="CB367" s="228"/>
      <c r="CC367" s="228"/>
      <c r="CD367" s="228"/>
      <c r="CE367" s="228"/>
      <c r="CF367" s="228"/>
      <c r="CG367" s="228"/>
      <c r="CH367" s="228"/>
      <c r="CI367" s="228"/>
      <c r="CJ367" s="228"/>
      <c r="CK367" s="228"/>
      <c r="CL367" s="228"/>
      <c r="CM367" s="228"/>
      <c r="CN367" s="228"/>
      <c r="CO367" s="228"/>
      <c r="CP367" s="228"/>
      <c r="CQ367" s="228"/>
      <c r="CR367" s="228"/>
      <c r="CS367" s="228"/>
      <c r="CT367" s="228"/>
      <c r="CU367" s="228"/>
      <c r="CV367" s="228"/>
      <c r="CW367" s="228"/>
      <c r="CX367" s="228"/>
      <c r="CY367" s="228"/>
      <c r="CZ367" s="228"/>
      <c r="DA367" s="228"/>
      <c r="DB367" s="228"/>
    </row>
    <row r="368" ht="12.0" customHeight="1">
      <c r="A368" s="228"/>
      <c r="B368" s="228"/>
      <c r="C368" s="228"/>
      <c r="D368" s="228"/>
      <c r="E368" s="228"/>
      <c r="F368" s="228"/>
      <c r="G368" s="228"/>
      <c r="H368" s="228"/>
      <c r="I368" s="228"/>
      <c r="J368" s="228"/>
      <c r="K368" s="228"/>
      <c r="L368" s="228"/>
      <c r="M368" s="228"/>
      <c r="N368" s="228"/>
      <c r="O368" s="228"/>
      <c r="P368" s="228"/>
      <c r="Q368" s="228"/>
      <c r="R368" s="228"/>
      <c r="S368" s="228"/>
      <c r="T368" s="228"/>
      <c r="U368" s="228"/>
      <c r="V368" s="228"/>
      <c r="W368" s="228"/>
      <c r="X368" s="228"/>
      <c r="Y368" s="228"/>
      <c r="Z368" s="228"/>
      <c r="AA368" s="228"/>
      <c r="AB368" s="228"/>
      <c r="AC368" s="228"/>
      <c r="AD368" s="228"/>
      <c r="AE368" s="228"/>
      <c r="AF368" s="228"/>
      <c r="AG368" s="228"/>
      <c r="AH368" s="228"/>
      <c r="AI368" s="228"/>
      <c r="AJ368" s="228"/>
      <c r="AK368" s="228"/>
      <c r="AL368" s="228"/>
      <c r="AM368" s="228"/>
      <c r="AN368" s="228"/>
      <c r="AO368" s="228"/>
      <c r="AP368" s="228"/>
      <c r="AQ368" s="228"/>
      <c r="AR368" s="228"/>
      <c r="AS368" s="228"/>
      <c r="AT368" s="228"/>
      <c r="AU368" s="228"/>
      <c r="AV368" s="228"/>
      <c r="AW368" s="228"/>
      <c r="AX368" s="228"/>
      <c r="AY368" s="228"/>
      <c r="AZ368" s="228"/>
      <c r="BA368" s="228"/>
      <c r="BB368" s="228"/>
      <c r="BC368" s="228"/>
      <c r="BD368" s="228"/>
      <c r="BE368" s="228"/>
      <c r="BF368" s="228"/>
      <c r="BG368" s="228"/>
      <c r="BH368" s="228"/>
      <c r="BI368" s="228"/>
      <c r="BJ368" s="228"/>
      <c r="BK368" s="228"/>
      <c r="BL368" s="228"/>
      <c r="BM368" s="228"/>
      <c r="BN368" s="228"/>
      <c r="BO368" s="228"/>
      <c r="BP368" s="228"/>
      <c r="BQ368" s="228"/>
      <c r="BR368" s="228"/>
      <c r="BS368" s="228"/>
      <c r="BT368" s="228"/>
      <c r="BU368" s="228"/>
      <c r="BV368" s="228"/>
      <c r="BW368" s="228"/>
      <c r="BX368" s="228"/>
      <c r="BY368" s="228"/>
      <c r="BZ368" s="228"/>
      <c r="CA368" s="228"/>
      <c r="CB368" s="228"/>
      <c r="CC368" s="228"/>
      <c r="CD368" s="228"/>
      <c r="CE368" s="228"/>
      <c r="CF368" s="228"/>
      <c r="CG368" s="228"/>
      <c r="CH368" s="228"/>
      <c r="CI368" s="228"/>
      <c r="CJ368" s="228"/>
      <c r="CK368" s="228"/>
      <c r="CL368" s="228"/>
      <c r="CM368" s="228"/>
      <c r="CN368" s="228"/>
      <c r="CO368" s="228"/>
      <c r="CP368" s="228"/>
      <c r="CQ368" s="228"/>
      <c r="CR368" s="228"/>
      <c r="CS368" s="228"/>
      <c r="CT368" s="228"/>
      <c r="CU368" s="228"/>
      <c r="CV368" s="228"/>
      <c r="CW368" s="228"/>
      <c r="CX368" s="228"/>
      <c r="CY368" s="228"/>
      <c r="CZ368" s="228"/>
      <c r="DA368" s="228"/>
      <c r="DB368" s="228"/>
    </row>
    <row r="369" ht="12.0" customHeight="1">
      <c r="A369" s="228"/>
      <c r="B369" s="228"/>
      <c r="C369" s="228"/>
      <c r="D369" s="228"/>
      <c r="E369" s="228"/>
      <c r="F369" s="228"/>
      <c r="G369" s="228"/>
      <c r="H369" s="228"/>
      <c r="I369" s="228"/>
      <c r="J369" s="228"/>
      <c r="K369" s="228"/>
      <c r="L369" s="228"/>
      <c r="M369" s="228"/>
      <c r="N369" s="228"/>
      <c r="O369" s="228"/>
      <c r="P369" s="228"/>
      <c r="Q369" s="228"/>
      <c r="R369" s="228"/>
      <c r="S369" s="228"/>
      <c r="T369" s="228"/>
      <c r="U369" s="228"/>
      <c r="V369" s="228"/>
      <c r="W369" s="228"/>
      <c r="X369" s="228"/>
      <c r="Y369" s="228"/>
      <c r="Z369" s="228"/>
      <c r="AA369" s="228"/>
      <c r="AB369" s="228"/>
      <c r="AC369" s="228"/>
      <c r="AD369" s="228"/>
      <c r="AE369" s="228"/>
      <c r="AF369" s="228"/>
      <c r="AG369" s="228"/>
      <c r="AH369" s="228"/>
      <c r="AI369" s="228"/>
      <c r="AJ369" s="228"/>
      <c r="AK369" s="228"/>
      <c r="AL369" s="228"/>
      <c r="AM369" s="228"/>
      <c r="AN369" s="228"/>
      <c r="AO369" s="228"/>
      <c r="AP369" s="228"/>
      <c r="AQ369" s="228"/>
      <c r="AR369" s="228"/>
      <c r="AS369" s="228"/>
      <c r="AT369" s="228"/>
      <c r="AU369" s="228"/>
      <c r="AV369" s="228"/>
      <c r="AW369" s="228"/>
      <c r="AX369" s="228"/>
      <c r="AY369" s="228"/>
      <c r="AZ369" s="228"/>
      <c r="BA369" s="228"/>
      <c r="BB369" s="228"/>
      <c r="BC369" s="228"/>
      <c r="BD369" s="228"/>
      <c r="BE369" s="228"/>
      <c r="BF369" s="228"/>
      <c r="BG369" s="228"/>
      <c r="BH369" s="228"/>
      <c r="BI369" s="228"/>
      <c r="BJ369" s="228"/>
      <c r="BK369" s="228"/>
      <c r="BL369" s="228"/>
      <c r="BM369" s="228"/>
      <c r="BN369" s="228"/>
      <c r="BO369" s="228"/>
      <c r="BP369" s="228"/>
      <c r="BQ369" s="228"/>
      <c r="BR369" s="228"/>
      <c r="BS369" s="228"/>
      <c r="BT369" s="228"/>
      <c r="BU369" s="228"/>
      <c r="BV369" s="228"/>
      <c r="BW369" s="228"/>
      <c r="BX369" s="228"/>
      <c r="BY369" s="228"/>
      <c r="BZ369" s="228"/>
      <c r="CA369" s="228"/>
      <c r="CB369" s="228"/>
      <c r="CC369" s="228"/>
      <c r="CD369" s="228"/>
      <c r="CE369" s="228"/>
      <c r="CF369" s="228"/>
      <c r="CG369" s="228"/>
      <c r="CH369" s="228"/>
      <c r="CI369" s="228"/>
      <c r="CJ369" s="228"/>
      <c r="CK369" s="228"/>
      <c r="CL369" s="228"/>
      <c r="CM369" s="228"/>
      <c r="CN369" s="228"/>
      <c r="CO369" s="228"/>
      <c r="CP369" s="228"/>
      <c r="CQ369" s="228"/>
      <c r="CR369" s="228"/>
      <c r="CS369" s="228"/>
      <c r="CT369" s="228"/>
      <c r="CU369" s="228"/>
      <c r="CV369" s="228"/>
      <c r="CW369" s="228"/>
      <c r="CX369" s="228"/>
      <c r="CY369" s="228"/>
      <c r="CZ369" s="228"/>
      <c r="DA369" s="228"/>
      <c r="DB369" s="228"/>
    </row>
    <row r="370" ht="12.0" customHeight="1">
      <c r="A370" s="228"/>
      <c r="B370" s="228"/>
      <c r="C370" s="228"/>
      <c r="D370" s="228"/>
      <c r="E370" s="228"/>
      <c r="F370" s="228"/>
      <c r="G370" s="228"/>
      <c r="H370" s="228"/>
      <c r="I370" s="228"/>
      <c r="J370" s="228"/>
      <c r="K370" s="228"/>
      <c r="L370" s="228"/>
      <c r="M370" s="228"/>
      <c r="N370" s="228"/>
      <c r="O370" s="228"/>
      <c r="P370" s="228"/>
      <c r="Q370" s="228"/>
      <c r="R370" s="228"/>
      <c r="S370" s="228"/>
      <c r="T370" s="228"/>
      <c r="U370" s="228"/>
      <c r="V370" s="228"/>
      <c r="W370" s="228"/>
      <c r="X370" s="228"/>
      <c r="Y370" s="228"/>
      <c r="Z370" s="228"/>
      <c r="AA370" s="228"/>
      <c r="AB370" s="228"/>
      <c r="AC370" s="228"/>
      <c r="AD370" s="228"/>
      <c r="AE370" s="228"/>
      <c r="AF370" s="228"/>
      <c r="AG370" s="228"/>
      <c r="AH370" s="228"/>
      <c r="AI370" s="228"/>
      <c r="AJ370" s="228"/>
      <c r="AK370" s="228"/>
      <c r="AL370" s="228"/>
      <c r="AM370" s="228"/>
      <c r="AN370" s="228"/>
      <c r="AO370" s="228"/>
      <c r="AP370" s="228"/>
      <c r="AQ370" s="228"/>
      <c r="AR370" s="228"/>
      <c r="AS370" s="228"/>
      <c r="AT370" s="228"/>
      <c r="AU370" s="228"/>
      <c r="AV370" s="228"/>
      <c r="AW370" s="228"/>
      <c r="AX370" s="228"/>
      <c r="AY370" s="228"/>
      <c r="AZ370" s="228"/>
      <c r="BA370" s="228"/>
      <c r="BB370" s="228"/>
      <c r="BC370" s="228"/>
      <c r="BD370" s="228"/>
      <c r="BE370" s="228"/>
      <c r="BF370" s="228"/>
      <c r="BG370" s="228"/>
      <c r="BH370" s="228"/>
      <c r="BI370" s="228"/>
      <c r="BJ370" s="228"/>
      <c r="BK370" s="228"/>
      <c r="BL370" s="228"/>
      <c r="BM370" s="228"/>
      <c r="BN370" s="228"/>
      <c r="BO370" s="228"/>
      <c r="BP370" s="228"/>
      <c r="BQ370" s="228"/>
      <c r="BR370" s="228"/>
      <c r="BS370" s="228"/>
      <c r="BT370" s="228"/>
      <c r="BU370" s="228"/>
      <c r="BV370" s="228"/>
      <c r="BW370" s="228"/>
      <c r="BX370" s="228"/>
      <c r="BY370" s="228"/>
      <c r="BZ370" s="228"/>
      <c r="CA370" s="228"/>
      <c r="CB370" s="228"/>
      <c r="CC370" s="228"/>
      <c r="CD370" s="228"/>
      <c r="CE370" s="228"/>
      <c r="CF370" s="228"/>
      <c r="CG370" s="228"/>
      <c r="CH370" s="228"/>
      <c r="CI370" s="228"/>
      <c r="CJ370" s="228"/>
      <c r="CK370" s="228"/>
      <c r="CL370" s="228"/>
      <c r="CM370" s="228"/>
      <c r="CN370" s="228"/>
      <c r="CO370" s="228"/>
      <c r="CP370" s="228"/>
      <c r="CQ370" s="228"/>
      <c r="CR370" s="228"/>
      <c r="CS370" s="228"/>
      <c r="CT370" s="228"/>
      <c r="CU370" s="228"/>
      <c r="CV370" s="228"/>
      <c r="CW370" s="228"/>
      <c r="CX370" s="228"/>
      <c r="CY370" s="228"/>
      <c r="CZ370" s="228"/>
      <c r="DA370" s="228"/>
      <c r="DB370" s="228"/>
    </row>
    <row r="371" ht="12.0" customHeight="1">
      <c r="A371" s="228"/>
      <c r="B371" s="228"/>
      <c r="C371" s="228"/>
      <c r="D371" s="228"/>
      <c r="E371" s="228"/>
      <c r="F371" s="228"/>
      <c r="G371" s="228"/>
      <c r="H371" s="228"/>
      <c r="I371" s="228"/>
      <c r="J371" s="228"/>
      <c r="K371" s="228"/>
      <c r="L371" s="228"/>
      <c r="M371" s="228"/>
      <c r="N371" s="228"/>
      <c r="O371" s="228"/>
      <c r="P371" s="228"/>
      <c r="Q371" s="228"/>
      <c r="R371" s="228"/>
      <c r="S371" s="228"/>
      <c r="T371" s="228"/>
      <c r="U371" s="228"/>
      <c r="V371" s="228"/>
      <c r="W371" s="228"/>
      <c r="X371" s="228"/>
      <c r="Y371" s="228"/>
      <c r="Z371" s="228"/>
      <c r="AA371" s="228"/>
      <c r="AB371" s="228"/>
      <c r="AC371" s="228"/>
      <c r="AD371" s="228"/>
      <c r="AE371" s="228"/>
      <c r="AF371" s="228"/>
      <c r="AG371" s="228"/>
      <c r="AH371" s="228"/>
      <c r="AI371" s="228"/>
      <c r="AJ371" s="228"/>
      <c r="AK371" s="228"/>
      <c r="AL371" s="228"/>
      <c r="AM371" s="228"/>
      <c r="AN371" s="228"/>
      <c r="AO371" s="228"/>
      <c r="AP371" s="228"/>
      <c r="AQ371" s="228"/>
      <c r="AR371" s="228"/>
      <c r="AS371" s="228"/>
      <c r="AT371" s="228"/>
      <c r="AU371" s="228"/>
      <c r="AV371" s="228"/>
      <c r="AW371" s="228"/>
      <c r="AX371" s="228"/>
      <c r="AY371" s="228"/>
      <c r="AZ371" s="228"/>
      <c r="BA371" s="228"/>
      <c r="BB371" s="228"/>
      <c r="BC371" s="228"/>
      <c r="BD371" s="228"/>
      <c r="BE371" s="228"/>
      <c r="BF371" s="228"/>
      <c r="BG371" s="228"/>
      <c r="BH371" s="228"/>
      <c r="BI371" s="228"/>
      <c r="BJ371" s="228"/>
      <c r="BK371" s="228"/>
      <c r="BL371" s="228"/>
      <c r="BM371" s="228"/>
      <c r="BN371" s="228"/>
      <c r="BO371" s="228"/>
      <c r="BP371" s="228"/>
      <c r="BQ371" s="228"/>
      <c r="BR371" s="228"/>
      <c r="BS371" s="228"/>
      <c r="BT371" s="228"/>
      <c r="BU371" s="228"/>
      <c r="BV371" s="228"/>
      <c r="BW371" s="228"/>
      <c r="BX371" s="228"/>
      <c r="BY371" s="228"/>
      <c r="BZ371" s="228"/>
      <c r="CA371" s="228"/>
      <c r="CB371" s="228"/>
      <c r="CC371" s="228"/>
      <c r="CD371" s="228"/>
      <c r="CE371" s="228"/>
      <c r="CF371" s="228"/>
      <c r="CG371" s="228"/>
      <c r="CH371" s="228"/>
      <c r="CI371" s="228"/>
      <c r="CJ371" s="228"/>
      <c r="CK371" s="228"/>
      <c r="CL371" s="228"/>
      <c r="CM371" s="228"/>
      <c r="CN371" s="228"/>
      <c r="CO371" s="228"/>
      <c r="CP371" s="228"/>
      <c r="CQ371" s="228"/>
      <c r="CR371" s="228"/>
      <c r="CS371" s="228"/>
      <c r="CT371" s="228"/>
      <c r="CU371" s="228"/>
      <c r="CV371" s="228"/>
      <c r="CW371" s="228"/>
      <c r="CX371" s="228"/>
      <c r="CY371" s="228"/>
      <c r="CZ371" s="228"/>
      <c r="DA371" s="228"/>
      <c r="DB371" s="228"/>
    </row>
    <row r="372" ht="12.0" customHeight="1">
      <c r="A372" s="228"/>
      <c r="B372" s="228"/>
      <c r="C372" s="228"/>
      <c r="D372" s="228"/>
      <c r="E372" s="228"/>
      <c r="F372" s="228"/>
      <c r="G372" s="228"/>
      <c r="H372" s="228"/>
      <c r="I372" s="228"/>
      <c r="J372" s="228"/>
      <c r="K372" s="228"/>
      <c r="L372" s="228"/>
      <c r="M372" s="228"/>
      <c r="N372" s="228"/>
      <c r="O372" s="228"/>
      <c r="P372" s="228"/>
      <c r="Q372" s="228"/>
      <c r="R372" s="228"/>
      <c r="S372" s="228"/>
      <c r="T372" s="228"/>
      <c r="U372" s="228"/>
      <c r="V372" s="228"/>
      <c r="W372" s="228"/>
      <c r="X372" s="228"/>
      <c r="Y372" s="228"/>
      <c r="Z372" s="228"/>
      <c r="AA372" s="228"/>
      <c r="AB372" s="228"/>
      <c r="AC372" s="228"/>
      <c r="AD372" s="228"/>
      <c r="AE372" s="228"/>
      <c r="AF372" s="228"/>
      <c r="AG372" s="228"/>
      <c r="AH372" s="228"/>
      <c r="AI372" s="228"/>
      <c r="AJ372" s="228"/>
      <c r="AK372" s="228"/>
      <c r="AL372" s="228"/>
      <c r="AM372" s="228"/>
      <c r="AN372" s="228"/>
      <c r="AO372" s="228"/>
      <c r="AP372" s="228"/>
      <c r="AQ372" s="228"/>
      <c r="AR372" s="228"/>
      <c r="AS372" s="228"/>
      <c r="AT372" s="228"/>
      <c r="AU372" s="228"/>
      <c r="AV372" s="228"/>
      <c r="AW372" s="228"/>
      <c r="AX372" s="228"/>
      <c r="AY372" s="228"/>
      <c r="AZ372" s="228"/>
      <c r="BA372" s="228"/>
      <c r="BB372" s="228"/>
      <c r="BC372" s="228"/>
      <c r="BD372" s="228"/>
      <c r="BE372" s="228"/>
      <c r="BF372" s="228"/>
      <c r="BG372" s="228"/>
      <c r="BH372" s="228"/>
      <c r="BI372" s="228"/>
      <c r="BJ372" s="228"/>
      <c r="BK372" s="228"/>
      <c r="BL372" s="228"/>
      <c r="BM372" s="228"/>
      <c r="BN372" s="228"/>
      <c r="BO372" s="228"/>
      <c r="BP372" s="228"/>
      <c r="BQ372" s="228"/>
      <c r="BR372" s="228"/>
      <c r="BS372" s="228"/>
      <c r="BT372" s="228"/>
      <c r="BU372" s="228"/>
      <c r="BV372" s="228"/>
      <c r="BW372" s="228"/>
      <c r="BX372" s="228"/>
      <c r="BY372" s="228"/>
      <c r="BZ372" s="228"/>
      <c r="CA372" s="228"/>
      <c r="CB372" s="228"/>
      <c r="CC372" s="228"/>
      <c r="CD372" s="228"/>
      <c r="CE372" s="228"/>
      <c r="CF372" s="228"/>
      <c r="CG372" s="228"/>
      <c r="CH372" s="228"/>
      <c r="CI372" s="228"/>
      <c r="CJ372" s="228"/>
      <c r="CK372" s="228"/>
      <c r="CL372" s="228"/>
      <c r="CM372" s="228"/>
      <c r="CN372" s="228"/>
      <c r="CO372" s="228"/>
      <c r="CP372" s="228"/>
      <c r="CQ372" s="228"/>
      <c r="CR372" s="228"/>
      <c r="CS372" s="228"/>
      <c r="CT372" s="228"/>
      <c r="CU372" s="228"/>
      <c r="CV372" s="228"/>
      <c r="CW372" s="228"/>
      <c r="CX372" s="228"/>
      <c r="CY372" s="228"/>
      <c r="CZ372" s="228"/>
      <c r="DA372" s="228"/>
      <c r="DB372" s="228"/>
    </row>
    <row r="373" ht="12.0" customHeight="1">
      <c r="A373" s="228"/>
      <c r="B373" s="228"/>
      <c r="C373" s="228"/>
      <c r="D373" s="228"/>
      <c r="E373" s="228"/>
      <c r="F373" s="228"/>
      <c r="G373" s="228"/>
      <c r="H373" s="228"/>
      <c r="I373" s="228"/>
      <c r="J373" s="228"/>
      <c r="K373" s="228"/>
      <c r="L373" s="228"/>
      <c r="M373" s="228"/>
      <c r="N373" s="228"/>
      <c r="O373" s="228"/>
      <c r="P373" s="228"/>
      <c r="Q373" s="228"/>
      <c r="R373" s="228"/>
      <c r="S373" s="228"/>
      <c r="T373" s="228"/>
      <c r="U373" s="228"/>
      <c r="V373" s="228"/>
      <c r="W373" s="228"/>
      <c r="X373" s="228"/>
      <c r="Y373" s="228"/>
      <c r="Z373" s="228"/>
      <c r="AA373" s="228"/>
      <c r="AB373" s="228"/>
      <c r="AC373" s="228"/>
      <c r="AD373" s="228"/>
      <c r="AE373" s="228"/>
      <c r="AF373" s="228"/>
      <c r="AG373" s="228"/>
      <c r="AH373" s="228"/>
      <c r="AI373" s="228"/>
      <c r="AJ373" s="228"/>
      <c r="AK373" s="228"/>
      <c r="AL373" s="228"/>
      <c r="AM373" s="228"/>
      <c r="AN373" s="228"/>
      <c r="AO373" s="228"/>
      <c r="AP373" s="228"/>
      <c r="AQ373" s="228"/>
      <c r="AR373" s="228"/>
      <c r="AS373" s="228"/>
      <c r="AT373" s="228"/>
      <c r="AU373" s="228"/>
      <c r="AV373" s="228"/>
      <c r="AW373" s="228"/>
      <c r="AX373" s="228"/>
      <c r="AY373" s="228"/>
      <c r="AZ373" s="228"/>
      <c r="BA373" s="228"/>
      <c r="BB373" s="228"/>
      <c r="BC373" s="228"/>
      <c r="BD373" s="228"/>
      <c r="BE373" s="228"/>
      <c r="BF373" s="228"/>
      <c r="BG373" s="228"/>
      <c r="BH373" s="228"/>
      <c r="BI373" s="228"/>
      <c r="BJ373" s="228"/>
      <c r="BK373" s="228"/>
      <c r="BL373" s="228"/>
      <c r="BM373" s="228"/>
      <c r="BN373" s="228"/>
      <c r="BO373" s="228"/>
      <c r="BP373" s="228"/>
      <c r="BQ373" s="228"/>
      <c r="BR373" s="228"/>
      <c r="BS373" s="228"/>
      <c r="BT373" s="228"/>
      <c r="BU373" s="228"/>
      <c r="BV373" s="228"/>
      <c r="BW373" s="228"/>
      <c r="BX373" s="228"/>
      <c r="BY373" s="228"/>
      <c r="BZ373" s="228"/>
      <c r="CA373" s="228"/>
      <c r="CB373" s="228"/>
      <c r="CC373" s="228"/>
      <c r="CD373" s="228"/>
      <c r="CE373" s="228"/>
      <c r="CF373" s="228"/>
      <c r="CG373" s="228"/>
      <c r="CH373" s="228"/>
      <c r="CI373" s="228"/>
      <c r="CJ373" s="228"/>
      <c r="CK373" s="228"/>
      <c r="CL373" s="228"/>
      <c r="CM373" s="228"/>
      <c r="CN373" s="228"/>
      <c r="CO373" s="228"/>
      <c r="CP373" s="228"/>
      <c r="CQ373" s="228"/>
      <c r="CR373" s="228"/>
      <c r="CS373" s="228"/>
      <c r="CT373" s="228"/>
      <c r="CU373" s="228"/>
      <c r="CV373" s="228"/>
      <c r="CW373" s="228"/>
      <c r="CX373" s="228"/>
      <c r="CY373" s="228"/>
      <c r="CZ373" s="228"/>
      <c r="DA373" s="228"/>
      <c r="DB373" s="228"/>
    </row>
    <row r="374" ht="12.0" customHeight="1">
      <c r="A374" s="228"/>
      <c r="B374" s="228"/>
      <c r="C374" s="228"/>
      <c r="D374" s="228"/>
      <c r="E374" s="228"/>
      <c r="F374" s="228"/>
      <c r="G374" s="228"/>
      <c r="H374" s="228"/>
      <c r="I374" s="228"/>
      <c r="J374" s="228"/>
      <c r="K374" s="228"/>
      <c r="L374" s="228"/>
      <c r="M374" s="228"/>
      <c r="N374" s="228"/>
      <c r="O374" s="228"/>
      <c r="P374" s="228"/>
      <c r="Q374" s="228"/>
      <c r="R374" s="228"/>
      <c r="S374" s="228"/>
      <c r="T374" s="228"/>
      <c r="U374" s="228"/>
      <c r="V374" s="228"/>
      <c r="W374" s="228"/>
      <c r="X374" s="228"/>
      <c r="Y374" s="228"/>
      <c r="Z374" s="228"/>
      <c r="AA374" s="228"/>
      <c r="AB374" s="228"/>
      <c r="AC374" s="228"/>
      <c r="AD374" s="228"/>
      <c r="AE374" s="228"/>
      <c r="AF374" s="228"/>
      <c r="AG374" s="228"/>
      <c r="AH374" s="228"/>
      <c r="AI374" s="228"/>
      <c r="AJ374" s="228"/>
      <c r="AK374" s="228"/>
      <c r="AL374" s="228"/>
      <c r="AM374" s="228"/>
      <c r="AN374" s="228"/>
      <c r="AO374" s="228"/>
      <c r="AP374" s="228"/>
      <c r="AQ374" s="228"/>
      <c r="AR374" s="228"/>
      <c r="AS374" s="228"/>
      <c r="AT374" s="228"/>
      <c r="AU374" s="228"/>
      <c r="AV374" s="228"/>
      <c r="AW374" s="228"/>
      <c r="AX374" s="228"/>
      <c r="AY374" s="228"/>
      <c r="AZ374" s="228"/>
      <c r="BA374" s="228"/>
      <c r="BB374" s="228"/>
      <c r="BC374" s="228"/>
      <c r="BD374" s="228"/>
      <c r="BE374" s="228"/>
      <c r="BF374" s="228"/>
      <c r="BG374" s="228"/>
      <c r="BH374" s="228"/>
      <c r="BI374" s="228"/>
      <c r="BJ374" s="228"/>
      <c r="BK374" s="228"/>
      <c r="BL374" s="228"/>
      <c r="BM374" s="228"/>
      <c r="BN374" s="228"/>
      <c r="BO374" s="228"/>
      <c r="BP374" s="228"/>
      <c r="BQ374" s="228"/>
      <c r="BR374" s="228"/>
      <c r="BS374" s="228"/>
      <c r="BT374" s="228"/>
      <c r="BU374" s="228"/>
      <c r="BV374" s="228"/>
      <c r="BW374" s="228"/>
      <c r="BX374" s="228"/>
      <c r="BY374" s="228"/>
      <c r="BZ374" s="228"/>
      <c r="CA374" s="228"/>
      <c r="CB374" s="228"/>
      <c r="CC374" s="228"/>
      <c r="CD374" s="228"/>
      <c r="CE374" s="228"/>
      <c r="CF374" s="228"/>
      <c r="CG374" s="228"/>
      <c r="CH374" s="228"/>
      <c r="CI374" s="228"/>
      <c r="CJ374" s="228"/>
      <c r="CK374" s="228"/>
      <c r="CL374" s="228"/>
      <c r="CM374" s="228"/>
      <c r="CN374" s="228"/>
      <c r="CO374" s="228"/>
      <c r="CP374" s="228"/>
      <c r="CQ374" s="228"/>
      <c r="CR374" s="228"/>
      <c r="CS374" s="228"/>
      <c r="CT374" s="228"/>
      <c r="CU374" s="228"/>
      <c r="CV374" s="228"/>
      <c r="CW374" s="228"/>
      <c r="CX374" s="228"/>
      <c r="CY374" s="228"/>
      <c r="CZ374" s="228"/>
      <c r="DA374" s="228"/>
      <c r="DB374" s="228"/>
    </row>
    <row r="375" ht="12.0" customHeight="1">
      <c r="A375" s="228"/>
      <c r="B375" s="228"/>
      <c r="C375" s="228"/>
      <c r="D375" s="228"/>
      <c r="E375" s="228"/>
      <c r="F375" s="228"/>
      <c r="G375" s="228"/>
      <c r="H375" s="228"/>
      <c r="I375" s="228"/>
      <c r="J375" s="228"/>
      <c r="K375" s="228"/>
      <c r="L375" s="228"/>
      <c r="M375" s="228"/>
      <c r="N375" s="228"/>
      <c r="O375" s="228"/>
      <c r="P375" s="228"/>
      <c r="Q375" s="228"/>
      <c r="R375" s="228"/>
      <c r="S375" s="228"/>
      <c r="T375" s="228"/>
      <c r="U375" s="228"/>
      <c r="V375" s="228"/>
      <c r="W375" s="228"/>
      <c r="X375" s="228"/>
      <c r="Y375" s="228"/>
      <c r="Z375" s="228"/>
      <c r="AA375" s="228"/>
      <c r="AB375" s="228"/>
      <c r="AC375" s="228"/>
      <c r="AD375" s="228"/>
      <c r="AE375" s="228"/>
      <c r="AF375" s="228"/>
      <c r="AG375" s="228"/>
      <c r="AH375" s="228"/>
      <c r="AI375" s="228"/>
      <c r="AJ375" s="228"/>
      <c r="AK375" s="228"/>
      <c r="AL375" s="228"/>
      <c r="AM375" s="228"/>
      <c r="AN375" s="228"/>
      <c r="AO375" s="228"/>
      <c r="AP375" s="228"/>
      <c r="AQ375" s="228"/>
      <c r="AR375" s="228"/>
      <c r="AS375" s="228"/>
      <c r="AT375" s="228"/>
      <c r="AU375" s="228"/>
      <c r="AV375" s="228"/>
      <c r="AW375" s="228"/>
      <c r="AX375" s="228"/>
      <c r="AY375" s="228"/>
      <c r="AZ375" s="228"/>
      <c r="BA375" s="228"/>
      <c r="BB375" s="228"/>
      <c r="BC375" s="228"/>
      <c r="BD375" s="228"/>
      <c r="BE375" s="228"/>
      <c r="BF375" s="228"/>
      <c r="BG375" s="228"/>
      <c r="BH375" s="228"/>
      <c r="BI375" s="228"/>
      <c r="BJ375" s="228"/>
      <c r="BK375" s="228"/>
      <c r="BL375" s="228"/>
      <c r="BM375" s="228"/>
      <c r="BN375" s="228"/>
      <c r="BO375" s="228"/>
      <c r="BP375" s="228"/>
      <c r="BQ375" s="228"/>
      <c r="BR375" s="228"/>
      <c r="BS375" s="228"/>
      <c r="BT375" s="228"/>
      <c r="BU375" s="228"/>
      <c r="BV375" s="228"/>
      <c r="BW375" s="228"/>
      <c r="BX375" s="228"/>
      <c r="BY375" s="228"/>
      <c r="BZ375" s="228"/>
      <c r="CA375" s="228"/>
      <c r="CB375" s="228"/>
      <c r="CC375" s="228"/>
      <c r="CD375" s="228"/>
      <c r="CE375" s="228"/>
      <c r="CF375" s="228"/>
      <c r="CG375" s="228"/>
      <c r="CH375" s="228"/>
      <c r="CI375" s="228"/>
      <c r="CJ375" s="228"/>
      <c r="CK375" s="228"/>
      <c r="CL375" s="228"/>
      <c r="CM375" s="228"/>
      <c r="CN375" s="228"/>
      <c r="CO375" s="228"/>
      <c r="CP375" s="228"/>
      <c r="CQ375" s="228"/>
      <c r="CR375" s="228"/>
      <c r="CS375" s="228"/>
      <c r="CT375" s="228"/>
      <c r="CU375" s="228"/>
      <c r="CV375" s="228"/>
      <c r="CW375" s="228"/>
      <c r="CX375" s="228"/>
      <c r="CY375" s="228"/>
      <c r="CZ375" s="228"/>
      <c r="DA375" s="228"/>
      <c r="DB375" s="228"/>
    </row>
    <row r="376" ht="12.0" customHeight="1">
      <c r="A376" s="228"/>
      <c r="B376" s="228"/>
      <c r="C376" s="228"/>
      <c r="D376" s="228"/>
      <c r="E376" s="228"/>
      <c r="F376" s="228"/>
      <c r="G376" s="228"/>
      <c r="H376" s="228"/>
      <c r="I376" s="228"/>
      <c r="J376" s="228"/>
      <c r="K376" s="228"/>
      <c r="L376" s="228"/>
      <c r="M376" s="228"/>
      <c r="N376" s="228"/>
      <c r="O376" s="228"/>
      <c r="P376" s="228"/>
      <c r="Q376" s="228"/>
      <c r="R376" s="228"/>
      <c r="S376" s="228"/>
      <c r="T376" s="228"/>
      <c r="U376" s="228"/>
      <c r="V376" s="228"/>
      <c r="W376" s="228"/>
      <c r="X376" s="228"/>
      <c r="Y376" s="228"/>
      <c r="Z376" s="228"/>
      <c r="AA376" s="228"/>
      <c r="AB376" s="228"/>
      <c r="AC376" s="228"/>
      <c r="AD376" s="228"/>
      <c r="AE376" s="228"/>
      <c r="AF376" s="228"/>
      <c r="AG376" s="228"/>
      <c r="AH376" s="228"/>
      <c r="AI376" s="228"/>
      <c r="AJ376" s="228"/>
      <c r="AK376" s="228"/>
      <c r="AL376" s="228"/>
      <c r="AM376" s="228"/>
      <c r="AN376" s="228"/>
      <c r="AO376" s="228"/>
      <c r="AP376" s="228"/>
      <c r="AQ376" s="228"/>
      <c r="AR376" s="228"/>
      <c r="AS376" s="228"/>
      <c r="AT376" s="228"/>
      <c r="AU376" s="228"/>
      <c r="AV376" s="228"/>
      <c r="AW376" s="228"/>
      <c r="AX376" s="228"/>
      <c r="AY376" s="228"/>
      <c r="AZ376" s="228"/>
      <c r="BA376" s="228"/>
      <c r="BB376" s="228"/>
      <c r="BC376" s="228"/>
      <c r="BD376" s="228"/>
      <c r="BE376" s="228"/>
      <c r="BF376" s="228"/>
      <c r="BG376" s="228"/>
      <c r="BH376" s="228"/>
      <c r="BI376" s="228"/>
      <c r="BJ376" s="228"/>
      <c r="BK376" s="228"/>
      <c r="BL376" s="228"/>
      <c r="BM376" s="228"/>
      <c r="BN376" s="228"/>
      <c r="BO376" s="228"/>
      <c r="BP376" s="228"/>
      <c r="BQ376" s="228"/>
      <c r="BR376" s="228"/>
      <c r="BS376" s="228"/>
      <c r="BT376" s="228"/>
      <c r="BU376" s="228"/>
      <c r="BV376" s="228"/>
      <c r="BW376" s="228"/>
      <c r="BX376" s="228"/>
      <c r="BY376" s="228"/>
      <c r="BZ376" s="228"/>
      <c r="CA376" s="228"/>
      <c r="CB376" s="228"/>
      <c r="CC376" s="228"/>
      <c r="CD376" s="228"/>
      <c r="CE376" s="228"/>
      <c r="CF376" s="228"/>
      <c r="CG376" s="228"/>
      <c r="CH376" s="228"/>
      <c r="CI376" s="228"/>
      <c r="CJ376" s="228"/>
      <c r="CK376" s="228"/>
      <c r="CL376" s="228"/>
      <c r="CM376" s="228"/>
      <c r="CN376" s="228"/>
      <c r="CO376" s="228"/>
      <c r="CP376" s="228"/>
      <c r="CQ376" s="228"/>
      <c r="CR376" s="228"/>
      <c r="CS376" s="228"/>
      <c r="CT376" s="228"/>
      <c r="CU376" s="228"/>
      <c r="CV376" s="228"/>
      <c r="CW376" s="228"/>
      <c r="CX376" s="228"/>
      <c r="CY376" s="228"/>
      <c r="CZ376" s="228"/>
      <c r="DA376" s="228"/>
      <c r="DB376" s="228"/>
    </row>
    <row r="377" ht="12.0" customHeight="1">
      <c r="A377" s="228"/>
      <c r="B377" s="228"/>
      <c r="C377" s="228"/>
      <c r="D377" s="228"/>
      <c r="E377" s="228"/>
      <c r="F377" s="228"/>
      <c r="G377" s="228"/>
      <c r="H377" s="228"/>
      <c r="I377" s="228"/>
      <c r="J377" s="228"/>
      <c r="K377" s="228"/>
      <c r="L377" s="228"/>
      <c r="M377" s="228"/>
      <c r="N377" s="228"/>
      <c r="O377" s="228"/>
      <c r="P377" s="228"/>
      <c r="Q377" s="228"/>
      <c r="R377" s="228"/>
      <c r="S377" s="228"/>
      <c r="T377" s="228"/>
      <c r="U377" s="228"/>
      <c r="V377" s="228"/>
      <c r="W377" s="228"/>
      <c r="X377" s="228"/>
      <c r="Y377" s="228"/>
      <c r="Z377" s="228"/>
      <c r="AA377" s="228"/>
      <c r="AB377" s="228"/>
      <c r="AC377" s="228"/>
      <c r="AD377" s="228"/>
      <c r="AE377" s="228"/>
      <c r="AF377" s="228"/>
      <c r="AG377" s="228"/>
      <c r="AH377" s="228"/>
      <c r="AI377" s="228"/>
      <c r="AJ377" s="228"/>
      <c r="AK377" s="228"/>
      <c r="AL377" s="228"/>
      <c r="AM377" s="228"/>
      <c r="AN377" s="228"/>
      <c r="AO377" s="228"/>
      <c r="AP377" s="228"/>
      <c r="AQ377" s="228"/>
      <c r="AR377" s="228"/>
      <c r="AS377" s="228"/>
      <c r="AT377" s="228"/>
      <c r="AU377" s="228"/>
      <c r="AV377" s="228"/>
      <c r="AW377" s="228"/>
      <c r="AX377" s="228"/>
      <c r="AY377" s="228"/>
      <c r="AZ377" s="228"/>
      <c r="BA377" s="228"/>
      <c r="BB377" s="228"/>
      <c r="BC377" s="228"/>
      <c r="BD377" s="228"/>
      <c r="BE377" s="228"/>
      <c r="BF377" s="228"/>
      <c r="BG377" s="228"/>
      <c r="BH377" s="228"/>
      <c r="BI377" s="228"/>
      <c r="BJ377" s="228"/>
      <c r="BK377" s="228"/>
      <c r="BL377" s="228"/>
      <c r="BM377" s="228"/>
      <c r="BN377" s="228"/>
      <c r="BO377" s="228"/>
      <c r="BP377" s="228"/>
      <c r="BQ377" s="228"/>
      <c r="BR377" s="228"/>
      <c r="BS377" s="228"/>
      <c r="BT377" s="228"/>
      <c r="BU377" s="228"/>
      <c r="BV377" s="228"/>
      <c r="BW377" s="228"/>
      <c r="BX377" s="228"/>
      <c r="BY377" s="228"/>
      <c r="BZ377" s="228"/>
      <c r="CA377" s="228"/>
      <c r="CB377" s="228"/>
      <c r="CC377" s="228"/>
      <c r="CD377" s="228"/>
      <c r="CE377" s="228"/>
      <c r="CF377" s="228"/>
      <c r="CG377" s="228"/>
      <c r="CH377" s="228"/>
      <c r="CI377" s="228"/>
      <c r="CJ377" s="228"/>
      <c r="CK377" s="228"/>
      <c r="CL377" s="228"/>
      <c r="CM377" s="228"/>
      <c r="CN377" s="228"/>
      <c r="CO377" s="228"/>
      <c r="CP377" s="228"/>
      <c r="CQ377" s="228"/>
      <c r="CR377" s="228"/>
      <c r="CS377" s="228"/>
      <c r="CT377" s="228"/>
      <c r="CU377" s="228"/>
      <c r="CV377" s="228"/>
      <c r="CW377" s="228"/>
      <c r="CX377" s="228"/>
      <c r="CY377" s="228"/>
      <c r="CZ377" s="228"/>
      <c r="DA377" s="228"/>
      <c r="DB377" s="228"/>
    </row>
    <row r="378" ht="12.0" customHeight="1">
      <c r="A378" s="228"/>
      <c r="B378" s="228"/>
      <c r="C378" s="228"/>
      <c r="D378" s="228"/>
      <c r="E378" s="228"/>
      <c r="F378" s="228"/>
      <c r="G378" s="228"/>
      <c r="H378" s="228"/>
      <c r="I378" s="228"/>
      <c r="J378" s="228"/>
      <c r="K378" s="228"/>
      <c r="L378" s="228"/>
      <c r="M378" s="228"/>
      <c r="N378" s="228"/>
      <c r="O378" s="228"/>
      <c r="P378" s="228"/>
      <c r="Q378" s="228"/>
      <c r="R378" s="228"/>
      <c r="S378" s="228"/>
      <c r="T378" s="228"/>
      <c r="U378" s="228"/>
      <c r="V378" s="228"/>
      <c r="W378" s="228"/>
      <c r="X378" s="228"/>
      <c r="Y378" s="228"/>
      <c r="Z378" s="228"/>
      <c r="AA378" s="228"/>
      <c r="AB378" s="228"/>
      <c r="AC378" s="228"/>
      <c r="AD378" s="228"/>
      <c r="AE378" s="228"/>
      <c r="AF378" s="228"/>
      <c r="AG378" s="228"/>
      <c r="AH378" s="228"/>
      <c r="AI378" s="228"/>
      <c r="AJ378" s="228"/>
      <c r="AK378" s="228"/>
      <c r="AL378" s="228"/>
      <c r="AM378" s="228"/>
      <c r="AN378" s="228"/>
      <c r="AO378" s="228"/>
      <c r="AP378" s="228"/>
      <c r="AQ378" s="228"/>
      <c r="AR378" s="228"/>
      <c r="AS378" s="228"/>
      <c r="AT378" s="228"/>
      <c r="AU378" s="228"/>
      <c r="AV378" s="228"/>
      <c r="AW378" s="228"/>
      <c r="AX378" s="228"/>
      <c r="AY378" s="228"/>
      <c r="AZ378" s="228"/>
      <c r="BA378" s="228"/>
      <c r="BB378" s="228"/>
      <c r="BC378" s="228"/>
      <c r="BD378" s="228"/>
      <c r="BE378" s="228"/>
      <c r="BF378" s="228"/>
      <c r="BG378" s="228"/>
      <c r="BH378" s="228"/>
      <c r="BI378" s="228"/>
      <c r="BJ378" s="228"/>
      <c r="BK378" s="228"/>
      <c r="BL378" s="228"/>
      <c r="BM378" s="228"/>
      <c r="BN378" s="228"/>
      <c r="BO378" s="228"/>
      <c r="BP378" s="228"/>
      <c r="BQ378" s="228"/>
      <c r="BR378" s="228"/>
      <c r="BS378" s="228"/>
      <c r="BT378" s="228"/>
      <c r="BU378" s="228"/>
      <c r="BV378" s="228"/>
      <c r="BW378" s="228"/>
      <c r="BX378" s="228"/>
      <c r="BY378" s="228"/>
      <c r="BZ378" s="228"/>
      <c r="CA378" s="228"/>
      <c r="CB378" s="228"/>
      <c r="CC378" s="228"/>
      <c r="CD378" s="228"/>
      <c r="CE378" s="228"/>
      <c r="CF378" s="228"/>
      <c r="CG378" s="228"/>
      <c r="CH378" s="228"/>
      <c r="CI378" s="228"/>
      <c r="CJ378" s="228"/>
      <c r="CK378" s="228"/>
      <c r="CL378" s="228"/>
      <c r="CM378" s="228"/>
      <c r="CN378" s="228"/>
      <c r="CO378" s="228"/>
      <c r="CP378" s="228"/>
      <c r="CQ378" s="228"/>
      <c r="CR378" s="228"/>
      <c r="CS378" s="228"/>
      <c r="CT378" s="228"/>
      <c r="CU378" s="228"/>
      <c r="CV378" s="228"/>
      <c r="CW378" s="228"/>
      <c r="CX378" s="228"/>
      <c r="CY378" s="228"/>
      <c r="CZ378" s="228"/>
      <c r="DA378" s="228"/>
      <c r="DB378" s="228"/>
    </row>
    <row r="379" ht="12.0" customHeight="1">
      <c r="A379" s="228"/>
      <c r="B379" s="228"/>
      <c r="C379" s="228"/>
      <c r="D379" s="228"/>
      <c r="E379" s="228"/>
      <c r="F379" s="228"/>
      <c r="G379" s="228"/>
      <c r="H379" s="228"/>
      <c r="I379" s="228"/>
      <c r="J379" s="228"/>
      <c r="K379" s="228"/>
      <c r="L379" s="228"/>
      <c r="M379" s="228"/>
      <c r="N379" s="228"/>
      <c r="O379" s="228"/>
      <c r="P379" s="228"/>
      <c r="Q379" s="228"/>
      <c r="R379" s="228"/>
      <c r="S379" s="228"/>
      <c r="T379" s="228"/>
      <c r="U379" s="228"/>
      <c r="V379" s="228"/>
      <c r="W379" s="228"/>
      <c r="X379" s="228"/>
      <c r="Y379" s="228"/>
      <c r="Z379" s="228"/>
      <c r="AA379" s="228"/>
      <c r="AB379" s="228"/>
      <c r="AC379" s="228"/>
      <c r="AD379" s="228"/>
      <c r="AE379" s="228"/>
      <c r="AF379" s="228"/>
      <c r="AG379" s="228"/>
      <c r="AH379" s="228"/>
      <c r="AI379" s="228"/>
      <c r="AJ379" s="228"/>
      <c r="AK379" s="228"/>
      <c r="AL379" s="228"/>
      <c r="AM379" s="228"/>
      <c r="AN379" s="228"/>
      <c r="AO379" s="228"/>
      <c r="AP379" s="228"/>
      <c r="AQ379" s="228"/>
      <c r="AR379" s="228"/>
      <c r="AS379" s="228"/>
      <c r="AT379" s="228"/>
      <c r="AU379" s="228"/>
      <c r="AV379" s="228"/>
      <c r="AW379" s="228"/>
      <c r="AX379" s="228"/>
      <c r="AY379" s="228"/>
      <c r="AZ379" s="228"/>
      <c r="BA379" s="228"/>
      <c r="BB379" s="228"/>
      <c r="BC379" s="228"/>
      <c r="BD379" s="228"/>
      <c r="BE379" s="228"/>
      <c r="BF379" s="228"/>
      <c r="BG379" s="228"/>
      <c r="BH379" s="228"/>
      <c r="BI379" s="228"/>
      <c r="BJ379" s="228"/>
      <c r="BK379" s="228"/>
      <c r="BL379" s="228"/>
      <c r="BM379" s="228"/>
      <c r="BN379" s="228"/>
      <c r="BO379" s="228"/>
      <c r="BP379" s="228"/>
      <c r="BQ379" s="228"/>
      <c r="BR379" s="228"/>
      <c r="BS379" s="228"/>
      <c r="BT379" s="228"/>
      <c r="BU379" s="228"/>
      <c r="BV379" s="228"/>
      <c r="BW379" s="228"/>
      <c r="BX379" s="228"/>
      <c r="BY379" s="228"/>
      <c r="BZ379" s="228"/>
      <c r="CA379" s="228"/>
      <c r="CB379" s="228"/>
      <c r="CC379" s="228"/>
      <c r="CD379" s="228"/>
      <c r="CE379" s="228"/>
      <c r="CF379" s="228"/>
      <c r="CG379" s="228"/>
      <c r="CH379" s="228"/>
      <c r="CI379" s="228"/>
      <c r="CJ379" s="228"/>
      <c r="CK379" s="228"/>
      <c r="CL379" s="228"/>
      <c r="CM379" s="228"/>
      <c r="CN379" s="228"/>
      <c r="CO379" s="228"/>
      <c r="CP379" s="228"/>
      <c r="CQ379" s="228"/>
      <c r="CR379" s="228"/>
      <c r="CS379" s="228"/>
      <c r="CT379" s="228"/>
      <c r="CU379" s="228"/>
      <c r="CV379" s="228"/>
      <c r="CW379" s="228"/>
      <c r="CX379" s="228"/>
      <c r="CY379" s="228"/>
      <c r="CZ379" s="228"/>
      <c r="DA379" s="228"/>
      <c r="DB379" s="228"/>
    </row>
    <row r="380" ht="12.0" customHeight="1">
      <c r="A380" s="228"/>
      <c r="B380" s="228"/>
      <c r="C380" s="228"/>
      <c r="D380" s="228"/>
      <c r="E380" s="228"/>
      <c r="F380" s="228"/>
      <c r="G380" s="228"/>
      <c r="H380" s="228"/>
      <c r="I380" s="228"/>
      <c r="J380" s="228"/>
      <c r="K380" s="228"/>
      <c r="L380" s="228"/>
      <c r="M380" s="228"/>
      <c r="N380" s="228"/>
      <c r="O380" s="228"/>
      <c r="P380" s="228"/>
      <c r="Q380" s="228"/>
      <c r="R380" s="228"/>
      <c r="S380" s="228"/>
      <c r="T380" s="228"/>
      <c r="U380" s="228"/>
      <c r="V380" s="228"/>
      <c r="W380" s="228"/>
      <c r="X380" s="228"/>
      <c r="Y380" s="228"/>
      <c r="Z380" s="228"/>
      <c r="AA380" s="228"/>
      <c r="AB380" s="228"/>
      <c r="AC380" s="228"/>
      <c r="AD380" s="228"/>
      <c r="AE380" s="228"/>
      <c r="AF380" s="228"/>
      <c r="AG380" s="228"/>
      <c r="AH380" s="228"/>
      <c r="AI380" s="228"/>
      <c r="AJ380" s="228"/>
      <c r="AK380" s="228"/>
      <c r="AL380" s="228"/>
      <c r="AM380" s="228"/>
      <c r="AN380" s="228"/>
      <c r="AO380" s="228"/>
      <c r="AP380" s="228"/>
      <c r="AQ380" s="228"/>
      <c r="AR380" s="228"/>
      <c r="AS380" s="228"/>
      <c r="AT380" s="228"/>
      <c r="AU380" s="228"/>
      <c r="AV380" s="228"/>
      <c r="AW380" s="228"/>
      <c r="AX380" s="228"/>
      <c r="AY380" s="228"/>
      <c r="AZ380" s="228"/>
      <c r="BA380" s="228"/>
      <c r="BB380" s="228"/>
      <c r="BC380" s="228"/>
      <c r="BD380" s="228"/>
      <c r="BE380" s="228"/>
      <c r="BF380" s="228"/>
      <c r="BG380" s="228"/>
      <c r="BH380" s="228"/>
      <c r="BI380" s="228"/>
      <c r="BJ380" s="228"/>
      <c r="BK380" s="228"/>
      <c r="BL380" s="228"/>
      <c r="BM380" s="228"/>
      <c r="BN380" s="228"/>
      <c r="BO380" s="228"/>
      <c r="BP380" s="228"/>
      <c r="BQ380" s="228"/>
      <c r="BR380" s="228"/>
      <c r="BS380" s="228"/>
      <c r="BT380" s="228"/>
      <c r="BU380" s="228"/>
      <c r="BV380" s="228"/>
      <c r="BW380" s="228"/>
      <c r="BX380" s="228"/>
      <c r="BY380" s="228"/>
      <c r="BZ380" s="228"/>
      <c r="CA380" s="228"/>
      <c r="CB380" s="228"/>
      <c r="CC380" s="228"/>
      <c r="CD380" s="228"/>
      <c r="CE380" s="228"/>
      <c r="CF380" s="228"/>
      <c r="CG380" s="228"/>
      <c r="CH380" s="228"/>
      <c r="CI380" s="228"/>
      <c r="CJ380" s="228"/>
      <c r="CK380" s="228"/>
      <c r="CL380" s="228"/>
      <c r="CM380" s="228"/>
      <c r="CN380" s="228"/>
      <c r="CO380" s="228"/>
      <c r="CP380" s="228"/>
      <c r="CQ380" s="228"/>
      <c r="CR380" s="228"/>
      <c r="CS380" s="228"/>
      <c r="CT380" s="228"/>
      <c r="CU380" s="228"/>
      <c r="CV380" s="228"/>
      <c r="CW380" s="228"/>
      <c r="CX380" s="228"/>
      <c r="CY380" s="228"/>
      <c r="CZ380" s="228"/>
      <c r="DA380" s="228"/>
      <c r="DB380" s="228"/>
    </row>
    <row r="381" ht="12.0" customHeight="1">
      <c r="A381" s="228"/>
      <c r="B381" s="228"/>
      <c r="C381" s="228"/>
      <c r="D381" s="228"/>
      <c r="E381" s="228"/>
      <c r="F381" s="228"/>
      <c r="G381" s="228"/>
      <c r="H381" s="228"/>
      <c r="I381" s="228"/>
      <c r="J381" s="228"/>
      <c r="K381" s="228"/>
      <c r="L381" s="228"/>
      <c r="M381" s="228"/>
      <c r="N381" s="228"/>
      <c r="O381" s="228"/>
      <c r="P381" s="228"/>
      <c r="Q381" s="228"/>
      <c r="R381" s="228"/>
      <c r="S381" s="228"/>
      <c r="T381" s="228"/>
      <c r="U381" s="228"/>
      <c r="V381" s="228"/>
      <c r="W381" s="228"/>
      <c r="X381" s="228"/>
      <c r="Y381" s="228"/>
      <c r="Z381" s="228"/>
      <c r="AA381" s="228"/>
      <c r="AB381" s="228"/>
      <c r="AC381" s="228"/>
      <c r="AD381" s="228"/>
      <c r="AE381" s="228"/>
      <c r="AF381" s="228"/>
      <c r="AG381" s="228"/>
      <c r="AH381" s="228"/>
      <c r="AI381" s="228"/>
      <c r="AJ381" s="228"/>
      <c r="AK381" s="228"/>
      <c r="AL381" s="228"/>
      <c r="AM381" s="228"/>
      <c r="AN381" s="228"/>
      <c r="AO381" s="228"/>
      <c r="AP381" s="228"/>
      <c r="AQ381" s="228"/>
      <c r="AR381" s="228"/>
      <c r="AS381" s="228"/>
      <c r="AT381" s="228"/>
      <c r="AU381" s="228"/>
      <c r="AV381" s="228"/>
      <c r="AW381" s="228"/>
      <c r="AX381" s="228"/>
      <c r="AY381" s="228"/>
      <c r="AZ381" s="228"/>
      <c r="BA381" s="228"/>
      <c r="BB381" s="228"/>
      <c r="BC381" s="228"/>
      <c r="BD381" s="228"/>
      <c r="BE381" s="228"/>
      <c r="BF381" s="228"/>
      <c r="BG381" s="228"/>
      <c r="BH381" s="228"/>
      <c r="BI381" s="228"/>
      <c r="BJ381" s="228"/>
      <c r="BK381" s="228"/>
      <c r="BL381" s="228"/>
      <c r="BM381" s="228"/>
      <c r="BN381" s="228"/>
      <c r="BO381" s="228"/>
      <c r="BP381" s="228"/>
      <c r="BQ381" s="228"/>
      <c r="BR381" s="228"/>
      <c r="BS381" s="228"/>
      <c r="BT381" s="228"/>
      <c r="BU381" s="228"/>
      <c r="BV381" s="228"/>
      <c r="BW381" s="228"/>
      <c r="BX381" s="228"/>
      <c r="BY381" s="228"/>
      <c r="BZ381" s="228"/>
      <c r="CA381" s="228"/>
      <c r="CB381" s="228"/>
      <c r="CC381" s="228"/>
      <c r="CD381" s="228"/>
      <c r="CE381" s="228"/>
      <c r="CF381" s="228"/>
      <c r="CG381" s="228"/>
      <c r="CH381" s="228"/>
      <c r="CI381" s="228"/>
      <c r="CJ381" s="228"/>
      <c r="CK381" s="228"/>
      <c r="CL381" s="228"/>
      <c r="CM381" s="228"/>
      <c r="CN381" s="228"/>
      <c r="CO381" s="228"/>
      <c r="CP381" s="228"/>
      <c r="CQ381" s="228"/>
      <c r="CR381" s="228"/>
      <c r="CS381" s="228"/>
      <c r="CT381" s="228"/>
      <c r="CU381" s="228"/>
      <c r="CV381" s="228"/>
      <c r="CW381" s="228"/>
      <c r="CX381" s="228"/>
      <c r="CY381" s="228"/>
      <c r="CZ381" s="228"/>
      <c r="DA381" s="228"/>
      <c r="DB381" s="228"/>
    </row>
    <row r="382" ht="12.0" customHeight="1">
      <c r="A382" s="228"/>
      <c r="B382" s="228"/>
      <c r="C382" s="228"/>
      <c r="D382" s="228"/>
      <c r="E382" s="228"/>
      <c r="F382" s="228"/>
      <c r="G382" s="228"/>
      <c r="H382" s="228"/>
      <c r="I382" s="228"/>
      <c r="J382" s="228"/>
      <c r="K382" s="228"/>
      <c r="L382" s="228"/>
      <c r="M382" s="228"/>
      <c r="N382" s="228"/>
      <c r="O382" s="228"/>
      <c r="P382" s="228"/>
      <c r="Q382" s="228"/>
      <c r="R382" s="228"/>
      <c r="S382" s="228"/>
      <c r="T382" s="228"/>
      <c r="U382" s="228"/>
      <c r="V382" s="228"/>
      <c r="W382" s="228"/>
      <c r="X382" s="228"/>
      <c r="Y382" s="228"/>
      <c r="Z382" s="228"/>
      <c r="AA382" s="228"/>
      <c r="AB382" s="228"/>
      <c r="AC382" s="228"/>
      <c r="AD382" s="228"/>
      <c r="AE382" s="228"/>
      <c r="AF382" s="228"/>
      <c r="AG382" s="228"/>
      <c r="AH382" s="228"/>
      <c r="AI382" s="228"/>
      <c r="AJ382" s="228"/>
      <c r="AK382" s="228"/>
      <c r="AL382" s="228"/>
      <c r="AM382" s="228"/>
      <c r="AN382" s="228"/>
      <c r="AO382" s="228"/>
      <c r="AP382" s="228"/>
      <c r="AQ382" s="228"/>
      <c r="AR382" s="228"/>
      <c r="AS382" s="228"/>
      <c r="AT382" s="228"/>
      <c r="AU382" s="228"/>
      <c r="AV382" s="228"/>
      <c r="AW382" s="228"/>
      <c r="AX382" s="228"/>
      <c r="AY382" s="228"/>
      <c r="AZ382" s="228"/>
      <c r="BA382" s="228"/>
      <c r="BB382" s="228"/>
      <c r="BC382" s="228"/>
      <c r="BD382" s="228"/>
      <c r="BE382" s="228"/>
      <c r="BF382" s="228"/>
      <c r="BG382" s="228"/>
      <c r="BH382" s="228"/>
      <c r="BI382" s="228"/>
      <c r="BJ382" s="228"/>
      <c r="BK382" s="228"/>
      <c r="BL382" s="228"/>
      <c r="BM382" s="228"/>
      <c r="BN382" s="228"/>
      <c r="BO382" s="228"/>
      <c r="BP382" s="228"/>
      <c r="BQ382" s="228"/>
      <c r="BR382" s="228"/>
      <c r="BS382" s="228"/>
      <c r="BT382" s="228"/>
      <c r="BU382" s="228"/>
      <c r="BV382" s="228"/>
      <c r="BW382" s="228"/>
      <c r="BX382" s="228"/>
      <c r="BY382" s="228"/>
      <c r="BZ382" s="228"/>
      <c r="CA382" s="228"/>
      <c r="CB382" s="228"/>
      <c r="CC382" s="228"/>
      <c r="CD382" s="228"/>
      <c r="CE382" s="228"/>
      <c r="CF382" s="228"/>
      <c r="CG382" s="228"/>
      <c r="CH382" s="228"/>
      <c r="CI382" s="228"/>
      <c r="CJ382" s="228"/>
      <c r="CK382" s="228"/>
      <c r="CL382" s="228"/>
      <c r="CM382" s="228"/>
      <c r="CN382" s="228"/>
      <c r="CO382" s="228"/>
      <c r="CP382" s="228"/>
      <c r="CQ382" s="228"/>
      <c r="CR382" s="228"/>
      <c r="CS382" s="228"/>
      <c r="CT382" s="228"/>
      <c r="CU382" s="228"/>
      <c r="CV382" s="228"/>
      <c r="CW382" s="228"/>
      <c r="CX382" s="228"/>
      <c r="CY382" s="228"/>
      <c r="CZ382" s="228"/>
      <c r="DA382" s="228"/>
      <c r="DB382" s="228"/>
    </row>
    <row r="383" ht="12.0" customHeight="1">
      <c r="A383" s="228"/>
      <c r="B383" s="228"/>
      <c r="C383" s="228"/>
      <c r="D383" s="228"/>
      <c r="E383" s="228"/>
      <c r="F383" s="228"/>
      <c r="G383" s="228"/>
      <c r="H383" s="228"/>
      <c r="I383" s="228"/>
      <c r="J383" s="228"/>
      <c r="K383" s="228"/>
      <c r="L383" s="228"/>
      <c r="M383" s="228"/>
      <c r="N383" s="228"/>
      <c r="O383" s="228"/>
      <c r="P383" s="228"/>
      <c r="Q383" s="228"/>
      <c r="R383" s="228"/>
      <c r="S383" s="228"/>
      <c r="T383" s="228"/>
      <c r="U383" s="228"/>
      <c r="V383" s="228"/>
      <c r="W383" s="228"/>
      <c r="X383" s="228"/>
      <c r="Y383" s="228"/>
      <c r="Z383" s="228"/>
      <c r="AA383" s="228"/>
      <c r="AB383" s="228"/>
      <c r="AC383" s="228"/>
      <c r="AD383" s="228"/>
      <c r="AE383" s="228"/>
      <c r="AF383" s="228"/>
      <c r="AG383" s="228"/>
      <c r="AH383" s="228"/>
      <c r="AI383" s="228"/>
      <c r="AJ383" s="228"/>
      <c r="AK383" s="228"/>
      <c r="AL383" s="228"/>
      <c r="AM383" s="228"/>
      <c r="AN383" s="228"/>
      <c r="AO383" s="228"/>
      <c r="AP383" s="228"/>
      <c r="AQ383" s="228"/>
      <c r="AR383" s="228"/>
      <c r="AS383" s="228"/>
      <c r="AT383" s="228"/>
      <c r="AU383" s="228"/>
      <c r="AV383" s="228"/>
      <c r="AW383" s="228"/>
      <c r="AX383" s="228"/>
      <c r="AY383" s="228"/>
      <c r="AZ383" s="228"/>
      <c r="BA383" s="228"/>
      <c r="BB383" s="228"/>
      <c r="BC383" s="228"/>
      <c r="BD383" s="228"/>
      <c r="BE383" s="228"/>
      <c r="BF383" s="228"/>
      <c r="BG383" s="228"/>
      <c r="BH383" s="228"/>
      <c r="BI383" s="228"/>
      <c r="BJ383" s="228"/>
      <c r="BK383" s="228"/>
      <c r="BL383" s="228"/>
      <c r="BM383" s="228"/>
      <c r="BN383" s="228"/>
      <c r="BO383" s="228"/>
      <c r="BP383" s="228"/>
      <c r="BQ383" s="228"/>
      <c r="BR383" s="228"/>
      <c r="BS383" s="228"/>
      <c r="BT383" s="228"/>
      <c r="BU383" s="228"/>
      <c r="BV383" s="228"/>
      <c r="BW383" s="228"/>
      <c r="BX383" s="228"/>
      <c r="BY383" s="228"/>
      <c r="BZ383" s="228"/>
      <c r="CA383" s="228"/>
      <c r="CB383" s="228"/>
      <c r="CC383" s="228"/>
      <c r="CD383" s="228"/>
      <c r="CE383" s="228"/>
      <c r="CF383" s="228"/>
      <c r="CG383" s="228"/>
      <c r="CH383" s="228"/>
      <c r="CI383" s="228"/>
      <c r="CJ383" s="228"/>
      <c r="CK383" s="228"/>
      <c r="CL383" s="228"/>
      <c r="CM383" s="228"/>
      <c r="CN383" s="228"/>
      <c r="CO383" s="228"/>
      <c r="CP383" s="228"/>
      <c r="CQ383" s="228"/>
      <c r="CR383" s="228"/>
      <c r="CS383" s="228"/>
      <c r="CT383" s="228"/>
      <c r="CU383" s="228"/>
      <c r="CV383" s="228"/>
      <c r="CW383" s="228"/>
      <c r="CX383" s="228"/>
      <c r="CY383" s="228"/>
      <c r="CZ383" s="228"/>
      <c r="DA383" s="228"/>
      <c r="DB383" s="228"/>
    </row>
    <row r="384" ht="12.0" customHeight="1">
      <c r="A384" s="228"/>
      <c r="B384" s="228"/>
      <c r="C384" s="228"/>
      <c r="D384" s="228"/>
      <c r="E384" s="228"/>
      <c r="F384" s="228"/>
      <c r="G384" s="228"/>
      <c r="H384" s="228"/>
      <c r="I384" s="228"/>
      <c r="J384" s="228"/>
      <c r="K384" s="228"/>
      <c r="L384" s="228"/>
      <c r="M384" s="228"/>
      <c r="N384" s="228"/>
      <c r="O384" s="228"/>
      <c r="P384" s="228"/>
      <c r="Q384" s="228"/>
      <c r="R384" s="228"/>
      <c r="S384" s="228"/>
      <c r="T384" s="228"/>
      <c r="U384" s="228"/>
      <c r="V384" s="228"/>
      <c r="W384" s="228"/>
      <c r="X384" s="228"/>
      <c r="Y384" s="228"/>
      <c r="Z384" s="228"/>
      <c r="AA384" s="228"/>
      <c r="AB384" s="228"/>
      <c r="AC384" s="228"/>
      <c r="AD384" s="228"/>
      <c r="AE384" s="228"/>
      <c r="AF384" s="228"/>
      <c r="AG384" s="228"/>
      <c r="AH384" s="228"/>
      <c r="AI384" s="228"/>
      <c r="AJ384" s="228"/>
      <c r="AK384" s="228"/>
      <c r="AL384" s="228"/>
      <c r="AM384" s="228"/>
      <c r="AN384" s="228"/>
      <c r="AO384" s="228"/>
      <c r="AP384" s="228"/>
      <c r="AQ384" s="228"/>
      <c r="AR384" s="228"/>
      <c r="AS384" s="228"/>
      <c r="AT384" s="228"/>
      <c r="AU384" s="228"/>
      <c r="AV384" s="228"/>
      <c r="AW384" s="228"/>
      <c r="AX384" s="228"/>
      <c r="AY384" s="228"/>
      <c r="AZ384" s="228"/>
      <c r="BA384" s="228"/>
      <c r="BB384" s="228"/>
      <c r="BC384" s="228"/>
      <c r="BD384" s="228"/>
      <c r="BE384" s="228"/>
      <c r="BF384" s="228"/>
      <c r="BG384" s="228"/>
      <c r="BH384" s="228"/>
      <c r="BI384" s="228"/>
      <c r="BJ384" s="228"/>
      <c r="BK384" s="228"/>
      <c r="BL384" s="228"/>
      <c r="BM384" s="228"/>
      <c r="BN384" s="228"/>
      <c r="BO384" s="228"/>
      <c r="BP384" s="228"/>
      <c r="BQ384" s="228"/>
      <c r="BR384" s="228"/>
      <c r="BS384" s="228"/>
      <c r="BT384" s="228"/>
      <c r="BU384" s="228"/>
      <c r="BV384" s="228"/>
      <c r="BW384" s="228"/>
      <c r="BX384" s="228"/>
      <c r="BY384" s="228"/>
      <c r="BZ384" s="228"/>
      <c r="CA384" s="228"/>
      <c r="CB384" s="228"/>
      <c r="CC384" s="228"/>
      <c r="CD384" s="228"/>
      <c r="CE384" s="228"/>
      <c r="CF384" s="228"/>
      <c r="CG384" s="228"/>
      <c r="CH384" s="228"/>
      <c r="CI384" s="228"/>
      <c r="CJ384" s="228"/>
      <c r="CK384" s="228"/>
      <c r="CL384" s="228"/>
      <c r="CM384" s="228"/>
      <c r="CN384" s="228"/>
      <c r="CO384" s="228"/>
      <c r="CP384" s="228"/>
      <c r="CQ384" s="228"/>
      <c r="CR384" s="228"/>
      <c r="CS384" s="228"/>
      <c r="CT384" s="228"/>
      <c r="CU384" s="228"/>
      <c r="CV384" s="228"/>
      <c r="CW384" s="228"/>
      <c r="CX384" s="228"/>
      <c r="CY384" s="228"/>
      <c r="CZ384" s="228"/>
      <c r="DA384" s="228"/>
      <c r="DB384" s="228"/>
    </row>
    <row r="385" ht="12.0" customHeight="1">
      <c r="A385" s="228"/>
      <c r="B385" s="228"/>
      <c r="C385" s="228"/>
      <c r="D385" s="228"/>
      <c r="E385" s="228"/>
      <c r="F385" s="228"/>
      <c r="G385" s="228"/>
      <c r="H385" s="228"/>
      <c r="I385" s="228"/>
      <c r="J385" s="228"/>
      <c r="K385" s="228"/>
      <c r="L385" s="228"/>
      <c r="M385" s="228"/>
      <c r="N385" s="228"/>
      <c r="O385" s="228"/>
      <c r="P385" s="228"/>
      <c r="Q385" s="228"/>
      <c r="R385" s="228"/>
      <c r="S385" s="228"/>
      <c r="T385" s="228"/>
      <c r="U385" s="228"/>
      <c r="V385" s="228"/>
      <c r="W385" s="228"/>
      <c r="X385" s="228"/>
      <c r="Y385" s="228"/>
      <c r="Z385" s="228"/>
      <c r="AA385" s="228"/>
      <c r="AB385" s="228"/>
      <c r="AC385" s="228"/>
      <c r="AD385" s="228"/>
      <c r="AE385" s="228"/>
      <c r="AF385" s="228"/>
      <c r="AG385" s="228"/>
      <c r="AH385" s="228"/>
      <c r="AI385" s="228"/>
      <c r="AJ385" s="228"/>
      <c r="AK385" s="228"/>
      <c r="AL385" s="228"/>
      <c r="AM385" s="228"/>
      <c r="AN385" s="228"/>
      <c r="AO385" s="228"/>
      <c r="AP385" s="228"/>
      <c r="AQ385" s="228"/>
      <c r="AR385" s="228"/>
      <c r="AS385" s="228"/>
      <c r="AT385" s="228"/>
      <c r="AU385" s="228"/>
      <c r="AV385" s="228"/>
      <c r="AW385" s="228"/>
      <c r="AX385" s="228"/>
      <c r="AY385" s="228"/>
      <c r="AZ385" s="228"/>
      <c r="BA385" s="228"/>
      <c r="BB385" s="228"/>
      <c r="BC385" s="228"/>
      <c r="BD385" s="228"/>
      <c r="BE385" s="228"/>
      <c r="BF385" s="228"/>
      <c r="BG385" s="228"/>
      <c r="BH385" s="228"/>
      <c r="BI385" s="228"/>
      <c r="BJ385" s="228"/>
      <c r="BK385" s="228"/>
      <c r="BL385" s="228"/>
      <c r="BM385" s="228"/>
      <c r="BN385" s="228"/>
      <c r="BO385" s="228"/>
      <c r="BP385" s="228"/>
      <c r="BQ385" s="228"/>
      <c r="BR385" s="228"/>
      <c r="BS385" s="228"/>
      <c r="BT385" s="228"/>
      <c r="BU385" s="228"/>
      <c r="BV385" s="228"/>
      <c r="BW385" s="228"/>
      <c r="BX385" s="228"/>
      <c r="BY385" s="228"/>
      <c r="BZ385" s="228"/>
      <c r="CA385" s="228"/>
      <c r="CB385" s="228"/>
      <c r="CC385" s="228"/>
      <c r="CD385" s="228"/>
      <c r="CE385" s="228"/>
      <c r="CF385" s="228"/>
      <c r="CG385" s="228"/>
      <c r="CH385" s="228"/>
      <c r="CI385" s="228"/>
      <c r="CJ385" s="228"/>
      <c r="CK385" s="228"/>
      <c r="CL385" s="228"/>
      <c r="CM385" s="228"/>
      <c r="CN385" s="228"/>
      <c r="CO385" s="228"/>
      <c r="CP385" s="228"/>
      <c r="CQ385" s="228"/>
      <c r="CR385" s="228"/>
      <c r="CS385" s="228"/>
      <c r="CT385" s="228"/>
      <c r="CU385" s="228"/>
      <c r="CV385" s="228"/>
      <c r="CW385" s="228"/>
      <c r="CX385" s="228"/>
      <c r="CY385" s="228"/>
      <c r="CZ385" s="228"/>
      <c r="DA385" s="228"/>
      <c r="DB385" s="228"/>
    </row>
    <row r="386" ht="12.0" customHeight="1">
      <c r="A386" s="228"/>
      <c r="B386" s="228"/>
      <c r="C386" s="228"/>
      <c r="D386" s="228"/>
      <c r="E386" s="228"/>
      <c r="F386" s="228"/>
      <c r="G386" s="228"/>
      <c r="H386" s="228"/>
      <c r="I386" s="228"/>
      <c r="J386" s="228"/>
      <c r="K386" s="228"/>
      <c r="L386" s="228"/>
      <c r="M386" s="228"/>
      <c r="N386" s="228"/>
      <c r="O386" s="228"/>
      <c r="P386" s="228"/>
      <c r="Q386" s="228"/>
      <c r="R386" s="228"/>
      <c r="S386" s="228"/>
      <c r="T386" s="228"/>
      <c r="U386" s="228"/>
      <c r="V386" s="228"/>
      <c r="W386" s="228"/>
      <c r="X386" s="228"/>
      <c r="Y386" s="228"/>
      <c r="Z386" s="228"/>
      <c r="AA386" s="228"/>
      <c r="AB386" s="228"/>
      <c r="AC386" s="228"/>
      <c r="AD386" s="228"/>
      <c r="AE386" s="228"/>
      <c r="AF386" s="228"/>
      <c r="AG386" s="228"/>
      <c r="AH386" s="228"/>
      <c r="AI386" s="228"/>
      <c r="AJ386" s="228"/>
      <c r="AK386" s="228"/>
      <c r="AL386" s="228"/>
      <c r="AM386" s="228"/>
      <c r="AN386" s="228"/>
      <c r="AO386" s="228"/>
      <c r="AP386" s="228"/>
      <c r="AQ386" s="228"/>
      <c r="AR386" s="228"/>
      <c r="AS386" s="228"/>
      <c r="AT386" s="228"/>
      <c r="AU386" s="228"/>
      <c r="AV386" s="228"/>
      <c r="AW386" s="228"/>
      <c r="AX386" s="228"/>
      <c r="AY386" s="228"/>
      <c r="AZ386" s="228"/>
      <c r="BA386" s="228"/>
      <c r="BB386" s="228"/>
      <c r="BC386" s="228"/>
      <c r="BD386" s="228"/>
      <c r="BE386" s="228"/>
      <c r="BF386" s="228"/>
      <c r="BG386" s="228"/>
      <c r="BH386" s="228"/>
      <c r="BI386" s="228"/>
      <c r="BJ386" s="228"/>
      <c r="BK386" s="228"/>
      <c r="BL386" s="228"/>
      <c r="BM386" s="228"/>
      <c r="BN386" s="228"/>
      <c r="BO386" s="228"/>
      <c r="BP386" s="228"/>
      <c r="BQ386" s="228"/>
      <c r="BR386" s="228"/>
      <c r="BS386" s="228"/>
      <c r="BT386" s="228"/>
      <c r="BU386" s="228"/>
      <c r="BV386" s="228"/>
      <c r="BW386" s="228"/>
      <c r="BX386" s="228"/>
      <c r="BY386" s="228"/>
      <c r="BZ386" s="228"/>
      <c r="CA386" s="228"/>
      <c r="CB386" s="228"/>
      <c r="CC386" s="228"/>
      <c r="CD386" s="228"/>
      <c r="CE386" s="228"/>
      <c r="CF386" s="228"/>
      <c r="CG386" s="228"/>
      <c r="CH386" s="228"/>
      <c r="CI386" s="228"/>
      <c r="CJ386" s="228"/>
      <c r="CK386" s="228"/>
      <c r="CL386" s="228"/>
      <c r="CM386" s="228"/>
      <c r="CN386" s="228"/>
      <c r="CO386" s="228"/>
      <c r="CP386" s="228"/>
      <c r="CQ386" s="228"/>
      <c r="CR386" s="228"/>
      <c r="CS386" s="228"/>
      <c r="CT386" s="228"/>
      <c r="CU386" s="228"/>
      <c r="CV386" s="228"/>
      <c r="CW386" s="228"/>
      <c r="CX386" s="228"/>
      <c r="CY386" s="228"/>
      <c r="CZ386" s="228"/>
      <c r="DA386" s="228"/>
      <c r="DB386" s="228"/>
    </row>
    <row r="387" ht="12.0" customHeight="1">
      <c r="A387" s="228"/>
      <c r="B387" s="228"/>
      <c r="C387" s="228"/>
      <c r="D387" s="228"/>
      <c r="E387" s="228"/>
      <c r="F387" s="228"/>
      <c r="G387" s="228"/>
      <c r="H387" s="228"/>
      <c r="I387" s="228"/>
      <c r="J387" s="228"/>
      <c r="K387" s="228"/>
      <c r="L387" s="228"/>
      <c r="M387" s="228"/>
      <c r="N387" s="228"/>
      <c r="O387" s="228"/>
      <c r="P387" s="228"/>
      <c r="Q387" s="228"/>
      <c r="R387" s="228"/>
      <c r="S387" s="228"/>
      <c r="T387" s="228"/>
      <c r="U387" s="228"/>
      <c r="V387" s="228"/>
      <c r="W387" s="228"/>
      <c r="X387" s="228"/>
      <c r="Y387" s="228"/>
      <c r="Z387" s="228"/>
      <c r="AA387" s="228"/>
      <c r="AB387" s="228"/>
      <c r="AC387" s="228"/>
      <c r="AD387" s="228"/>
      <c r="AE387" s="228"/>
      <c r="AF387" s="228"/>
      <c r="AG387" s="228"/>
      <c r="AH387" s="228"/>
      <c r="AI387" s="228"/>
      <c r="AJ387" s="228"/>
      <c r="AK387" s="228"/>
      <c r="AL387" s="228"/>
      <c r="AM387" s="228"/>
      <c r="AN387" s="228"/>
      <c r="AO387" s="228"/>
      <c r="AP387" s="228"/>
      <c r="AQ387" s="228"/>
      <c r="AR387" s="228"/>
      <c r="AS387" s="228"/>
      <c r="AT387" s="228"/>
      <c r="AU387" s="228"/>
      <c r="AV387" s="228"/>
      <c r="AW387" s="228"/>
      <c r="AX387" s="228"/>
      <c r="AY387" s="228"/>
      <c r="AZ387" s="228"/>
      <c r="BA387" s="228"/>
      <c r="BB387" s="228"/>
      <c r="BC387" s="228"/>
      <c r="BD387" s="228"/>
      <c r="BE387" s="228"/>
      <c r="BF387" s="228"/>
      <c r="BG387" s="228"/>
      <c r="BH387" s="228"/>
      <c r="BI387" s="228"/>
      <c r="BJ387" s="228"/>
      <c r="BK387" s="228"/>
      <c r="BL387" s="228"/>
      <c r="BM387" s="228"/>
      <c r="BN387" s="228"/>
      <c r="BO387" s="228"/>
      <c r="BP387" s="228"/>
      <c r="BQ387" s="228"/>
      <c r="BR387" s="228"/>
      <c r="BS387" s="228"/>
      <c r="BT387" s="228"/>
      <c r="BU387" s="228"/>
      <c r="BV387" s="228"/>
      <c r="BW387" s="228"/>
      <c r="BX387" s="228"/>
      <c r="BY387" s="228"/>
      <c r="BZ387" s="228"/>
      <c r="CA387" s="228"/>
      <c r="CB387" s="228"/>
      <c r="CC387" s="228"/>
      <c r="CD387" s="228"/>
      <c r="CE387" s="228"/>
      <c r="CF387" s="228"/>
      <c r="CG387" s="228"/>
      <c r="CH387" s="228"/>
      <c r="CI387" s="228"/>
      <c r="CJ387" s="228"/>
      <c r="CK387" s="228"/>
      <c r="CL387" s="228"/>
      <c r="CM387" s="228"/>
      <c r="CN387" s="228"/>
      <c r="CO387" s="228"/>
      <c r="CP387" s="228"/>
      <c r="CQ387" s="228"/>
      <c r="CR387" s="228"/>
      <c r="CS387" s="228"/>
      <c r="CT387" s="228"/>
      <c r="CU387" s="228"/>
      <c r="CV387" s="228"/>
      <c r="CW387" s="228"/>
      <c r="CX387" s="228"/>
      <c r="CY387" s="228"/>
      <c r="CZ387" s="228"/>
      <c r="DA387" s="228"/>
      <c r="DB387" s="228"/>
    </row>
    <row r="388" ht="12.0" customHeight="1">
      <c r="A388" s="228"/>
      <c r="B388" s="228"/>
      <c r="C388" s="228"/>
      <c r="D388" s="228"/>
      <c r="E388" s="228"/>
      <c r="F388" s="228"/>
      <c r="G388" s="228"/>
      <c r="H388" s="228"/>
      <c r="I388" s="228"/>
      <c r="J388" s="228"/>
      <c r="K388" s="228"/>
      <c r="L388" s="228"/>
      <c r="M388" s="228"/>
      <c r="N388" s="228"/>
      <c r="O388" s="228"/>
      <c r="P388" s="228"/>
      <c r="Q388" s="228"/>
      <c r="R388" s="228"/>
      <c r="S388" s="228"/>
      <c r="T388" s="228"/>
      <c r="U388" s="228"/>
      <c r="V388" s="228"/>
      <c r="W388" s="228"/>
      <c r="X388" s="228"/>
      <c r="Y388" s="228"/>
      <c r="Z388" s="228"/>
      <c r="AA388" s="228"/>
      <c r="AB388" s="228"/>
      <c r="AC388" s="228"/>
      <c r="AD388" s="228"/>
      <c r="AE388" s="228"/>
      <c r="AF388" s="228"/>
      <c r="AG388" s="228"/>
      <c r="AH388" s="228"/>
      <c r="AI388" s="228"/>
      <c r="AJ388" s="228"/>
      <c r="AK388" s="228"/>
      <c r="AL388" s="228"/>
      <c r="AM388" s="228"/>
      <c r="AN388" s="228"/>
      <c r="AO388" s="228"/>
      <c r="AP388" s="228"/>
      <c r="AQ388" s="228"/>
      <c r="AR388" s="228"/>
      <c r="AS388" s="228"/>
      <c r="AT388" s="228"/>
      <c r="AU388" s="228"/>
      <c r="AV388" s="228"/>
      <c r="AW388" s="228"/>
      <c r="AX388" s="228"/>
      <c r="AY388" s="228"/>
      <c r="AZ388" s="228"/>
      <c r="BA388" s="228"/>
      <c r="BB388" s="228"/>
      <c r="BC388" s="228"/>
      <c r="BD388" s="228"/>
      <c r="BE388" s="228"/>
      <c r="BF388" s="228"/>
      <c r="BG388" s="228"/>
      <c r="BH388" s="228"/>
      <c r="BI388" s="228"/>
      <c r="BJ388" s="228"/>
      <c r="BK388" s="228"/>
      <c r="BL388" s="228"/>
      <c r="BM388" s="228"/>
      <c r="BN388" s="228"/>
      <c r="BO388" s="228"/>
      <c r="BP388" s="228"/>
      <c r="BQ388" s="228"/>
      <c r="BR388" s="228"/>
      <c r="BS388" s="228"/>
      <c r="BT388" s="228"/>
      <c r="BU388" s="228"/>
      <c r="BV388" s="228"/>
      <c r="BW388" s="228"/>
      <c r="BX388" s="228"/>
      <c r="BY388" s="228"/>
      <c r="BZ388" s="228"/>
      <c r="CA388" s="228"/>
      <c r="CB388" s="228"/>
      <c r="CC388" s="228"/>
      <c r="CD388" s="228"/>
      <c r="CE388" s="228"/>
      <c r="CF388" s="228"/>
      <c r="CG388" s="228"/>
      <c r="CH388" s="228"/>
      <c r="CI388" s="228"/>
      <c r="CJ388" s="228"/>
      <c r="CK388" s="228"/>
      <c r="CL388" s="228"/>
      <c r="CM388" s="228"/>
      <c r="CN388" s="228"/>
      <c r="CO388" s="228"/>
      <c r="CP388" s="228"/>
      <c r="CQ388" s="228"/>
      <c r="CR388" s="228"/>
      <c r="CS388" s="228"/>
      <c r="CT388" s="228"/>
      <c r="CU388" s="228"/>
      <c r="CV388" s="228"/>
      <c r="CW388" s="228"/>
      <c r="CX388" s="228"/>
      <c r="CY388" s="228"/>
      <c r="CZ388" s="228"/>
      <c r="DA388" s="228"/>
      <c r="DB388" s="228"/>
    </row>
    <row r="389" ht="12.0" customHeight="1">
      <c r="A389" s="228"/>
      <c r="B389" s="228"/>
      <c r="C389" s="228"/>
      <c r="D389" s="228"/>
      <c r="E389" s="228"/>
      <c r="F389" s="228"/>
      <c r="G389" s="228"/>
      <c r="H389" s="228"/>
      <c r="I389" s="228"/>
      <c r="J389" s="228"/>
      <c r="K389" s="228"/>
      <c r="L389" s="228"/>
      <c r="M389" s="228"/>
      <c r="N389" s="228"/>
      <c r="O389" s="228"/>
      <c r="P389" s="228"/>
      <c r="Q389" s="228"/>
      <c r="R389" s="228"/>
      <c r="S389" s="228"/>
      <c r="T389" s="228"/>
      <c r="U389" s="228"/>
      <c r="V389" s="228"/>
      <c r="W389" s="228"/>
      <c r="X389" s="228"/>
      <c r="Y389" s="228"/>
      <c r="Z389" s="228"/>
      <c r="AA389" s="228"/>
      <c r="AB389" s="228"/>
      <c r="AC389" s="228"/>
      <c r="AD389" s="228"/>
      <c r="AE389" s="228"/>
      <c r="AF389" s="228"/>
      <c r="AG389" s="228"/>
      <c r="AH389" s="228"/>
      <c r="AI389" s="228"/>
      <c r="AJ389" s="228"/>
      <c r="AK389" s="228"/>
      <c r="AL389" s="228"/>
      <c r="AM389" s="228"/>
      <c r="AN389" s="228"/>
      <c r="AO389" s="228"/>
      <c r="AP389" s="228"/>
      <c r="AQ389" s="228"/>
      <c r="AR389" s="228"/>
      <c r="AS389" s="228"/>
      <c r="AT389" s="228"/>
      <c r="AU389" s="228"/>
      <c r="AV389" s="228"/>
      <c r="AW389" s="228"/>
      <c r="AX389" s="228"/>
      <c r="AY389" s="228"/>
      <c r="AZ389" s="228"/>
      <c r="BA389" s="228"/>
      <c r="BB389" s="228"/>
      <c r="BC389" s="228"/>
      <c r="BD389" s="228"/>
      <c r="BE389" s="228"/>
      <c r="BF389" s="228"/>
      <c r="BG389" s="228"/>
      <c r="BH389" s="228"/>
      <c r="BI389" s="228"/>
      <c r="BJ389" s="228"/>
      <c r="BK389" s="228"/>
      <c r="BL389" s="228"/>
      <c r="BM389" s="228"/>
      <c r="BN389" s="228"/>
      <c r="BO389" s="228"/>
      <c r="BP389" s="228"/>
      <c r="BQ389" s="228"/>
      <c r="BR389" s="228"/>
      <c r="BS389" s="228"/>
      <c r="BT389" s="228"/>
      <c r="BU389" s="228"/>
      <c r="BV389" s="228"/>
      <c r="BW389" s="228"/>
      <c r="BX389" s="228"/>
      <c r="BY389" s="228"/>
      <c r="BZ389" s="228"/>
      <c r="CA389" s="228"/>
      <c r="CB389" s="228"/>
      <c r="CC389" s="228"/>
      <c r="CD389" s="228"/>
      <c r="CE389" s="228"/>
      <c r="CF389" s="228"/>
      <c r="CG389" s="228"/>
      <c r="CH389" s="228"/>
      <c r="CI389" s="228"/>
      <c r="CJ389" s="228"/>
      <c r="CK389" s="228"/>
      <c r="CL389" s="228"/>
      <c r="CM389" s="228"/>
      <c r="CN389" s="228"/>
      <c r="CO389" s="228"/>
      <c r="CP389" s="228"/>
      <c r="CQ389" s="228"/>
      <c r="CR389" s="228"/>
      <c r="CS389" s="228"/>
      <c r="CT389" s="228"/>
      <c r="CU389" s="228"/>
      <c r="CV389" s="228"/>
      <c r="CW389" s="228"/>
      <c r="CX389" s="228"/>
      <c r="CY389" s="228"/>
      <c r="CZ389" s="228"/>
      <c r="DA389" s="228"/>
      <c r="DB389" s="228"/>
    </row>
    <row r="390" ht="12.0" customHeight="1">
      <c r="A390" s="228"/>
      <c r="B390" s="228"/>
      <c r="C390" s="228"/>
      <c r="D390" s="228"/>
      <c r="E390" s="228"/>
      <c r="F390" s="228"/>
      <c r="G390" s="228"/>
      <c r="H390" s="228"/>
      <c r="I390" s="228"/>
      <c r="J390" s="228"/>
      <c r="K390" s="228"/>
      <c r="L390" s="228"/>
      <c r="M390" s="228"/>
      <c r="N390" s="228"/>
      <c r="O390" s="228"/>
      <c r="P390" s="228"/>
      <c r="Q390" s="228"/>
      <c r="R390" s="228"/>
      <c r="S390" s="228"/>
      <c r="T390" s="228"/>
      <c r="U390" s="228"/>
      <c r="V390" s="228"/>
      <c r="W390" s="228"/>
      <c r="X390" s="228"/>
      <c r="Y390" s="228"/>
      <c r="Z390" s="228"/>
      <c r="AA390" s="228"/>
      <c r="AB390" s="228"/>
      <c r="AC390" s="228"/>
      <c r="AD390" s="228"/>
      <c r="AE390" s="228"/>
      <c r="AF390" s="228"/>
      <c r="AG390" s="228"/>
      <c r="AH390" s="228"/>
      <c r="AI390" s="228"/>
      <c r="AJ390" s="228"/>
      <c r="AK390" s="228"/>
      <c r="AL390" s="228"/>
      <c r="AM390" s="228"/>
      <c r="AN390" s="228"/>
      <c r="AO390" s="228"/>
      <c r="AP390" s="228"/>
      <c r="AQ390" s="228"/>
      <c r="AR390" s="228"/>
      <c r="AS390" s="228"/>
      <c r="AT390" s="228"/>
      <c r="AU390" s="228"/>
      <c r="AV390" s="228"/>
      <c r="AW390" s="228"/>
      <c r="AX390" s="228"/>
      <c r="AY390" s="228"/>
      <c r="AZ390" s="228"/>
      <c r="BA390" s="228"/>
      <c r="BB390" s="228"/>
      <c r="BC390" s="228"/>
      <c r="BD390" s="228"/>
      <c r="BE390" s="228"/>
      <c r="BF390" s="228"/>
      <c r="BG390" s="228"/>
      <c r="BH390" s="228"/>
      <c r="BI390" s="228"/>
      <c r="BJ390" s="228"/>
      <c r="BK390" s="228"/>
      <c r="BL390" s="228"/>
      <c r="BM390" s="228"/>
      <c r="BN390" s="228"/>
      <c r="BO390" s="228"/>
      <c r="BP390" s="228"/>
      <c r="BQ390" s="228"/>
      <c r="BR390" s="228"/>
      <c r="BS390" s="228"/>
      <c r="BT390" s="228"/>
      <c r="BU390" s="228"/>
      <c r="BV390" s="228"/>
      <c r="BW390" s="228"/>
      <c r="BX390" s="228"/>
      <c r="BY390" s="228"/>
      <c r="BZ390" s="228"/>
      <c r="CA390" s="228"/>
      <c r="CB390" s="228"/>
      <c r="CC390" s="228"/>
      <c r="CD390" s="228"/>
      <c r="CE390" s="228"/>
      <c r="CF390" s="228"/>
      <c r="CG390" s="228"/>
      <c r="CH390" s="228"/>
      <c r="CI390" s="228"/>
      <c r="CJ390" s="228"/>
      <c r="CK390" s="228"/>
      <c r="CL390" s="228"/>
      <c r="CM390" s="228"/>
      <c r="CN390" s="228"/>
      <c r="CO390" s="228"/>
      <c r="CP390" s="228"/>
      <c r="CQ390" s="228"/>
      <c r="CR390" s="228"/>
      <c r="CS390" s="228"/>
      <c r="CT390" s="228"/>
      <c r="CU390" s="228"/>
      <c r="CV390" s="228"/>
      <c r="CW390" s="228"/>
      <c r="CX390" s="228"/>
      <c r="CY390" s="228"/>
      <c r="CZ390" s="228"/>
      <c r="DA390" s="228"/>
      <c r="DB390" s="228"/>
    </row>
    <row r="391" ht="12.0" customHeight="1">
      <c r="A391" s="228"/>
      <c r="B391" s="228"/>
      <c r="C391" s="228"/>
      <c r="D391" s="228"/>
      <c r="E391" s="228"/>
      <c r="F391" s="228"/>
      <c r="G391" s="228"/>
      <c r="H391" s="228"/>
      <c r="I391" s="228"/>
      <c r="J391" s="228"/>
      <c r="K391" s="228"/>
      <c r="L391" s="228"/>
      <c r="M391" s="228"/>
      <c r="N391" s="228"/>
      <c r="O391" s="228"/>
      <c r="P391" s="228"/>
      <c r="Q391" s="228"/>
      <c r="R391" s="228"/>
      <c r="S391" s="228"/>
      <c r="T391" s="228"/>
      <c r="U391" s="228"/>
      <c r="V391" s="228"/>
      <c r="W391" s="228"/>
      <c r="X391" s="228"/>
      <c r="Y391" s="228"/>
      <c r="Z391" s="228"/>
      <c r="AA391" s="228"/>
      <c r="AB391" s="228"/>
      <c r="AC391" s="228"/>
      <c r="AD391" s="228"/>
      <c r="AE391" s="228"/>
      <c r="AF391" s="228"/>
      <c r="AG391" s="228"/>
      <c r="AH391" s="228"/>
      <c r="AI391" s="228"/>
      <c r="AJ391" s="228"/>
      <c r="AK391" s="228"/>
      <c r="AL391" s="228"/>
      <c r="AM391" s="228"/>
      <c r="AN391" s="228"/>
      <c r="AO391" s="228"/>
      <c r="AP391" s="228"/>
      <c r="AQ391" s="228"/>
      <c r="AR391" s="228"/>
      <c r="AS391" s="228"/>
      <c r="AT391" s="228"/>
      <c r="AU391" s="228"/>
      <c r="AV391" s="228"/>
      <c r="AW391" s="228"/>
      <c r="AX391" s="228"/>
      <c r="AY391" s="228"/>
      <c r="AZ391" s="228"/>
      <c r="BA391" s="228"/>
      <c r="BB391" s="228"/>
      <c r="BC391" s="228"/>
      <c r="BD391" s="228"/>
      <c r="BE391" s="228"/>
      <c r="BF391" s="228"/>
      <c r="BG391" s="228"/>
      <c r="BH391" s="228"/>
      <c r="BI391" s="228"/>
      <c r="BJ391" s="228"/>
      <c r="BK391" s="228"/>
      <c r="BL391" s="228"/>
      <c r="BM391" s="228"/>
      <c r="BN391" s="228"/>
      <c r="BO391" s="228"/>
      <c r="BP391" s="228"/>
      <c r="BQ391" s="228"/>
      <c r="BR391" s="228"/>
      <c r="BS391" s="228"/>
      <c r="BT391" s="228"/>
      <c r="BU391" s="228"/>
      <c r="BV391" s="228"/>
      <c r="BW391" s="228"/>
      <c r="BX391" s="228"/>
      <c r="BY391" s="228"/>
      <c r="BZ391" s="228"/>
      <c r="CA391" s="228"/>
      <c r="CB391" s="228"/>
      <c r="CC391" s="228"/>
      <c r="CD391" s="228"/>
      <c r="CE391" s="228"/>
      <c r="CF391" s="228"/>
      <c r="CG391" s="228"/>
      <c r="CH391" s="228"/>
      <c r="CI391" s="228"/>
      <c r="CJ391" s="228"/>
      <c r="CK391" s="228"/>
      <c r="CL391" s="228"/>
      <c r="CM391" s="228"/>
      <c r="CN391" s="228"/>
      <c r="CO391" s="228"/>
      <c r="CP391" s="228"/>
      <c r="CQ391" s="228"/>
      <c r="CR391" s="228"/>
      <c r="CS391" s="228"/>
      <c r="CT391" s="228"/>
      <c r="CU391" s="228"/>
      <c r="CV391" s="228"/>
      <c r="CW391" s="228"/>
      <c r="CX391" s="228"/>
      <c r="CY391" s="228"/>
      <c r="CZ391" s="228"/>
      <c r="DA391" s="228"/>
      <c r="DB391" s="228"/>
    </row>
    <row r="392" ht="12.0" customHeight="1">
      <c r="A392" s="228"/>
      <c r="B392" s="228"/>
      <c r="C392" s="228"/>
      <c r="D392" s="228"/>
      <c r="E392" s="228"/>
      <c r="F392" s="228"/>
      <c r="G392" s="228"/>
      <c r="H392" s="228"/>
      <c r="I392" s="228"/>
      <c r="J392" s="228"/>
      <c r="K392" s="228"/>
      <c r="L392" s="228"/>
      <c r="M392" s="228"/>
      <c r="N392" s="228"/>
      <c r="O392" s="228"/>
      <c r="P392" s="228"/>
      <c r="Q392" s="228"/>
      <c r="R392" s="228"/>
      <c r="S392" s="228"/>
      <c r="T392" s="228"/>
      <c r="U392" s="228"/>
      <c r="V392" s="228"/>
      <c r="W392" s="228"/>
      <c r="X392" s="228"/>
      <c r="Y392" s="228"/>
      <c r="Z392" s="228"/>
      <c r="AA392" s="228"/>
      <c r="AB392" s="228"/>
      <c r="AC392" s="228"/>
      <c r="AD392" s="228"/>
      <c r="AE392" s="228"/>
      <c r="AF392" s="228"/>
      <c r="AG392" s="228"/>
      <c r="AH392" s="228"/>
      <c r="AI392" s="228"/>
      <c r="AJ392" s="228"/>
      <c r="AK392" s="228"/>
      <c r="AL392" s="228"/>
      <c r="AM392" s="228"/>
      <c r="AN392" s="228"/>
      <c r="AO392" s="228"/>
      <c r="AP392" s="228"/>
      <c r="AQ392" s="228"/>
      <c r="AR392" s="228"/>
      <c r="AS392" s="228"/>
      <c r="AT392" s="228"/>
      <c r="AU392" s="228"/>
      <c r="AV392" s="228"/>
      <c r="AW392" s="228"/>
      <c r="AX392" s="228"/>
      <c r="AY392" s="228"/>
      <c r="AZ392" s="228"/>
      <c r="BA392" s="228"/>
      <c r="BB392" s="228"/>
      <c r="BC392" s="228"/>
      <c r="BD392" s="228"/>
      <c r="BE392" s="228"/>
      <c r="BF392" s="228"/>
      <c r="BG392" s="228"/>
      <c r="BH392" s="228"/>
      <c r="BI392" s="228"/>
      <c r="BJ392" s="228"/>
      <c r="BK392" s="228"/>
      <c r="BL392" s="228"/>
      <c r="BM392" s="228"/>
      <c r="BN392" s="228"/>
      <c r="BO392" s="228"/>
      <c r="BP392" s="228"/>
      <c r="BQ392" s="228"/>
      <c r="BR392" s="228"/>
      <c r="BS392" s="228"/>
      <c r="BT392" s="228"/>
      <c r="BU392" s="228"/>
      <c r="BV392" s="228"/>
      <c r="BW392" s="228"/>
      <c r="BX392" s="228"/>
      <c r="BY392" s="228"/>
      <c r="BZ392" s="228"/>
      <c r="CA392" s="228"/>
      <c r="CB392" s="228"/>
      <c r="CC392" s="228"/>
      <c r="CD392" s="228"/>
      <c r="CE392" s="228"/>
      <c r="CF392" s="228"/>
      <c r="CG392" s="228"/>
      <c r="CH392" s="228"/>
      <c r="CI392" s="228"/>
      <c r="CJ392" s="228"/>
      <c r="CK392" s="228"/>
      <c r="CL392" s="228"/>
      <c r="CM392" s="228"/>
      <c r="CN392" s="228"/>
      <c r="CO392" s="228"/>
      <c r="CP392" s="228"/>
      <c r="CQ392" s="228"/>
      <c r="CR392" s="228"/>
      <c r="CS392" s="228"/>
      <c r="CT392" s="228"/>
      <c r="CU392" s="228"/>
      <c r="CV392" s="228"/>
      <c r="CW392" s="228"/>
      <c r="CX392" s="228"/>
      <c r="CY392" s="228"/>
      <c r="CZ392" s="228"/>
      <c r="DA392" s="228"/>
      <c r="DB392" s="228"/>
    </row>
    <row r="393" ht="12.0" customHeight="1">
      <c r="A393" s="228"/>
      <c r="B393" s="228"/>
      <c r="C393" s="228"/>
      <c r="D393" s="228"/>
      <c r="E393" s="228"/>
      <c r="F393" s="228"/>
      <c r="G393" s="228"/>
      <c r="H393" s="228"/>
      <c r="I393" s="228"/>
      <c r="J393" s="228"/>
      <c r="K393" s="228"/>
      <c r="L393" s="228"/>
      <c r="M393" s="228"/>
      <c r="N393" s="228"/>
      <c r="O393" s="228"/>
      <c r="P393" s="228"/>
      <c r="Q393" s="228"/>
      <c r="R393" s="228"/>
      <c r="S393" s="228"/>
      <c r="T393" s="228"/>
      <c r="U393" s="228"/>
      <c r="V393" s="228"/>
      <c r="W393" s="228"/>
      <c r="X393" s="228"/>
      <c r="Y393" s="228"/>
      <c r="Z393" s="228"/>
      <c r="AA393" s="228"/>
      <c r="AB393" s="228"/>
      <c r="AC393" s="228"/>
      <c r="AD393" s="228"/>
      <c r="AE393" s="228"/>
      <c r="AF393" s="228"/>
      <c r="AG393" s="228"/>
      <c r="AH393" s="228"/>
      <c r="AI393" s="228"/>
      <c r="AJ393" s="228"/>
      <c r="AK393" s="228"/>
      <c r="AL393" s="228"/>
      <c r="AM393" s="228"/>
      <c r="AN393" s="228"/>
      <c r="AO393" s="228"/>
      <c r="AP393" s="228"/>
      <c r="AQ393" s="228"/>
      <c r="AR393" s="228"/>
      <c r="AS393" s="228"/>
      <c r="AT393" s="228"/>
      <c r="AU393" s="228"/>
      <c r="AV393" s="228"/>
      <c r="AW393" s="228"/>
      <c r="AX393" s="228"/>
      <c r="AY393" s="228"/>
      <c r="AZ393" s="228"/>
      <c r="BA393" s="228"/>
      <c r="BB393" s="228"/>
      <c r="BC393" s="228"/>
      <c r="BD393" s="228"/>
      <c r="BE393" s="228"/>
      <c r="BF393" s="228"/>
      <c r="BG393" s="228"/>
      <c r="BH393" s="228"/>
      <c r="BI393" s="228"/>
      <c r="BJ393" s="228"/>
      <c r="BK393" s="228"/>
      <c r="BL393" s="228"/>
      <c r="BM393" s="228"/>
      <c r="BN393" s="228"/>
      <c r="BO393" s="228"/>
      <c r="BP393" s="228"/>
      <c r="BQ393" s="228"/>
      <c r="BR393" s="228"/>
      <c r="BS393" s="228"/>
      <c r="BT393" s="228"/>
      <c r="BU393" s="228"/>
      <c r="BV393" s="228"/>
      <c r="BW393" s="228"/>
      <c r="BX393" s="228"/>
      <c r="BY393" s="228"/>
      <c r="BZ393" s="228"/>
      <c r="CA393" s="228"/>
      <c r="CB393" s="228"/>
      <c r="CC393" s="228"/>
      <c r="CD393" s="228"/>
      <c r="CE393" s="228"/>
      <c r="CF393" s="228"/>
      <c r="CG393" s="228"/>
      <c r="CH393" s="228"/>
      <c r="CI393" s="228"/>
      <c r="CJ393" s="228"/>
      <c r="CK393" s="228"/>
      <c r="CL393" s="228"/>
      <c r="CM393" s="228"/>
      <c r="CN393" s="228"/>
      <c r="CO393" s="228"/>
      <c r="CP393" s="228"/>
      <c r="CQ393" s="228"/>
      <c r="CR393" s="228"/>
      <c r="CS393" s="228"/>
      <c r="CT393" s="228"/>
      <c r="CU393" s="228"/>
      <c r="CV393" s="228"/>
      <c r="CW393" s="228"/>
      <c r="CX393" s="228"/>
      <c r="CY393" s="228"/>
      <c r="CZ393" s="228"/>
      <c r="DA393" s="228"/>
      <c r="DB393" s="228"/>
    </row>
    <row r="394" ht="12.0" customHeight="1">
      <c r="A394" s="228"/>
      <c r="B394" s="228"/>
      <c r="C394" s="228"/>
      <c r="D394" s="228"/>
      <c r="E394" s="228"/>
      <c r="F394" s="228"/>
      <c r="G394" s="228"/>
      <c r="H394" s="228"/>
      <c r="I394" s="228"/>
      <c r="J394" s="228"/>
      <c r="K394" s="228"/>
      <c r="L394" s="228"/>
      <c r="M394" s="228"/>
      <c r="N394" s="228"/>
      <c r="O394" s="228"/>
      <c r="P394" s="228"/>
      <c r="Q394" s="228"/>
      <c r="R394" s="228"/>
      <c r="S394" s="228"/>
      <c r="T394" s="228"/>
      <c r="U394" s="228"/>
      <c r="V394" s="228"/>
      <c r="W394" s="228"/>
      <c r="X394" s="228"/>
      <c r="Y394" s="228"/>
      <c r="Z394" s="228"/>
      <c r="AA394" s="228"/>
      <c r="AB394" s="228"/>
      <c r="AC394" s="228"/>
      <c r="AD394" s="228"/>
      <c r="AE394" s="228"/>
      <c r="AF394" s="228"/>
      <c r="AG394" s="228"/>
      <c r="AH394" s="228"/>
      <c r="AI394" s="228"/>
      <c r="AJ394" s="228"/>
      <c r="AK394" s="228"/>
      <c r="AL394" s="228"/>
      <c r="AM394" s="228"/>
      <c r="AN394" s="228"/>
      <c r="AO394" s="228"/>
      <c r="AP394" s="228"/>
      <c r="AQ394" s="228"/>
      <c r="AR394" s="228"/>
      <c r="AS394" s="228"/>
      <c r="AT394" s="228"/>
      <c r="AU394" s="228"/>
      <c r="AV394" s="228"/>
      <c r="AW394" s="228"/>
      <c r="AX394" s="228"/>
      <c r="AY394" s="228"/>
      <c r="AZ394" s="228"/>
      <c r="BA394" s="228"/>
      <c r="BB394" s="228"/>
      <c r="BC394" s="228"/>
      <c r="BD394" s="228"/>
      <c r="BE394" s="228"/>
      <c r="BF394" s="228"/>
      <c r="BG394" s="228"/>
      <c r="BH394" s="228"/>
      <c r="BI394" s="228"/>
      <c r="BJ394" s="228"/>
      <c r="BK394" s="228"/>
      <c r="BL394" s="228"/>
      <c r="BM394" s="228"/>
      <c r="BN394" s="228"/>
      <c r="BO394" s="228"/>
      <c r="BP394" s="228"/>
      <c r="BQ394" s="228"/>
      <c r="BR394" s="228"/>
      <c r="BS394" s="228"/>
      <c r="BT394" s="228"/>
      <c r="BU394" s="228"/>
      <c r="BV394" s="228"/>
      <c r="BW394" s="228"/>
      <c r="BX394" s="228"/>
      <c r="BY394" s="228"/>
      <c r="BZ394" s="228"/>
      <c r="CA394" s="228"/>
      <c r="CB394" s="228"/>
      <c r="CC394" s="228"/>
      <c r="CD394" s="228"/>
      <c r="CE394" s="228"/>
      <c r="CF394" s="228"/>
      <c r="CG394" s="228"/>
      <c r="CH394" s="228"/>
      <c r="CI394" s="228"/>
      <c r="CJ394" s="228"/>
      <c r="CK394" s="228"/>
      <c r="CL394" s="228"/>
      <c r="CM394" s="228"/>
      <c r="CN394" s="228"/>
      <c r="CO394" s="228"/>
      <c r="CP394" s="228"/>
      <c r="CQ394" s="228"/>
      <c r="CR394" s="228"/>
      <c r="CS394" s="228"/>
      <c r="CT394" s="228"/>
      <c r="CU394" s="228"/>
      <c r="CV394" s="228"/>
      <c r="CW394" s="228"/>
      <c r="CX394" s="228"/>
      <c r="CY394" s="228"/>
      <c r="CZ394" s="228"/>
      <c r="DA394" s="228"/>
      <c r="DB394" s="228"/>
    </row>
    <row r="395" ht="12.0" customHeight="1">
      <c r="A395" s="228"/>
      <c r="B395" s="228"/>
      <c r="C395" s="228"/>
      <c r="D395" s="228"/>
      <c r="E395" s="228"/>
      <c r="F395" s="228"/>
      <c r="G395" s="228"/>
      <c r="H395" s="228"/>
      <c r="I395" s="228"/>
      <c r="J395" s="228"/>
      <c r="K395" s="228"/>
      <c r="L395" s="228"/>
      <c r="M395" s="228"/>
      <c r="N395" s="228"/>
      <c r="O395" s="228"/>
      <c r="P395" s="228"/>
      <c r="Q395" s="228"/>
      <c r="R395" s="228"/>
      <c r="S395" s="228"/>
      <c r="T395" s="228"/>
      <c r="U395" s="228"/>
      <c r="V395" s="228"/>
      <c r="W395" s="228"/>
      <c r="X395" s="228"/>
      <c r="Y395" s="228"/>
      <c r="Z395" s="228"/>
      <c r="AA395" s="228"/>
      <c r="AB395" s="228"/>
      <c r="AC395" s="228"/>
      <c r="AD395" s="228"/>
      <c r="AE395" s="228"/>
      <c r="AF395" s="228"/>
      <c r="AG395" s="228"/>
      <c r="AH395" s="228"/>
      <c r="AI395" s="228"/>
      <c r="AJ395" s="228"/>
      <c r="AK395" s="228"/>
      <c r="AL395" s="228"/>
      <c r="AM395" s="228"/>
      <c r="AN395" s="228"/>
      <c r="AO395" s="228"/>
      <c r="AP395" s="228"/>
      <c r="AQ395" s="228"/>
      <c r="AR395" s="228"/>
      <c r="AS395" s="228"/>
      <c r="AT395" s="228"/>
      <c r="AU395" s="228"/>
      <c r="AV395" s="228"/>
      <c r="AW395" s="228"/>
      <c r="AX395" s="228"/>
      <c r="AY395" s="228"/>
      <c r="AZ395" s="228"/>
      <c r="BA395" s="228"/>
      <c r="BB395" s="228"/>
      <c r="BC395" s="228"/>
      <c r="BD395" s="228"/>
      <c r="BE395" s="228"/>
      <c r="BF395" s="228"/>
      <c r="BG395" s="228"/>
      <c r="BH395" s="228"/>
      <c r="BI395" s="228"/>
      <c r="BJ395" s="228"/>
      <c r="BK395" s="228"/>
      <c r="BL395" s="228"/>
      <c r="BM395" s="228"/>
      <c r="BN395" s="228"/>
      <c r="BO395" s="228"/>
      <c r="BP395" s="228"/>
      <c r="BQ395" s="228"/>
      <c r="BR395" s="228"/>
      <c r="BS395" s="228"/>
      <c r="BT395" s="228"/>
      <c r="BU395" s="228"/>
      <c r="BV395" s="228"/>
      <c r="BW395" s="228"/>
      <c r="BX395" s="228"/>
      <c r="BY395" s="228"/>
      <c r="BZ395" s="228"/>
      <c r="CA395" s="228"/>
      <c r="CB395" s="228"/>
      <c r="CC395" s="228"/>
      <c r="CD395" s="228"/>
      <c r="CE395" s="228"/>
      <c r="CF395" s="228"/>
      <c r="CG395" s="228"/>
      <c r="CH395" s="228"/>
      <c r="CI395" s="228"/>
      <c r="CJ395" s="228"/>
      <c r="CK395" s="228"/>
      <c r="CL395" s="228"/>
      <c r="CM395" s="228"/>
      <c r="CN395" s="228"/>
      <c r="CO395" s="228"/>
      <c r="CP395" s="228"/>
      <c r="CQ395" s="228"/>
      <c r="CR395" s="228"/>
      <c r="CS395" s="228"/>
      <c r="CT395" s="228"/>
      <c r="CU395" s="228"/>
      <c r="CV395" s="228"/>
      <c r="CW395" s="228"/>
      <c r="CX395" s="228"/>
      <c r="CY395" s="228"/>
      <c r="CZ395" s="228"/>
      <c r="DA395" s="228"/>
      <c r="DB395" s="228"/>
    </row>
    <row r="396" ht="12.0" customHeight="1">
      <c r="A396" s="228"/>
      <c r="B396" s="228"/>
      <c r="C396" s="228"/>
      <c r="D396" s="228"/>
      <c r="E396" s="228"/>
      <c r="F396" s="228"/>
      <c r="G396" s="228"/>
      <c r="H396" s="228"/>
      <c r="I396" s="228"/>
      <c r="J396" s="228"/>
      <c r="K396" s="228"/>
      <c r="L396" s="228"/>
      <c r="M396" s="228"/>
      <c r="N396" s="228"/>
      <c r="O396" s="228"/>
      <c r="P396" s="228"/>
      <c r="Q396" s="228"/>
      <c r="R396" s="228"/>
      <c r="S396" s="228"/>
      <c r="T396" s="228"/>
      <c r="U396" s="228"/>
      <c r="V396" s="228"/>
      <c r="W396" s="228"/>
      <c r="X396" s="228"/>
      <c r="Y396" s="228"/>
      <c r="Z396" s="228"/>
      <c r="AA396" s="228"/>
      <c r="AB396" s="228"/>
      <c r="AC396" s="228"/>
      <c r="AD396" s="228"/>
      <c r="AE396" s="228"/>
      <c r="AF396" s="228"/>
      <c r="AG396" s="228"/>
      <c r="AH396" s="228"/>
      <c r="AI396" s="228"/>
      <c r="AJ396" s="228"/>
      <c r="AK396" s="228"/>
      <c r="AL396" s="228"/>
      <c r="AM396" s="228"/>
      <c r="AN396" s="228"/>
      <c r="AO396" s="228"/>
      <c r="AP396" s="228"/>
      <c r="AQ396" s="228"/>
      <c r="AR396" s="228"/>
      <c r="AS396" s="228"/>
      <c r="AT396" s="228"/>
      <c r="AU396" s="228"/>
      <c r="AV396" s="228"/>
      <c r="AW396" s="228"/>
      <c r="AX396" s="228"/>
      <c r="AY396" s="228"/>
      <c r="AZ396" s="228"/>
      <c r="BA396" s="228"/>
      <c r="BB396" s="228"/>
      <c r="BC396" s="228"/>
      <c r="BD396" s="228"/>
      <c r="BE396" s="228"/>
      <c r="BF396" s="228"/>
      <c r="BG396" s="228"/>
      <c r="BH396" s="228"/>
      <c r="BI396" s="228"/>
      <c r="BJ396" s="228"/>
      <c r="BK396" s="228"/>
      <c r="BL396" s="228"/>
      <c r="BM396" s="228"/>
      <c r="BN396" s="228"/>
      <c r="BO396" s="228"/>
      <c r="BP396" s="228"/>
      <c r="BQ396" s="228"/>
      <c r="BR396" s="228"/>
      <c r="BS396" s="228"/>
      <c r="BT396" s="228"/>
      <c r="BU396" s="228"/>
      <c r="BV396" s="228"/>
      <c r="BW396" s="228"/>
      <c r="BX396" s="228"/>
      <c r="BY396" s="228"/>
      <c r="BZ396" s="228"/>
      <c r="CA396" s="228"/>
      <c r="CB396" s="228"/>
      <c r="CC396" s="228"/>
      <c r="CD396" s="228"/>
      <c r="CE396" s="228"/>
      <c r="CF396" s="228"/>
      <c r="CG396" s="228"/>
      <c r="CH396" s="228"/>
      <c r="CI396" s="228"/>
      <c r="CJ396" s="228"/>
      <c r="CK396" s="228"/>
      <c r="CL396" s="228"/>
      <c r="CM396" s="228"/>
      <c r="CN396" s="228"/>
      <c r="CO396" s="228"/>
      <c r="CP396" s="228"/>
      <c r="CQ396" s="228"/>
      <c r="CR396" s="228"/>
      <c r="CS396" s="228"/>
      <c r="CT396" s="228"/>
      <c r="CU396" s="228"/>
      <c r="CV396" s="228"/>
      <c r="CW396" s="228"/>
      <c r="CX396" s="228"/>
      <c r="CY396" s="228"/>
      <c r="CZ396" s="228"/>
      <c r="DA396" s="228"/>
      <c r="DB396" s="228"/>
    </row>
    <row r="397" ht="12.0" customHeight="1">
      <c r="A397" s="228"/>
      <c r="B397" s="228"/>
      <c r="C397" s="228"/>
      <c r="D397" s="228"/>
      <c r="E397" s="228"/>
      <c r="F397" s="228"/>
      <c r="G397" s="228"/>
      <c r="H397" s="228"/>
      <c r="I397" s="228"/>
      <c r="J397" s="228"/>
      <c r="K397" s="228"/>
      <c r="L397" s="228"/>
      <c r="M397" s="228"/>
      <c r="N397" s="228"/>
      <c r="O397" s="228"/>
      <c r="P397" s="228"/>
      <c r="Q397" s="228"/>
      <c r="R397" s="228"/>
      <c r="S397" s="228"/>
      <c r="T397" s="228"/>
      <c r="U397" s="228"/>
      <c r="V397" s="228"/>
      <c r="W397" s="228"/>
      <c r="X397" s="228"/>
      <c r="Y397" s="228"/>
      <c r="Z397" s="228"/>
      <c r="AA397" s="228"/>
      <c r="AB397" s="228"/>
      <c r="AC397" s="228"/>
      <c r="AD397" s="228"/>
      <c r="AE397" s="228"/>
      <c r="AF397" s="228"/>
      <c r="AG397" s="228"/>
      <c r="AH397" s="228"/>
      <c r="AI397" s="228"/>
      <c r="AJ397" s="228"/>
      <c r="AK397" s="228"/>
      <c r="AL397" s="228"/>
      <c r="AM397" s="228"/>
      <c r="AN397" s="228"/>
      <c r="AO397" s="228"/>
      <c r="AP397" s="228"/>
      <c r="AQ397" s="228"/>
      <c r="AR397" s="228"/>
      <c r="AS397" s="228"/>
      <c r="AT397" s="228"/>
      <c r="AU397" s="228"/>
      <c r="AV397" s="228"/>
      <c r="AW397" s="228"/>
      <c r="AX397" s="228"/>
      <c r="AY397" s="228"/>
      <c r="AZ397" s="228"/>
      <c r="BA397" s="228"/>
      <c r="BB397" s="228"/>
      <c r="BC397" s="228"/>
      <c r="BD397" s="228"/>
      <c r="BE397" s="228"/>
      <c r="BF397" s="228"/>
      <c r="BG397" s="228"/>
      <c r="BH397" s="228"/>
      <c r="BI397" s="228"/>
      <c r="BJ397" s="228"/>
      <c r="BK397" s="228"/>
      <c r="BL397" s="228"/>
      <c r="BM397" s="228"/>
      <c r="BN397" s="228"/>
      <c r="BO397" s="228"/>
      <c r="BP397" s="228"/>
      <c r="BQ397" s="228"/>
      <c r="BR397" s="228"/>
      <c r="BS397" s="228"/>
      <c r="BT397" s="228"/>
      <c r="BU397" s="228"/>
      <c r="BV397" s="228"/>
      <c r="BW397" s="228"/>
      <c r="BX397" s="228"/>
      <c r="BY397" s="228"/>
      <c r="BZ397" s="228"/>
      <c r="CA397" s="228"/>
      <c r="CB397" s="228"/>
      <c r="CC397" s="228"/>
      <c r="CD397" s="228"/>
      <c r="CE397" s="228"/>
      <c r="CF397" s="228"/>
      <c r="CG397" s="228"/>
      <c r="CH397" s="228"/>
      <c r="CI397" s="228"/>
      <c r="CJ397" s="228"/>
      <c r="CK397" s="228"/>
      <c r="CL397" s="228"/>
      <c r="CM397" s="228"/>
      <c r="CN397" s="228"/>
      <c r="CO397" s="228"/>
      <c r="CP397" s="228"/>
      <c r="CQ397" s="228"/>
      <c r="CR397" s="228"/>
      <c r="CS397" s="228"/>
      <c r="CT397" s="228"/>
      <c r="CU397" s="228"/>
      <c r="CV397" s="228"/>
      <c r="CW397" s="228"/>
      <c r="CX397" s="228"/>
      <c r="CY397" s="228"/>
      <c r="CZ397" s="228"/>
      <c r="DA397" s="228"/>
      <c r="DB397" s="228"/>
    </row>
    <row r="398" ht="12.0" customHeight="1">
      <c r="A398" s="228"/>
      <c r="B398" s="228"/>
      <c r="C398" s="228"/>
      <c r="D398" s="228"/>
      <c r="E398" s="228"/>
      <c r="F398" s="228"/>
      <c r="G398" s="228"/>
      <c r="H398" s="228"/>
      <c r="I398" s="228"/>
      <c r="J398" s="228"/>
      <c r="K398" s="228"/>
      <c r="L398" s="228"/>
      <c r="M398" s="228"/>
      <c r="N398" s="228"/>
      <c r="O398" s="228"/>
      <c r="P398" s="228"/>
      <c r="Q398" s="228"/>
      <c r="R398" s="228"/>
      <c r="S398" s="228"/>
      <c r="T398" s="228"/>
      <c r="U398" s="228"/>
      <c r="V398" s="228"/>
      <c r="W398" s="228"/>
      <c r="X398" s="228"/>
      <c r="Y398" s="228"/>
      <c r="Z398" s="228"/>
      <c r="AA398" s="228"/>
      <c r="AB398" s="228"/>
      <c r="AC398" s="228"/>
      <c r="AD398" s="228"/>
      <c r="AE398" s="228"/>
      <c r="AF398" s="228"/>
      <c r="AG398" s="228"/>
      <c r="AH398" s="228"/>
      <c r="AI398" s="228"/>
      <c r="AJ398" s="228"/>
      <c r="AK398" s="228"/>
      <c r="AL398" s="228"/>
      <c r="AM398" s="228"/>
      <c r="AN398" s="228"/>
      <c r="AO398" s="228"/>
      <c r="AP398" s="228"/>
      <c r="AQ398" s="228"/>
      <c r="AR398" s="228"/>
      <c r="AS398" s="228"/>
      <c r="AT398" s="228"/>
      <c r="AU398" s="228"/>
      <c r="AV398" s="228"/>
      <c r="AW398" s="228"/>
      <c r="AX398" s="228"/>
      <c r="AY398" s="228"/>
      <c r="AZ398" s="228"/>
      <c r="BA398" s="228"/>
      <c r="BB398" s="228"/>
      <c r="BC398" s="228"/>
      <c r="BD398" s="228"/>
      <c r="BE398" s="228"/>
      <c r="BF398" s="228"/>
      <c r="BG398" s="228"/>
      <c r="BH398" s="228"/>
      <c r="BI398" s="228"/>
      <c r="BJ398" s="228"/>
      <c r="BK398" s="228"/>
      <c r="BL398" s="228"/>
      <c r="BM398" s="228"/>
      <c r="BN398" s="228"/>
      <c r="BO398" s="228"/>
      <c r="BP398" s="228"/>
      <c r="BQ398" s="228"/>
      <c r="BR398" s="228"/>
      <c r="BS398" s="228"/>
      <c r="BT398" s="228"/>
      <c r="BU398" s="228"/>
      <c r="BV398" s="228"/>
      <c r="BW398" s="228"/>
      <c r="BX398" s="228"/>
      <c r="BY398" s="228"/>
      <c r="BZ398" s="228"/>
      <c r="CA398" s="228"/>
      <c r="CB398" s="228"/>
      <c r="CC398" s="228"/>
      <c r="CD398" s="228"/>
      <c r="CE398" s="228"/>
      <c r="CF398" s="228"/>
      <c r="CG398" s="228"/>
      <c r="CH398" s="228"/>
      <c r="CI398" s="228"/>
      <c r="CJ398" s="228"/>
      <c r="CK398" s="228"/>
      <c r="CL398" s="228"/>
      <c r="CM398" s="228"/>
      <c r="CN398" s="228"/>
      <c r="CO398" s="228"/>
      <c r="CP398" s="228"/>
      <c r="CQ398" s="228"/>
      <c r="CR398" s="228"/>
      <c r="CS398" s="228"/>
      <c r="CT398" s="228"/>
      <c r="CU398" s="228"/>
      <c r="CV398" s="228"/>
      <c r="CW398" s="228"/>
      <c r="CX398" s="228"/>
      <c r="CY398" s="228"/>
      <c r="CZ398" s="228"/>
      <c r="DA398" s="228"/>
      <c r="DB398" s="228"/>
    </row>
    <row r="399" ht="12.0" customHeight="1">
      <c r="A399" s="228"/>
      <c r="B399" s="228"/>
      <c r="C399" s="228"/>
      <c r="D399" s="228"/>
      <c r="E399" s="228"/>
      <c r="F399" s="228"/>
      <c r="G399" s="228"/>
      <c r="H399" s="228"/>
      <c r="I399" s="228"/>
      <c r="J399" s="228"/>
      <c r="K399" s="228"/>
      <c r="L399" s="228"/>
      <c r="M399" s="228"/>
      <c r="N399" s="228"/>
      <c r="O399" s="228"/>
      <c r="P399" s="228"/>
      <c r="Q399" s="228"/>
      <c r="R399" s="228"/>
      <c r="S399" s="228"/>
      <c r="T399" s="228"/>
      <c r="U399" s="228"/>
      <c r="V399" s="228"/>
      <c r="W399" s="228"/>
      <c r="X399" s="228"/>
      <c r="Y399" s="228"/>
      <c r="Z399" s="228"/>
      <c r="AA399" s="228"/>
      <c r="AB399" s="228"/>
      <c r="AC399" s="228"/>
      <c r="AD399" s="228"/>
      <c r="AE399" s="228"/>
      <c r="AF399" s="228"/>
      <c r="AG399" s="228"/>
      <c r="AH399" s="228"/>
      <c r="AI399" s="228"/>
      <c r="AJ399" s="228"/>
      <c r="AK399" s="228"/>
      <c r="AL399" s="228"/>
      <c r="AM399" s="228"/>
      <c r="AN399" s="228"/>
      <c r="AO399" s="228"/>
      <c r="AP399" s="228"/>
      <c r="AQ399" s="228"/>
      <c r="AR399" s="228"/>
      <c r="AS399" s="228"/>
      <c r="AT399" s="228"/>
      <c r="AU399" s="228"/>
      <c r="AV399" s="228"/>
      <c r="AW399" s="228"/>
      <c r="AX399" s="228"/>
      <c r="AY399" s="228"/>
      <c r="AZ399" s="228"/>
      <c r="BA399" s="228"/>
      <c r="BB399" s="228"/>
      <c r="BC399" s="228"/>
      <c r="BD399" s="228"/>
      <c r="BE399" s="228"/>
      <c r="BF399" s="228"/>
      <c r="BG399" s="228"/>
      <c r="BH399" s="228"/>
      <c r="BI399" s="228"/>
      <c r="BJ399" s="228"/>
      <c r="BK399" s="228"/>
      <c r="BL399" s="228"/>
      <c r="BM399" s="228"/>
      <c r="BN399" s="228"/>
      <c r="BO399" s="228"/>
      <c r="BP399" s="228"/>
      <c r="BQ399" s="228"/>
      <c r="BR399" s="228"/>
      <c r="BS399" s="228"/>
      <c r="BT399" s="228"/>
      <c r="BU399" s="228"/>
      <c r="BV399" s="228"/>
      <c r="BW399" s="228"/>
      <c r="BX399" s="228"/>
      <c r="BY399" s="228"/>
      <c r="BZ399" s="228"/>
      <c r="CA399" s="228"/>
      <c r="CB399" s="228"/>
      <c r="CC399" s="228"/>
      <c r="CD399" s="228"/>
      <c r="CE399" s="228"/>
      <c r="CF399" s="228"/>
      <c r="CG399" s="228"/>
      <c r="CH399" s="228"/>
      <c r="CI399" s="228"/>
      <c r="CJ399" s="228"/>
      <c r="CK399" s="228"/>
      <c r="CL399" s="228"/>
      <c r="CM399" s="228"/>
      <c r="CN399" s="228"/>
      <c r="CO399" s="228"/>
      <c r="CP399" s="228"/>
      <c r="CQ399" s="228"/>
      <c r="CR399" s="228"/>
      <c r="CS399" s="228"/>
      <c r="CT399" s="228"/>
      <c r="CU399" s="228"/>
      <c r="CV399" s="228"/>
      <c r="CW399" s="228"/>
      <c r="CX399" s="228"/>
      <c r="CY399" s="228"/>
      <c r="CZ399" s="228"/>
      <c r="DA399" s="228"/>
      <c r="DB399" s="228"/>
    </row>
    <row r="400" ht="12.0" customHeight="1">
      <c r="A400" s="228"/>
      <c r="B400" s="228"/>
      <c r="C400" s="228"/>
      <c r="D400" s="228"/>
      <c r="E400" s="228"/>
      <c r="F400" s="228"/>
      <c r="G400" s="228"/>
      <c r="H400" s="228"/>
      <c r="I400" s="228"/>
      <c r="J400" s="228"/>
      <c r="K400" s="228"/>
      <c r="L400" s="228"/>
      <c r="M400" s="228"/>
      <c r="N400" s="228"/>
      <c r="O400" s="228"/>
      <c r="P400" s="228"/>
      <c r="Q400" s="228"/>
      <c r="R400" s="228"/>
      <c r="S400" s="228"/>
      <c r="T400" s="228"/>
      <c r="U400" s="228"/>
      <c r="V400" s="228"/>
      <c r="W400" s="228"/>
      <c r="X400" s="228"/>
      <c r="Y400" s="228"/>
      <c r="Z400" s="228"/>
      <c r="AA400" s="228"/>
      <c r="AB400" s="228"/>
      <c r="AC400" s="228"/>
      <c r="AD400" s="228"/>
      <c r="AE400" s="228"/>
      <c r="AF400" s="228"/>
      <c r="AG400" s="228"/>
      <c r="AH400" s="228"/>
      <c r="AI400" s="228"/>
      <c r="AJ400" s="228"/>
      <c r="AK400" s="228"/>
      <c r="AL400" s="228"/>
      <c r="AM400" s="228"/>
      <c r="AN400" s="228"/>
      <c r="AO400" s="228"/>
      <c r="AP400" s="228"/>
      <c r="AQ400" s="228"/>
      <c r="AR400" s="228"/>
      <c r="AS400" s="228"/>
      <c r="AT400" s="228"/>
      <c r="AU400" s="228"/>
      <c r="AV400" s="228"/>
      <c r="AW400" s="228"/>
      <c r="AX400" s="228"/>
      <c r="AY400" s="228"/>
      <c r="AZ400" s="228"/>
      <c r="BA400" s="228"/>
      <c r="BB400" s="228"/>
      <c r="BC400" s="228"/>
      <c r="BD400" s="228"/>
      <c r="BE400" s="228"/>
      <c r="BF400" s="228"/>
      <c r="BG400" s="228"/>
      <c r="BH400" s="228"/>
      <c r="BI400" s="228"/>
      <c r="BJ400" s="228"/>
      <c r="BK400" s="228"/>
      <c r="BL400" s="228"/>
      <c r="BM400" s="228"/>
      <c r="BN400" s="228"/>
      <c r="BO400" s="228"/>
      <c r="BP400" s="228"/>
      <c r="BQ400" s="228"/>
      <c r="BR400" s="228"/>
      <c r="BS400" s="228"/>
      <c r="BT400" s="228"/>
      <c r="BU400" s="228"/>
      <c r="BV400" s="228"/>
      <c r="BW400" s="228"/>
      <c r="BX400" s="228"/>
      <c r="BY400" s="228"/>
      <c r="BZ400" s="228"/>
      <c r="CA400" s="228"/>
      <c r="CB400" s="228"/>
      <c r="CC400" s="228"/>
      <c r="CD400" s="228"/>
      <c r="CE400" s="228"/>
      <c r="CF400" s="228"/>
      <c r="CG400" s="228"/>
      <c r="CH400" s="228"/>
      <c r="CI400" s="228"/>
      <c r="CJ400" s="228"/>
      <c r="CK400" s="228"/>
      <c r="CL400" s="228"/>
      <c r="CM400" s="228"/>
      <c r="CN400" s="228"/>
      <c r="CO400" s="228"/>
      <c r="CP400" s="228"/>
      <c r="CQ400" s="228"/>
      <c r="CR400" s="228"/>
      <c r="CS400" s="228"/>
      <c r="CT400" s="228"/>
      <c r="CU400" s="228"/>
      <c r="CV400" s="228"/>
      <c r="CW400" s="228"/>
      <c r="CX400" s="228"/>
      <c r="CY400" s="228"/>
      <c r="CZ400" s="228"/>
      <c r="DA400" s="228"/>
      <c r="DB400" s="228"/>
    </row>
    <row r="401" ht="12.0" customHeight="1">
      <c r="A401" s="228"/>
      <c r="B401" s="228"/>
      <c r="C401" s="228"/>
      <c r="D401" s="228"/>
      <c r="E401" s="228"/>
      <c r="F401" s="228"/>
      <c r="G401" s="228"/>
      <c r="H401" s="228"/>
      <c r="I401" s="228"/>
      <c r="J401" s="228"/>
      <c r="K401" s="228"/>
      <c r="L401" s="228"/>
      <c r="M401" s="228"/>
      <c r="N401" s="228"/>
      <c r="O401" s="228"/>
      <c r="P401" s="228"/>
      <c r="Q401" s="228"/>
      <c r="R401" s="228"/>
      <c r="S401" s="228"/>
      <c r="T401" s="228"/>
      <c r="U401" s="228"/>
      <c r="V401" s="228"/>
      <c r="W401" s="228"/>
      <c r="X401" s="228"/>
      <c r="Y401" s="228"/>
      <c r="Z401" s="228"/>
      <c r="AA401" s="228"/>
      <c r="AB401" s="228"/>
      <c r="AC401" s="228"/>
      <c r="AD401" s="228"/>
      <c r="AE401" s="228"/>
      <c r="AF401" s="228"/>
      <c r="AG401" s="228"/>
      <c r="AH401" s="228"/>
      <c r="AI401" s="228"/>
      <c r="AJ401" s="228"/>
      <c r="AK401" s="228"/>
      <c r="AL401" s="228"/>
      <c r="AM401" s="228"/>
      <c r="AN401" s="228"/>
      <c r="AO401" s="228"/>
      <c r="AP401" s="228"/>
      <c r="AQ401" s="228"/>
      <c r="AR401" s="228"/>
      <c r="AS401" s="228"/>
      <c r="AT401" s="228"/>
      <c r="AU401" s="228"/>
      <c r="AV401" s="228"/>
      <c r="AW401" s="228"/>
      <c r="AX401" s="228"/>
      <c r="AY401" s="228"/>
      <c r="AZ401" s="228"/>
      <c r="BA401" s="228"/>
      <c r="BB401" s="228"/>
      <c r="BC401" s="228"/>
      <c r="BD401" s="228"/>
      <c r="BE401" s="228"/>
      <c r="BF401" s="228"/>
      <c r="BG401" s="228"/>
      <c r="BH401" s="228"/>
      <c r="BI401" s="228"/>
      <c r="BJ401" s="228"/>
      <c r="BK401" s="228"/>
      <c r="BL401" s="228"/>
      <c r="BM401" s="228"/>
      <c r="BN401" s="228"/>
      <c r="BO401" s="228"/>
      <c r="BP401" s="228"/>
      <c r="BQ401" s="228"/>
      <c r="BR401" s="228"/>
      <c r="BS401" s="228"/>
      <c r="BT401" s="228"/>
      <c r="BU401" s="228"/>
      <c r="BV401" s="228"/>
      <c r="BW401" s="228"/>
      <c r="BX401" s="228"/>
      <c r="BY401" s="228"/>
      <c r="BZ401" s="228"/>
      <c r="CA401" s="228"/>
      <c r="CB401" s="228"/>
      <c r="CC401" s="228"/>
      <c r="CD401" s="228"/>
      <c r="CE401" s="228"/>
      <c r="CF401" s="228"/>
      <c r="CG401" s="228"/>
      <c r="CH401" s="228"/>
      <c r="CI401" s="228"/>
      <c r="CJ401" s="228"/>
      <c r="CK401" s="228"/>
      <c r="CL401" s="228"/>
      <c r="CM401" s="228"/>
      <c r="CN401" s="228"/>
      <c r="CO401" s="228"/>
      <c r="CP401" s="228"/>
      <c r="CQ401" s="228"/>
      <c r="CR401" s="228"/>
      <c r="CS401" s="228"/>
      <c r="CT401" s="228"/>
      <c r="CU401" s="228"/>
      <c r="CV401" s="228"/>
      <c r="CW401" s="228"/>
      <c r="CX401" s="228"/>
      <c r="CY401" s="228"/>
      <c r="CZ401" s="228"/>
      <c r="DA401" s="228"/>
      <c r="DB401" s="228"/>
    </row>
    <row r="402" ht="12.0" customHeight="1">
      <c r="A402" s="228"/>
      <c r="B402" s="228"/>
      <c r="C402" s="228"/>
      <c r="D402" s="228"/>
      <c r="E402" s="228"/>
      <c r="F402" s="228"/>
      <c r="G402" s="228"/>
      <c r="H402" s="228"/>
      <c r="I402" s="228"/>
      <c r="J402" s="228"/>
      <c r="K402" s="228"/>
      <c r="L402" s="228"/>
      <c r="M402" s="228"/>
      <c r="N402" s="228"/>
      <c r="O402" s="228"/>
      <c r="P402" s="228"/>
      <c r="Q402" s="228"/>
      <c r="R402" s="228"/>
      <c r="S402" s="228"/>
      <c r="T402" s="228"/>
      <c r="U402" s="228"/>
      <c r="V402" s="228"/>
      <c r="W402" s="228"/>
      <c r="X402" s="228"/>
      <c r="Y402" s="228"/>
      <c r="Z402" s="228"/>
      <c r="AA402" s="228"/>
      <c r="AB402" s="228"/>
      <c r="AC402" s="228"/>
      <c r="AD402" s="228"/>
      <c r="AE402" s="228"/>
      <c r="AF402" s="228"/>
      <c r="AG402" s="228"/>
      <c r="AH402" s="228"/>
      <c r="AI402" s="228"/>
      <c r="AJ402" s="228"/>
      <c r="AK402" s="228"/>
      <c r="AL402" s="228"/>
      <c r="AM402" s="228"/>
      <c r="AN402" s="228"/>
      <c r="AO402" s="228"/>
      <c r="AP402" s="228"/>
      <c r="AQ402" s="228"/>
      <c r="AR402" s="228"/>
      <c r="AS402" s="228"/>
      <c r="AT402" s="228"/>
      <c r="AU402" s="228"/>
      <c r="AV402" s="228"/>
      <c r="AW402" s="228"/>
      <c r="AX402" s="228"/>
      <c r="AY402" s="228"/>
      <c r="AZ402" s="228"/>
      <c r="BA402" s="228"/>
      <c r="BB402" s="228"/>
      <c r="BC402" s="228"/>
      <c r="BD402" s="228"/>
      <c r="BE402" s="228"/>
      <c r="BF402" s="228"/>
      <c r="BG402" s="228"/>
      <c r="BH402" s="228"/>
      <c r="BI402" s="228"/>
      <c r="BJ402" s="228"/>
      <c r="BK402" s="228"/>
      <c r="BL402" s="228"/>
      <c r="BM402" s="228"/>
      <c r="BN402" s="228"/>
      <c r="BO402" s="228"/>
      <c r="BP402" s="228"/>
      <c r="BQ402" s="228"/>
      <c r="BR402" s="228"/>
      <c r="BS402" s="228"/>
      <c r="BT402" s="228"/>
      <c r="BU402" s="228"/>
      <c r="BV402" s="228"/>
      <c r="BW402" s="228"/>
      <c r="BX402" s="228"/>
      <c r="BY402" s="228"/>
      <c r="BZ402" s="228"/>
      <c r="CA402" s="228"/>
      <c r="CB402" s="228"/>
      <c r="CC402" s="228"/>
      <c r="CD402" s="228"/>
      <c r="CE402" s="228"/>
      <c r="CF402" s="228"/>
      <c r="CG402" s="228"/>
      <c r="CH402" s="228"/>
      <c r="CI402" s="228"/>
      <c r="CJ402" s="228"/>
      <c r="CK402" s="228"/>
      <c r="CL402" s="228"/>
      <c r="CM402" s="228"/>
      <c r="CN402" s="228"/>
      <c r="CO402" s="228"/>
      <c r="CP402" s="228"/>
      <c r="CQ402" s="228"/>
      <c r="CR402" s="228"/>
      <c r="CS402" s="228"/>
      <c r="CT402" s="228"/>
      <c r="CU402" s="228"/>
      <c r="CV402" s="228"/>
      <c r="CW402" s="228"/>
      <c r="CX402" s="228"/>
      <c r="CY402" s="228"/>
      <c r="CZ402" s="228"/>
      <c r="DA402" s="228"/>
      <c r="DB402" s="228"/>
    </row>
    <row r="403" ht="12.0" customHeight="1">
      <c r="A403" s="228"/>
      <c r="B403" s="228"/>
      <c r="C403" s="228"/>
      <c r="D403" s="228"/>
      <c r="E403" s="228"/>
      <c r="F403" s="228"/>
      <c r="G403" s="228"/>
      <c r="H403" s="228"/>
      <c r="I403" s="228"/>
      <c r="J403" s="228"/>
      <c r="K403" s="228"/>
      <c r="L403" s="228"/>
      <c r="M403" s="228"/>
      <c r="N403" s="228"/>
      <c r="O403" s="228"/>
      <c r="P403" s="228"/>
      <c r="Q403" s="228"/>
      <c r="R403" s="228"/>
      <c r="S403" s="228"/>
      <c r="T403" s="228"/>
      <c r="U403" s="228"/>
      <c r="V403" s="228"/>
      <c r="W403" s="228"/>
      <c r="X403" s="228"/>
      <c r="Y403" s="228"/>
      <c r="Z403" s="228"/>
      <c r="AA403" s="228"/>
      <c r="AB403" s="228"/>
      <c r="AC403" s="228"/>
      <c r="AD403" s="228"/>
      <c r="AE403" s="228"/>
      <c r="AF403" s="228"/>
      <c r="AG403" s="228"/>
      <c r="AH403" s="228"/>
      <c r="AI403" s="228"/>
      <c r="AJ403" s="228"/>
      <c r="AK403" s="228"/>
      <c r="AL403" s="228"/>
      <c r="AM403" s="228"/>
      <c r="AN403" s="228"/>
      <c r="AO403" s="228"/>
      <c r="AP403" s="228"/>
      <c r="AQ403" s="228"/>
      <c r="AR403" s="228"/>
      <c r="AS403" s="228"/>
      <c r="AT403" s="228"/>
      <c r="AU403" s="228"/>
      <c r="AV403" s="228"/>
      <c r="AW403" s="228"/>
      <c r="AX403" s="228"/>
      <c r="AY403" s="228"/>
      <c r="AZ403" s="228"/>
      <c r="BA403" s="228"/>
      <c r="BB403" s="228"/>
      <c r="BC403" s="228"/>
      <c r="BD403" s="228"/>
      <c r="BE403" s="228"/>
      <c r="BF403" s="228"/>
      <c r="BG403" s="228"/>
      <c r="BH403" s="228"/>
      <c r="BI403" s="228"/>
      <c r="BJ403" s="228"/>
      <c r="BK403" s="228"/>
      <c r="BL403" s="228"/>
      <c r="BM403" s="228"/>
      <c r="BN403" s="228"/>
      <c r="BO403" s="228"/>
      <c r="BP403" s="228"/>
      <c r="BQ403" s="228"/>
      <c r="BR403" s="228"/>
      <c r="BS403" s="228"/>
      <c r="BT403" s="228"/>
      <c r="BU403" s="228"/>
      <c r="BV403" s="228"/>
      <c r="BW403" s="228"/>
      <c r="BX403" s="228"/>
      <c r="BY403" s="228"/>
      <c r="BZ403" s="228"/>
      <c r="CA403" s="228"/>
      <c r="CB403" s="228"/>
      <c r="CC403" s="228"/>
      <c r="CD403" s="228"/>
      <c r="CE403" s="228"/>
      <c r="CF403" s="228"/>
      <c r="CG403" s="228"/>
      <c r="CH403" s="228"/>
      <c r="CI403" s="228"/>
      <c r="CJ403" s="228"/>
      <c r="CK403" s="228"/>
      <c r="CL403" s="228"/>
      <c r="CM403" s="228"/>
      <c r="CN403" s="228"/>
      <c r="CO403" s="228"/>
      <c r="CP403" s="228"/>
      <c r="CQ403" s="228"/>
      <c r="CR403" s="228"/>
      <c r="CS403" s="228"/>
      <c r="CT403" s="228"/>
      <c r="CU403" s="228"/>
      <c r="CV403" s="228"/>
      <c r="CW403" s="228"/>
      <c r="CX403" s="228"/>
      <c r="CY403" s="228"/>
      <c r="CZ403" s="228"/>
      <c r="DA403" s="228"/>
      <c r="DB403" s="228"/>
    </row>
    <row r="404" ht="12.0" customHeight="1">
      <c r="A404" s="228"/>
      <c r="B404" s="228"/>
      <c r="C404" s="228"/>
      <c r="D404" s="228"/>
      <c r="E404" s="228"/>
      <c r="F404" s="228"/>
      <c r="G404" s="228"/>
      <c r="H404" s="228"/>
      <c r="I404" s="228"/>
      <c r="J404" s="228"/>
      <c r="K404" s="228"/>
      <c r="L404" s="228"/>
      <c r="M404" s="228"/>
      <c r="N404" s="228"/>
      <c r="O404" s="228"/>
      <c r="P404" s="228"/>
      <c r="Q404" s="228"/>
      <c r="R404" s="228"/>
      <c r="S404" s="228"/>
      <c r="T404" s="228"/>
      <c r="U404" s="228"/>
      <c r="V404" s="228"/>
      <c r="W404" s="228"/>
      <c r="X404" s="228"/>
      <c r="Y404" s="228"/>
      <c r="Z404" s="228"/>
      <c r="AA404" s="228"/>
      <c r="AB404" s="228"/>
      <c r="AC404" s="228"/>
      <c r="AD404" s="228"/>
      <c r="AE404" s="228"/>
      <c r="AF404" s="228"/>
      <c r="AG404" s="228"/>
      <c r="AH404" s="228"/>
      <c r="AI404" s="228"/>
      <c r="AJ404" s="228"/>
      <c r="AK404" s="228"/>
      <c r="AL404" s="228"/>
      <c r="AM404" s="228"/>
      <c r="AN404" s="228"/>
      <c r="AO404" s="228"/>
      <c r="AP404" s="228"/>
      <c r="AQ404" s="228"/>
      <c r="AR404" s="228"/>
      <c r="AS404" s="228"/>
      <c r="AT404" s="228"/>
      <c r="AU404" s="228"/>
      <c r="AV404" s="228"/>
      <c r="AW404" s="228"/>
      <c r="AX404" s="228"/>
      <c r="AY404" s="228"/>
      <c r="AZ404" s="228"/>
      <c r="BA404" s="228"/>
      <c r="BB404" s="228"/>
      <c r="BC404" s="228"/>
      <c r="BD404" s="228"/>
      <c r="BE404" s="228"/>
      <c r="BF404" s="228"/>
      <c r="BG404" s="228"/>
      <c r="BH404" s="228"/>
      <c r="BI404" s="228"/>
      <c r="BJ404" s="228"/>
      <c r="BK404" s="228"/>
      <c r="BL404" s="228"/>
      <c r="BM404" s="228"/>
      <c r="BN404" s="228"/>
      <c r="BO404" s="228"/>
      <c r="BP404" s="228"/>
      <c r="BQ404" s="228"/>
      <c r="BR404" s="228"/>
      <c r="BS404" s="228"/>
      <c r="BT404" s="228"/>
      <c r="BU404" s="228"/>
      <c r="BV404" s="228"/>
      <c r="BW404" s="228"/>
      <c r="BX404" s="228"/>
      <c r="BY404" s="228"/>
      <c r="BZ404" s="228"/>
      <c r="CA404" s="228"/>
      <c r="CB404" s="228"/>
      <c r="CC404" s="228"/>
      <c r="CD404" s="228"/>
      <c r="CE404" s="228"/>
      <c r="CF404" s="228"/>
      <c r="CG404" s="228"/>
      <c r="CH404" s="228"/>
      <c r="CI404" s="228"/>
      <c r="CJ404" s="228"/>
      <c r="CK404" s="228"/>
      <c r="CL404" s="228"/>
      <c r="CM404" s="228"/>
      <c r="CN404" s="228"/>
      <c r="CO404" s="228"/>
      <c r="CP404" s="228"/>
      <c r="CQ404" s="228"/>
      <c r="CR404" s="228"/>
      <c r="CS404" s="228"/>
      <c r="CT404" s="228"/>
      <c r="CU404" s="228"/>
      <c r="CV404" s="228"/>
      <c r="CW404" s="228"/>
      <c r="CX404" s="228"/>
      <c r="CY404" s="228"/>
      <c r="CZ404" s="228"/>
      <c r="DA404" s="228"/>
      <c r="DB404" s="228"/>
    </row>
    <row r="405" ht="12.0" customHeight="1">
      <c r="A405" s="228"/>
      <c r="B405" s="228"/>
      <c r="C405" s="228"/>
      <c r="D405" s="228"/>
      <c r="E405" s="228"/>
      <c r="F405" s="228"/>
      <c r="G405" s="228"/>
      <c r="H405" s="228"/>
      <c r="I405" s="228"/>
      <c r="J405" s="228"/>
      <c r="K405" s="228"/>
      <c r="L405" s="228"/>
      <c r="M405" s="228"/>
      <c r="N405" s="228"/>
      <c r="O405" s="228"/>
      <c r="P405" s="228"/>
      <c r="Q405" s="228"/>
      <c r="R405" s="228"/>
      <c r="S405" s="228"/>
      <c r="T405" s="228"/>
      <c r="U405" s="228"/>
      <c r="V405" s="228"/>
      <c r="W405" s="228"/>
      <c r="X405" s="228"/>
      <c r="Y405" s="228"/>
      <c r="Z405" s="228"/>
      <c r="AA405" s="228"/>
      <c r="AB405" s="228"/>
      <c r="AC405" s="228"/>
      <c r="AD405" s="228"/>
      <c r="AE405" s="228"/>
      <c r="AF405" s="228"/>
      <c r="AG405" s="228"/>
      <c r="AH405" s="228"/>
      <c r="AI405" s="228"/>
      <c r="AJ405" s="228"/>
      <c r="AK405" s="228"/>
      <c r="AL405" s="228"/>
      <c r="AM405" s="228"/>
      <c r="AN405" s="228"/>
      <c r="AO405" s="228"/>
      <c r="AP405" s="228"/>
      <c r="AQ405" s="228"/>
      <c r="AR405" s="228"/>
      <c r="AS405" s="228"/>
      <c r="AT405" s="228"/>
      <c r="AU405" s="228"/>
      <c r="AV405" s="228"/>
      <c r="AW405" s="228"/>
      <c r="AX405" s="228"/>
      <c r="AY405" s="228"/>
      <c r="AZ405" s="228"/>
      <c r="BA405" s="228"/>
      <c r="BB405" s="228"/>
      <c r="BC405" s="228"/>
      <c r="BD405" s="228"/>
      <c r="BE405" s="228"/>
      <c r="BF405" s="228"/>
      <c r="BG405" s="228"/>
      <c r="BH405" s="228"/>
      <c r="BI405" s="228"/>
      <c r="BJ405" s="228"/>
      <c r="BK405" s="228"/>
      <c r="BL405" s="228"/>
      <c r="BM405" s="228"/>
      <c r="BN405" s="228"/>
      <c r="BO405" s="228"/>
      <c r="BP405" s="228"/>
      <c r="BQ405" s="228"/>
      <c r="BR405" s="228"/>
      <c r="BS405" s="228"/>
      <c r="BT405" s="228"/>
      <c r="BU405" s="228"/>
      <c r="BV405" s="228"/>
      <c r="BW405" s="228"/>
      <c r="BX405" s="228"/>
      <c r="BY405" s="228"/>
      <c r="BZ405" s="228"/>
      <c r="CA405" s="228"/>
      <c r="CB405" s="228"/>
      <c r="CC405" s="228"/>
      <c r="CD405" s="228"/>
      <c r="CE405" s="228"/>
      <c r="CF405" s="228"/>
      <c r="CG405" s="228"/>
      <c r="CH405" s="228"/>
      <c r="CI405" s="228"/>
      <c r="CJ405" s="228"/>
      <c r="CK405" s="228"/>
      <c r="CL405" s="228"/>
      <c r="CM405" s="228"/>
      <c r="CN405" s="228"/>
      <c r="CO405" s="228"/>
      <c r="CP405" s="228"/>
      <c r="CQ405" s="228"/>
      <c r="CR405" s="228"/>
      <c r="CS405" s="228"/>
      <c r="CT405" s="228"/>
      <c r="CU405" s="228"/>
      <c r="CV405" s="228"/>
      <c r="CW405" s="228"/>
      <c r="CX405" s="228"/>
      <c r="CY405" s="228"/>
      <c r="CZ405" s="228"/>
      <c r="DA405" s="228"/>
      <c r="DB405" s="228"/>
    </row>
    <row r="406" ht="12.0" customHeight="1">
      <c r="A406" s="228"/>
      <c r="B406" s="228"/>
      <c r="C406" s="228"/>
      <c r="D406" s="228"/>
      <c r="E406" s="228"/>
      <c r="F406" s="228"/>
      <c r="G406" s="228"/>
      <c r="H406" s="228"/>
      <c r="I406" s="228"/>
      <c r="J406" s="228"/>
      <c r="K406" s="228"/>
      <c r="L406" s="228"/>
      <c r="M406" s="228"/>
      <c r="N406" s="228"/>
      <c r="O406" s="228"/>
      <c r="P406" s="228"/>
      <c r="Q406" s="228"/>
      <c r="R406" s="228"/>
      <c r="S406" s="228"/>
      <c r="T406" s="228"/>
      <c r="U406" s="228"/>
      <c r="V406" s="228"/>
      <c r="W406" s="228"/>
      <c r="X406" s="228"/>
      <c r="Y406" s="228"/>
      <c r="Z406" s="228"/>
      <c r="AA406" s="228"/>
      <c r="AB406" s="228"/>
      <c r="AC406" s="228"/>
      <c r="AD406" s="228"/>
      <c r="AE406" s="228"/>
      <c r="AF406" s="228"/>
      <c r="AG406" s="228"/>
      <c r="AH406" s="228"/>
      <c r="AI406" s="228"/>
      <c r="AJ406" s="228"/>
      <c r="AK406" s="228"/>
      <c r="AL406" s="228"/>
      <c r="AM406" s="228"/>
      <c r="AN406" s="228"/>
      <c r="AO406" s="228"/>
      <c r="AP406" s="228"/>
      <c r="AQ406" s="228"/>
      <c r="AR406" s="228"/>
      <c r="AS406" s="228"/>
      <c r="AT406" s="228"/>
      <c r="AU406" s="228"/>
      <c r="AV406" s="228"/>
      <c r="AW406" s="228"/>
      <c r="AX406" s="228"/>
      <c r="AY406" s="228"/>
      <c r="AZ406" s="228"/>
      <c r="BA406" s="228"/>
      <c r="BB406" s="228"/>
      <c r="BC406" s="228"/>
      <c r="BD406" s="228"/>
      <c r="BE406" s="228"/>
      <c r="BF406" s="228"/>
      <c r="BG406" s="228"/>
      <c r="BH406" s="228"/>
      <c r="BI406" s="228"/>
      <c r="BJ406" s="228"/>
      <c r="BK406" s="228"/>
      <c r="BL406" s="228"/>
      <c r="BM406" s="228"/>
      <c r="BN406" s="228"/>
      <c r="BO406" s="228"/>
      <c r="BP406" s="228"/>
      <c r="BQ406" s="228"/>
      <c r="BR406" s="228"/>
      <c r="BS406" s="228"/>
      <c r="BT406" s="228"/>
      <c r="BU406" s="228"/>
      <c r="BV406" s="228"/>
      <c r="BW406" s="228"/>
      <c r="BX406" s="228"/>
      <c r="BY406" s="228"/>
      <c r="BZ406" s="228"/>
      <c r="CA406" s="228"/>
      <c r="CB406" s="228"/>
      <c r="CC406" s="228"/>
      <c r="CD406" s="228"/>
      <c r="CE406" s="228"/>
      <c r="CF406" s="228"/>
      <c r="CG406" s="228"/>
      <c r="CH406" s="228"/>
      <c r="CI406" s="228"/>
      <c r="CJ406" s="228"/>
      <c r="CK406" s="228"/>
      <c r="CL406" s="228"/>
      <c r="CM406" s="228"/>
      <c r="CN406" s="228"/>
      <c r="CO406" s="228"/>
      <c r="CP406" s="228"/>
      <c r="CQ406" s="228"/>
      <c r="CR406" s="228"/>
      <c r="CS406" s="228"/>
      <c r="CT406" s="228"/>
      <c r="CU406" s="228"/>
      <c r="CV406" s="228"/>
      <c r="CW406" s="228"/>
      <c r="CX406" s="228"/>
      <c r="CY406" s="228"/>
      <c r="CZ406" s="228"/>
      <c r="DA406" s="228"/>
      <c r="DB406" s="228"/>
    </row>
    <row r="407" ht="12.0" customHeight="1">
      <c r="A407" s="228"/>
      <c r="B407" s="228"/>
      <c r="C407" s="228"/>
      <c r="D407" s="228"/>
      <c r="E407" s="228"/>
      <c r="F407" s="228"/>
      <c r="G407" s="228"/>
      <c r="H407" s="228"/>
      <c r="I407" s="228"/>
      <c r="J407" s="228"/>
      <c r="K407" s="228"/>
      <c r="L407" s="228"/>
      <c r="M407" s="228"/>
      <c r="N407" s="228"/>
      <c r="O407" s="228"/>
      <c r="P407" s="228"/>
      <c r="Q407" s="228"/>
      <c r="R407" s="228"/>
      <c r="S407" s="228"/>
      <c r="T407" s="228"/>
      <c r="U407" s="228"/>
      <c r="V407" s="228"/>
      <c r="W407" s="228"/>
      <c r="X407" s="228"/>
      <c r="Y407" s="228"/>
      <c r="Z407" s="228"/>
      <c r="AA407" s="228"/>
      <c r="AB407" s="228"/>
      <c r="AC407" s="228"/>
      <c r="AD407" s="228"/>
      <c r="AE407" s="228"/>
      <c r="AF407" s="228"/>
      <c r="AG407" s="228"/>
      <c r="AH407" s="228"/>
      <c r="AI407" s="228"/>
      <c r="AJ407" s="228"/>
      <c r="AK407" s="228"/>
      <c r="AL407" s="228"/>
      <c r="AM407" s="228"/>
      <c r="AN407" s="228"/>
      <c r="AO407" s="228"/>
      <c r="AP407" s="228"/>
      <c r="AQ407" s="228"/>
      <c r="AR407" s="228"/>
      <c r="AS407" s="228"/>
      <c r="AT407" s="228"/>
      <c r="AU407" s="228"/>
      <c r="AV407" s="228"/>
      <c r="AW407" s="228"/>
      <c r="AX407" s="228"/>
      <c r="AY407" s="228"/>
      <c r="AZ407" s="228"/>
      <c r="BA407" s="228"/>
      <c r="BB407" s="228"/>
      <c r="BC407" s="228"/>
      <c r="BD407" s="228"/>
      <c r="BE407" s="228"/>
      <c r="BF407" s="228"/>
      <c r="BG407" s="228"/>
      <c r="BH407" s="228"/>
      <c r="BI407" s="228"/>
      <c r="BJ407" s="228"/>
      <c r="BK407" s="228"/>
      <c r="BL407" s="228"/>
      <c r="BM407" s="228"/>
      <c r="BN407" s="228"/>
      <c r="BO407" s="228"/>
      <c r="BP407" s="228"/>
      <c r="BQ407" s="228"/>
      <c r="BR407" s="228"/>
      <c r="BS407" s="228"/>
      <c r="BT407" s="228"/>
      <c r="BU407" s="228"/>
      <c r="BV407" s="228"/>
      <c r="BW407" s="228"/>
      <c r="BX407" s="228"/>
      <c r="BY407" s="228"/>
      <c r="BZ407" s="228"/>
      <c r="CA407" s="228"/>
      <c r="CB407" s="228"/>
      <c r="CC407" s="228"/>
      <c r="CD407" s="228"/>
      <c r="CE407" s="228"/>
      <c r="CF407" s="228"/>
      <c r="CG407" s="228"/>
      <c r="CH407" s="228"/>
      <c r="CI407" s="228"/>
      <c r="CJ407" s="228"/>
      <c r="CK407" s="228"/>
      <c r="CL407" s="228"/>
      <c r="CM407" s="228"/>
      <c r="CN407" s="228"/>
      <c r="CO407" s="228"/>
      <c r="CP407" s="228"/>
      <c r="CQ407" s="228"/>
      <c r="CR407" s="228"/>
      <c r="CS407" s="228"/>
      <c r="CT407" s="228"/>
      <c r="CU407" s="228"/>
      <c r="CV407" s="228"/>
      <c r="CW407" s="228"/>
      <c r="CX407" s="228"/>
      <c r="CY407" s="228"/>
      <c r="CZ407" s="228"/>
      <c r="DA407" s="228"/>
      <c r="DB407" s="228"/>
    </row>
    <row r="408" ht="12.0" customHeight="1">
      <c r="A408" s="228"/>
      <c r="B408" s="228"/>
      <c r="C408" s="228"/>
      <c r="D408" s="228"/>
      <c r="E408" s="228"/>
      <c r="F408" s="228"/>
      <c r="G408" s="228"/>
      <c r="H408" s="228"/>
      <c r="I408" s="228"/>
      <c r="J408" s="228"/>
      <c r="K408" s="228"/>
      <c r="L408" s="228"/>
      <c r="M408" s="228"/>
      <c r="N408" s="228"/>
      <c r="O408" s="228"/>
      <c r="P408" s="228"/>
      <c r="Q408" s="228"/>
      <c r="R408" s="228"/>
      <c r="S408" s="228"/>
      <c r="T408" s="228"/>
      <c r="U408" s="228"/>
      <c r="V408" s="228"/>
      <c r="W408" s="228"/>
      <c r="X408" s="228"/>
      <c r="Y408" s="228"/>
      <c r="Z408" s="228"/>
      <c r="AA408" s="228"/>
      <c r="AB408" s="228"/>
      <c r="AC408" s="228"/>
      <c r="AD408" s="228"/>
      <c r="AE408" s="228"/>
      <c r="AF408" s="228"/>
      <c r="AG408" s="228"/>
      <c r="AH408" s="228"/>
      <c r="AI408" s="228"/>
      <c r="AJ408" s="228"/>
      <c r="AK408" s="228"/>
      <c r="AL408" s="228"/>
      <c r="AM408" s="228"/>
      <c r="AN408" s="228"/>
      <c r="AO408" s="228"/>
      <c r="AP408" s="228"/>
      <c r="AQ408" s="228"/>
      <c r="AR408" s="228"/>
      <c r="AS408" s="228"/>
      <c r="AT408" s="228"/>
      <c r="AU408" s="228"/>
      <c r="AV408" s="228"/>
      <c r="AW408" s="228"/>
      <c r="AX408" s="228"/>
      <c r="AY408" s="228"/>
      <c r="AZ408" s="228"/>
      <c r="BA408" s="228"/>
      <c r="BB408" s="228"/>
      <c r="BC408" s="228"/>
      <c r="BD408" s="228"/>
      <c r="BE408" s="228"/>
      <c r="BF408" s="228"/>
      <c r="BG408" s="228"/>
      <c r="BH408" s="228"/>
      <c r="BI408" s="228"/>
      <c r="BJ408" s="228"/>
      <c r="BK408" s="228"/>
      <c r="BL408" s="228"/>
      <c r="BM408" s="228"/>
      <c r="BN408" s="228"/>
      <c r="BO408" s="228"/>
      <c r="BP408" s="228"/>
      <c r="BQ408" s="228"/>
      <c r="BR408" s="228"/>
      <c r="BS408" s="228"/>
      <c r="BT408" s="228"/>
      <c r="BU408" s="228"/>
      <c r="BV408" s="228"/>
      <c r="BW408" s="228"/>
      <c r="BX408" s="228"/>
      <c r="BY408" s="228"/>
      <c r="BZ408" s="228"/>
      <c r="CA408" s="228"/>
      <c r="CB408" s="228"/>
      <c r="CC408" s="228"/>
      <c r="CD408" s="228"/>
      <c r="CE408" s="228"/>
      <c r="CF408" s="228"/>
      <c r="CG408" s="228"/>
      <c r="CH408" s="228"/>
      <c r="CI408" s="228"/>
      <c r="CJ408" s="228"/>
      <c r="CK408" s="228"/>
      <c r="CL408" s="228"/>
      <c r="CM408" s="228"/>
      <c r="CN408" s="228"/>
      <c r="CO408" s="228"/>
      <c r="CP408" s="228"/>
      <c r="CQ408" s="228"/>
      <c r="CR408" s="228"/>
      <c r="CS408" s="228"/>
      <c r="CT408" s="228"/>
      <c r="CU408" s="228"/>
      <c r="CV408" s="228"/>
      <c r="CW408" s="228"/>
      <c r="CX408" s="228"/>
      <c r="CY408" s="228"/>
      <c r="CZ408" s="228"/>
      <c r="DA408" s="228"/>
      <c r="DB408" s="228"/>
    </row>
    <row r="409" ht="12.0" customHeight="1">
      <c r="A409" s="228"/>
      <c r="B409" s="228"/>
      <c r="C409" s="228"/>
      <c r="D409" s="228"/>
      <c r="E409" s="228"/>
      <c r="F409" s="228"/>
      <c r="G409" s="228"/>
      <c r="H409" s="228"/>
      <c r="I409" s="228"/>
      <c r="J409" s="228"/>
      <c r="K409" s="228"/>
      <c r="L409" s="228"/>
      <c r="M409" s="228"/>
      <c r="N409" s="228"/>
      <c r="O409" s="228"/>
      <c r="P409" s="228"/>
      <c r="Q409" s="228"/>
      <c r="R409" s="228"/>
      <c r="S409" s="228"/>
      <c r="T409" s="228"/>
      <c r="U409" s="228"/>
      <c r="V409" s="228"/>
      <c r="W409" s="228"/>
      <c r="X409" s="228"/>
      <c r="Y409" s="228"/>
      <c r="Z409" s="228"/>
      <c r="AA409" s="228"/>
      <c r="AB409" s="228"/>
      <c r="AC409" s="228"/>
      <c r="AD409" s="228"/>
      <c r="AE409" s="228"/>
      <c r="AF409" s="228"/>
      <c r="AG409" s="228"/>
      <c r="AH409" s="228"/>
      <c r="AI409" s="228"/>
      <c r="AJ409" s="228"/>
      <c r="AK409" s="228"/>
      <c r="AL409" s="228"/>
      <c r="AM409" s="228"/>
      <c r="AN409" s="228"/>
      <c r="AO409" s="228"/>
      <c r="AP409" s="228"/>
      <c r="AQ409" s="228"/>
      <c r="AR409" s="228"/>
      <c r="AS409" s="228"/>
      <c r="AT409" s="228"/>
      <c r="AU409" s="228"/>
      <c r="AV409" s="228"/>
      <c r="AW409" s="228"/>
      <c r="AX409" s="228"/>
      <c r="AY409" s="228"/>
      <c r="AZ409" s="228"/>
      <c r="BA409" s="228"/>
      <c r="BB409" s="228"/>
      <c r="BC409" s="228"/>
      <c r="BD409" s="228"/>
      <c r="BE409" s="228"/>
      <c r="BF409" s="228"/>
      <c r="BG409" s="228"/>
      <c r="BH409" s="228"/>
      <c r="BI409" s="228"/>
      <c r="BJ409" s="228"/>
      <c r="BK409" s="228"/>
      <c r="BL409" s="228"/>
      <c r="BM409" s="228"/>
      <c r="BN409" s="228"/>
      <c r="BO409" s="228"/>
      <c r="BP409" s="228"/>
      <c r="BQ409" s="228"/>
      <c r="BR409" s="228"/>
      <c r="BS409" s="228"/>
      <c r="BT409" s="228"/>
      <c r="BU409" s="228"/>
      <c r="BV409" s="228"/>
      <c r="BW409" s="228"/>
      <c r="BX409" s="228"/>
      <c r="BY409" s="228"/>
      <c r="BZ409" s="228"/>
      <c r="CA409" s="228"/>
      <c r="CB409" s="228"/>
      <c r="CC409" s="228"/>
      <c r="CD409" s="228"/>
      <c r="CE409" s="228"/>
      <c r="CF409" s="228"/>
      <c r="CG409" s="228"/>
      <c r="CH409" s="228"/>
      <c r="CI409" s="228"/>
      <c r="CJ409" s="228"/>
      <c r="CK409" s="228"/>
      <c r="CL409" s="228"/>
      <c r="CM409" s="228"/>
      <c r="CN409" s="228"/>
      <c r="CO409" s="228"/>
      <c r="CP409" s="228"/>
      <c r="CQ409" s="228"/>
      <c r="CR409" s="228"/>
      <c r="CS409" s="228"/>
      <c r="CT409" s="228"/>
      <c r="CU409" s="228"/>
      <c r="CV409" s="228"/>
      <c r="CW409" s="228"/>
      <c r="CX409" s="228"/>
      <c r="CY409" s="228"/>
      <c r="CZ409" s="228"/>
      <c r="DA409" s="228"/>
      <c r="DB409" s="228"/>
    </row>
    <row r="410" ht="12.0" customHeight="1">
      <c r="A410" s="228"/>
      <c r="B410" s="228"/>
      <c r="C410" s="228"/>
      <c r="D410" s="228"/>
      <c r="E410" s="228"/>
      <c r="F410" s="228"/>
      <c r="G410" s="228"/>
      <c r="H410" s="228"/>
      <c r="I410" s="228"/>
      <c r="J410" s="228"/>
      <c r="K410" s="228"/>
      <c r="L410" s="228"/>
      <c r="M410" s="228"/>
      <c r="N410" s="228"/>
      <c r="O410" s="228"/>
      <c r="P410" s="228"/>
      <c r="Q410" s="228"/>
      <c r="R410" s="228"/>
      <c r="S410" s="228"/>
      <c r="T410" s="228"/>
      <c r="U410" s="228"/>
      <c r="V410" s="228"/>
      <c r="W410" s="228"/>
      <c r="X410" s="228"/>
      <c r="Y410" s="228"/>
      <c r="Z410" s="228"/>
      <c r="AA410" s="228"/>
      <c r="AB410" s="228"/>
      <c r="AC410" s="228"/>
      <c r="AD410" s="228"/>
      <c r="AE410" s="228"/>
      <c r="AF410" s="228"/>
      <c r="AG410" s="228"/>
      <c r="AH410" s="228"/>
      <c r="AI410" s="228"/>
      <c r="AJ410" s="228"/>
      <c r="AK410" s="228"/>
      <c r="AL410" s="228"/>
      <c r="AM410" s="228"/>
      <c r="AN410" s="228"/>
      <c r="AO410" s="228"/>
      <c r="AP410" s="228"/>
      <c r="AQ410" s="228"/>
      <c r="AR410" s="228"/>
      <c r="AS410" s="228"/>
      <c r="AT410" s="228"/>
      <c r="AU410" s="228"/>
      <c r="AV410" s="228"/>
      <c r="AW410" s="228"/>
      <c r="AX410" s="228"/>
      <c r="AY410" s="228"/>
      <c r="AZ410" s="228"/>
      <c r="BA410" s="228"/>
      <c r="BB410" s="228"/>
      <c r="BC410" s="228"/>
      <c r="BD410" s="228"/>
      <c r="BE410" s="228"/>
      <c r="BF410" s="228"/>
      <c r="BG410" s="228"/>
      <c r="BH410" s="228"/>
      <c r="BI410" s="228"/>
      <c r="BJ410" s="228"/>
      <c r="BK410" s="228"/>
      <c r="BL410" s="228"/>
      <c r="BM410" s="228"/>
      <c r="BN410" s="228"/>
      <c r="BO410" s="228"/>
      <c r="BP410" s="228"/>
      <c r="BQ410" s="228"/>
      <c r="BR410" s="228"/>
      <c r="BS410" s="228"/>
      <c r="BT410" s="228"/>
      <c r="BU410" s="228"/>
      <c r="BV410" s="228"/>
      <c r="BW410" s="228"/>
      <c r="BX410" s="228"/>
      <c r="BY410" s="228"/>
      <c r="BZ410" s="228"/>
      <c r="CA410" s="228"/>
      <c r="CB410" s="228"/>
      <c r="CC410" s="228"/>
      <c r="CD410" s="228"/>
      <c r="CE410" s="228"/>
      <c r="CF410" s="228"/>
      <c r="CG410" s="228"/>
      <c r="CH410" s="228"/>
      <c r="CI410" s="228"/>
      <c r="CJ410" s="228"/>
      <c r="CK410" s="228"/>
      <c r="CL410" s="228"/>
      <c r="CM410" s="228"/>
      <c r="CN410" s="228"/>
      <c r="CO410" s="228"/>
      <c r="CP410" s="228"/>
      <c r="CQ410" s="228"/>
      <c r="CR410" s="228"/>
      <c r="CS410" s="228"/>
      <c r="CT410" s="228"/>
      <c r="CU410" s="228"/>
      <c r="CV410" s="228"/>
      <c r="CW410" s="228"/>
      <c r="CX410" s="228"/>
      <c r="CY410" s="228"/>
      <c r="CZ410" s="228"/>
      <c r="DA410" s="228"/>
      <c r="DB410" s="228"/>
    </row>
    <row r="411" ht="12.0" customHeight="1">
      <c r="A411" s="228"/>
      <c r="B411" s="228"/>
      <c r="C411" s="228"/>
      <c r="D411" s="228"/>
      <c r="E411" s="228"/>
      <c r="F411" s="228"/>
      <c r="G411" s="228"/>
      <c r="H411" s="228"/>
      <c r="I411" s="228"/>
      <c r="J411" s="228"/>
      <c r="K411" s="228"/>
      <c r="L411" s="228"/>
      <c r="M411" s="228"/>
      <c r="N411" s="228"/>
      <c r="O411" s="228"/>
      <c r="P411" s="228"/>
      <c r="Q411" s="228"/>
      <c r="R411" s="228"/>
      <c r="S411" s="228"/>
      <c r="T411" s="228"/>
      <c r="U411" s="228"/>
      <c r="V411" s="228"/>
      <c r="W411" s="228"/>
      <c r="X411" s="228"/>
      <c r="Y411" s="228"/>
      <c r="Z411" s="228"/>
      <c r="AA411" s="228"/>
      <c r="AB411" s="228"/>
      <c r="AC411" s="228"/>
      <c r="AD411" s="228"/>
      <c r="AE411" s="228"/>
      <c r="AF411" s="228"/>
      <c r="AG411" s="228"/>
      <c r="AH411" s="228"/>
      <c r="AI411" s="228"/>
      <c r="AJ411" s="228"/>
      <c r="AK411" s="228"/>
      <c r="AL411" s="228"/>
      <c r="AM411" s="228"/>
      <c r="AN411" s="228"/>
      <c r="AO411" s="228"/>
      <c r="AP411" s="228"/>
      <c r="AQ411" s="228"/>
      <c r="AR411" s="228"/>
      <c r="AS411" s="228"/>
      <c r="AT411" s="228"/>
      <c r="AU411" s="228"/>
      <c r="AV411" s="228"/>
      <c r="AW411" s="228"/>
      <c r="AX411" s="228"/>
      <c r="AY411" s="228"/>
      <c r="AZ411" s="228"/>
      <c r="BA411" s="228"/>
      <c r="BB411" s="228"/>
      <c r="BC411" s="228"/>
      <c r="BD411" s="228"/>
      <c r="BE411" s="228"/>
      <c r="BF411" s="228"/>
      <c r="BG411" s="228"/>
      <c r="BH411" s="228"/>
      <c r="BI411" s="228"/>
      <c r="BJ411" s="228"/>
      <c r="BK411" s="228"/>
      <c r="BL411" s="228"/>
      <c r="BM411" s="228"/>
      <c r="BN411" s="228"/>
      <c r="BO411" s="228"/>
      <c r="BP411" s="228"/>
      <c r="BQ411" s="228"/>
      <c r="BR411" s="228"/>
      <c r="BS411" s="228"/>
      <c r="BT411" s="228"/>
      <c r="BU411" s="228"/>
      <c r="BV411" s="228"/>
      <c r="BW411" s="228"/>
      <c r="BX411" s="228"/>
      <c r="BY411" s="228"/>
      <c r="BZ411" s="228"/>
      <c r="CA411" s="228"/>
      <c r="CB411" s="228"/>
      <c r="CC411" s="228"/>
      <c r="CD411" s="228"/>
      <c r="CE411" s="228"/>
      <c r="CF411" s="228"/>
      <c r="CG411" s="228"/>
      <c r="CH411" s="228"/>
      <c r="CI411" s="228"/>
      <c r="CJ411" s="228"/>
      <c r="CK411" s="228"/>
      <c r="CL411" s="228"/>
      <c r="CM411" s="228"/>
      <c r="CN411" s="228"/>
      <c r="CO411" s="228"/>
      <c r="CP411" s="228"/>
      <c r="CQ411" s="228"/>
      <c r="CR411" s="228"/>
      <c r="CS411" s="228"/>
      <c r="CT411" s="228"/>
      <c r="CU411" s="228"/>
      <c r="CV411" s="228"/>
      <c r="CW411" s="228"/>
      <c r="CX411" s="228"/>
      <c r="CY411" s="228"/>
      <c r="CZ411" s="228"/>
      <c r="DA411" s="228"/>
      <c r="DB411" s="228"/>
    </row>
    <row r="412" ht="12.0" customHeight="1">
      <c r="A412" s="228"/>
      <c r="B412" s="228"/>
      <c r="C412" s="228"/>
      <c r="D412" s="228"/>
      <c r="E412" s="228"/>
      <c r="F412" s="228"/>
      <c r="G412" s="228"/>
      <c r="H412" s="228"/>
      <c r="I412" s="228"/>
      <c r="J412" s="228"/>
      <c r="K412" s="228"/>
      <c r="L412" s="228"/>
      <c r="M412" s="228"/>
      <c r="N412" s="228"/>
      <c r="O412" s="228"/>
      <c r="P412" s="228"/>
      <c r="Q412" s="228"/>
      <c r="R412" s="228"/>
      <c r="S412" s="228"/>
      <c r="T412" s="228"/>
      <c r="U412" s="228"/>
      <c r="V412" s="228"/>
      <c r="W412" s="228"/>
      <c r="X412" s="228"/>
      <c r="Y412" s="228"/>
      <c r="Z412" s="228"/>
      <c r="AA412" s="228"/>
      <c r="AB412" s="228"/>
      <c r="AC412" s="228"/>
      <c r="AD412" s="228"/>
      <c r="AE412" s="228"/>
      <c r="AF412" s="228"/>
      <c r="AG412" s="228"/>
      <c r="AH412" s="228"/>
      <c r="AI412" s="228"/>
      <c r="AJ412" s="228"/>
      <c r="AK412" s="228"/>
      <c r="AL412" s="228"/>
      <c r="AM412" s="228"/>
      <c r="AN412" s="228"/>
      <c r="AO412" s="228"/>
      <c r="AP412" s="228"/>
      <c r="AQ412" s="228"/>
      <c r="AR412" s="228"/>
      <c r="AS412" s="228"/>
      <c r="AT412" s="228"/>
      <c r="AU412" s="228"/>
      <c r="AV412" s="228"/>
      <c r="AW412" s="228"/>
      <c r="AX412" s="228"/>
      <c r="AY412" s="228"/>
      <c r="AZ412" s="228"/>
      <c r="BA412" s="228"/>
      <c r="BB412" s="228"/>
      <c r="BC412" s="228"/>
      <c r="BD412" s="228"/>
      <c r="BE412" s="228"/>
      <c r="BF412" s="228"/>
      <c r="BG412" s="228"/>
      <c r="BH412" s="228"/>
      <c r="BI412" s="228"/>
      <c r="BJ412" s="228"/>
      <c r="BK412" s="228"/>
      <c r="BL412" s="228"/>
      <c r="BM412" s="228"/>
      <c r="BN412" s="228"/>
      <c r="BO412" s="228"/>
      <c r="BP412" s="228"/>
      <c r="BQ412" s="228"/>
      <c r="BR412" s="228"/>
      <c r="BS412" s="228"/>
      <c r="BT412" s="228"/>
      <c r="BU412" s="228"/>
      <c r="BV412" s="228"/>
      <c r="BW412" s="228"/>
      <c r="BX412" s="228"/>
      <c r="BY412" s="228"/>
      <c r="BZ412" s="228"/>
      <c r="CA412" s="228"/>
      <c r="CB412" s="228"/>
      <c r="CC412" s="228"/>
      <c r="CD412" s="228"/>
      <c r="CE412" s="228"/>
      <c r="CF412" s="228"/>
      <c r="CG412" s="228"/>
      <c r="CH412" s="228"/>
      <c r="CI412" s="228"/>
      <c r="CJ412" s="228"/>
      <c r="CK412" s="228"/>
      <c r="CL412" s="228"/>
      <c r="CM412" s="228"/>
      <c r="CN412" s="228"/>
      <c r="CO412" s="228"/>
      <c r="CP412" s="228"/>
      <c r="CQ412" s="228"/>
      <c r="CR412" s="228"/>
      <c r="CS412" s="228"/>
      <c r="CT412" s="228"/>
      <c r="CU412" s="228"/>
      <c r="CV412" s="228"/>
      <c r="CW412" s="228"/>
      <c r="CX412" s="228"/>
      <c r="CY412" s="228"/>
      <c r="CZ412" s="228"/>
      <c r="DA412" s="228"/>
      <c r="DB412" s="228"/>
    </row>
    <row r="413" ht="12.0" customHeight="1">
      <c r="A413" s="228"/>
      <c r="B413" s="228"/>
      <c r="C413" s="228"/>
      <c r="D413" s="228"/>
      <c r="E413" s="228"/>
      <c r="F413" s="228"/>
      <c r="G413" s="228"/>
      <c r="H413" s="228"/>
      <c r="I413" s="228"/>
      <c r="J413" s="228"/>
      <c r="K413" s="228"/>
      <c r="L413" s="228"/>
      <c r="M413" s="228"/>
      <c r="N413" s="228"/>
      <c r="O413" s="228"/>
      <c r="P413" s="228"/>
      <c r="Q413" s="228"/>
      <c r="R413" s="228"/>
      <c r="S413" s="228"/>
      <c r="T413" s="228"/>
      <c r="U413" s="228"/>
      <c r="V413" s="228"/>
      <c r="W413" s="228"/>
      <c r="X413" s="228"/>
      <c r="Y413" s="228"/>
      <c r="Z413" s="228"/>
      <c r="AA413" s="228"/>
      <c r="AB413" s="228"/>
      <c r="AC413" s="228"/>
      <c r="AD413" s="228"/>
      <c r="AE413" s="228"/>
      <c r="AF413" s="228"/>
      <c r="AG413" s="228"/>
      <c r="AH413" s="228"/>
      <c r="AI413" s="228"/>
      <c r="AJ413" s="228"/>
      <c r="AK413" s="228"/>
      <c r="AL413" s="228"/>
      <c r="AM413" s="228"/>
      <c r="AN413" s="228"/>
      <c r="AO413" s="228"/>
      <c r="AP413" s="228"/>
      <c r="AQ413" s="228"/>
      <c r="AR413" s="228"/>
      <c r="AS413" s="228"/>
      <c r="AT413" s="228"/>
      <c r="AU413" s="228"/>
      <c r="AV413" s="228"/>
      <c r="AW413" s="228"/>
      <c r="AX413" s="228"/>
      <c r="AY413" s="228"/>
      <c r="AZ413" s="228"/>
      <c r="BA413" s="228"/>
      <c r="BB413" s="228"/>
      <c r="BC413" s="228"/>
      <c r="BD413" s="228"/>
      <c r="BE413" s="228"/>
      <c r="BF413" s="228"/>
      <c r="BG413" s="228"/>
      <c r="BH413" s="228"/>
      <c r="BI413" s="228"/>
      <c r="BJ413" s="228"/>
      <c r="BK413" s="228"/>
      <c r="BL413" s="228"/>
      <c r="BM413" s="228"/>
      <c r="BN413" s="228"/>
      <c r="BO413" s="228"/>
      <c r="BP413" s="228"/>
      <c r="BQ413" s="228"/>
      <c r="BR413" s="228"/>
      <c r="BS413" s="228"/>
      <c r="BT413" s="228"/>
      <c r="BU413" s="228"/>
      <c r="BV413" s="228"/>
      <c r="BW413" s="228"/>
      <c r="BX413" s="228"/>
      <c r="BY413" s="228"/>
      <c r="BZ413" s="228"/>
      <c r="CA413" s="228"/>
      <c r="CB413" s="228"/>
      <c r="CC413" s="228"/>
      <c r="CD413" s="228"/>
      <c r="CE413" s="228"/>
      <c r="CF413" s="228"/>
      <c r="CG413" s="228"/>
      <c r="CH413" s="228"/>
      <c r="CI413" s="228"/>
      <c r="CJ413" s="228"/>
      <c r="CK413" s="228"/>
      <c r="CL413" s="228"/>
      <c r="CM413" s="228"/>
      <c r="CN413" s="228"/>
      <c r="CO413" s="228"/>
      <c r="CP413" s="228"/>
      <c r="CQ413" s="228"/>
      <c r="CR413" s="228"/>
      <c r="CS413" s="228"/>
      <c r="CT413" s="228"/>
      <c r="CU413" s="228"/>
      <c r="CV413" s="228"/>
      <c r="CW413" s="228"/>
      <c r="CX413" s="228"/>
      <c r="CY413" s="228"/>
      <c r="CZ413" s="228"/>
      <c r="DA413" s="228"/>
      <c r="DB413" s="228"/>
    </row>
    <row r="414" ht="12.0" customHeight="1">
      <c r="A414" s="228"/>
      <c r="B414" s="228"/>
      <c r="C414" s="228"/>
      <c r="D414" s="228"/>
      <c r="E414" s="228"/>
      <c r="F414" s="228"/>
      <c r="G414" s="228"/>
      <c r="H414" s="228"/>
      <c r="I414" s="228"/>
      <c r="J414" s="228"/>
      <c r="K414" s="228"/>
      <c r="L414" s="228"/>
      <c r="M414" s="228"/>
      <c r="N414" s="228"/>
      <c r="O414" s="228"/>
      <c r="P414" s="228"/>
      <c r="Q414" s="228"/>
      <c r="R414" s="228"/>
      <c r="S414" s="228"/>
      <c r="T414" s="228"/>
      <c r="U414" s="228"/>
      <c r="V414" s="228"/>
      <c r="W414" s="228"/>
      <c r="X414" s="228"/>
      <c r="Y414" s="228"/>
      <c r="Z414" s="228"/>
      <c r="AA414" s="228"/>
      <c r="AB414" s="228"/>
      <c r="AC414" s="228"/>
      <c r="AD414" s="228"/>
      <c r="AE414" s="228"/>
      <c r="AF414" s="228"/>
      <c r="AG414" s="228"/>
      <c r="AH414" s="228"/>
      <c r="AI414" s="228"/>
      <c r="AJ414" s="228"/>
      <c r="AK414" s="228"/>
      <c r="AL414" s="228"/>
      <c r="AM414" s="228"/>
      <c r="AN414" s="228"/>
      <c r="AO414" s="228"/>
      <c r="AP414" s="228"/>
      <c r="AQ414" s="228"/>
      <c r="AR414" s="228"/>
      <c r="AS414" s="228"/>
      <c r="AT414" s="228"/>
      <c r="AU414" s="228"/>
      <c r="AV414" s="228"/>
      <c r="AW414" s="228"/>
      <c r="AX414" s="228"/>
      <c r="AY414" s="228"/>
      <c r="AZ414" s="228"/>
      <c r="BA414" s="228"/>
      <c r="BB414" s="228"/>
      <c r="BC414" s="228"/>
      <c r="BD414" s="228"/>
      <c r="BE414" s="228"/>
      <c r="BF414" s="228"/>
      <c r="BG414" s="228"/>
      <c r="BH414" s="228"/>
      <c r="BI414" s="228"/>
      <c r="BJ414" s="228"/>
      <c r="BK414" s="228"/>
      <c r="BL414" s="228"/>
      <c r="BM414" s="228"/>
      <c r="BN414" s="228"/>
      <c r="BO414" s="228"/>
      <c r="BP414" s="228"/>
      <c r="BQ414" s="228"/>
      <c r="BR414" s="228"/>
      <c r="BS414" s="228"/>
      <c r="BT414" s="228"/>
      <c r="BU414" s="228"/>
      <c r="BV414" s="228"/>
      <c r="BW414" s="228"/>
      <c r="BX414" s="228"/>
      <c r="BY414" s="228"/>
      <c r="BZ414" s="228"/>
      <c r="CA414" s="228"/>
      <c r="CB414" s="228"/>
      <c r="CC414" s="228"/>
      <c r="CD414" s="228"/>
      <c r="CE414" s="228"/>
      <c r="CF414" s="228"/>
      <c r="CG414" s="228"/>
      <c r="CH414" s="228"/>
      <c r="CI414" s="228"/>
      <c r="CJ414" s="228"/>
      <c r="CK414" s="228"/>
      <c r="CL414" s="228"/>
      <c r="CM414" s="228"/>
      <c r="CN414" s="228"/>
      <c r="CO414" s="228"/>
      <c r="CP414" s="228"/>
      <c r="CQ414" s="228"/>
      <c r="CR414" s="228"/>
      <c r="CS414" s="228"/>
      <c r="CT414" s="228"/>
      <c r="CU414" s="228"/>
      <c r="CV414" s="228"/>
      <c r="CW414" s="228"/>
      <c r="CX414" s="228"/>
      <c r="CY414" s="228"/>
      <c r="CZ414" s="228"/>
      <c r="DA414" s="228"/>
      <c r="DB414" s="228"/>
    </row>
    <row r="415" ht="12.0" customHeight="1">
      <c r="A415" s="228"/>
      <c r="B415" s="228"/>
      <c r="C415" s="228"/>
      <c r="D415" s="228"/>
      <c r="E415" s="228"/>
      <c r="F415" s="228"/>
      <c r="G415" s="228"/>
      <c r="H415" s="228"/>
      <c r="I415" s="228"/>
      <c r="J415" s="228"/>
      <c r="K415" s="228"/>
      <c r="L415" s="228"/>
      <c r="M415" s="228"/>
      <c r="N415" s="228"/>
      <c r="O415" s="228"/>
      <c r="P415" s="228"/>
      <c r="Q415" s="228"/>
      <c r="R415" s="228"/>
      <c r="S415" s="228"/>
      <c r="T415" s="228"/>
      <c r="U415" s="228"/>
      <c r="V415" s="228"/>
      <c r="W415" s="228"/>
      <c r="X415" s="228"/>
      <c r="Y415" s="228"/>
      <c r="Z415" s="228"/>
      <c r="AA415" s="228"/>
      <c r="AB415" s="228"/>
      <c r="AC415" s="228"/>
      <c r="AD415" s="228"/>
      <c r="AE415" s="228"/>
      <c r="AF415" s="228"/>
      <c r="AG415" s="228"/>
      <c r="AH415" s="228"/>
      <c r="AI415" s="228"/>
      <c r="AJ415" s="228"/>
      <c r="AK415" s="228"/>
      <c r="AL415" s="228"/>
      <c r="AM415" s="228"/>
      <c r="AN415" s="228"/>
      <c r="AO415" s="228"/>
      <c r="AP415" s="228"/>
      <c r="AQ415" s="228"/>
      <c r="AR415" s="228"/>
      <c r="AS415" s="228"/>
      <c r="AT415" s="228"/>
      <c r="AU415" s="228"/>
      <c r="AV415" s="228"/>
      <c r="AW415" s="228"/>
      <c r="AX415" s="228"/>
      <c r="AY415" s="228"/>
      <c r="AZ415" s="228"/>
      <c r="BA415" s="228"/>
      <c r="BB415" s="228"/>
      <c r="BC415" s="228"/>
      <c r="BD415" s="228"/>
      <c r="BE415" s="228"/>
      <c r="BF415" s="228"/>
      <c r="BG415" s="228"/>
      <c r="BH415" s="228"/>
      <c r="BI415" s="228"/>
      <c r="BJ415" s="228"/>
      <c r="BK415" s="228"/>
      <c r="BL415" s="228"/>
      <c r="BM415" s="228"/>
      <c r="BN415" s="228"/>
      <c r="BO415" s="228"/>
      <c r="BP415" s="228"/>
      <c r="BQ415" s="228"/>
      <c r="BR415" s="228"/>
      <c r="BS415" s="228"/>
      <c r="BT415" s="228"/>
      <c r="BU415" s="228"/>
      <c r="BV415" s="228"/>
      <c r="BW415" s="228"/>
      <c r="BX415" s="228"/>
      <c r="BY415" s="228"/>
      <c r="BZ415" s="228"/>
      <c r="CA415" s="228"/>
      <c r="CB415" s="228"/>
      <c r="CC415" s="228"/>
      <c r="CD415" s="228"/>
      <c r="CE415" s="228"/>
      <c r="CF415" s="228"/>
      <c r="CG415" s="228"/>
      <c r="CH415" s="228"/>
      <c r="CI415" s="228"/>
      <c r="CJ415" s="228"/>
      <c r="CK415" s="228"/>
      <c r="CL415" s="228"/>
      <c r="CM415" s="228"/>
      <c r="CN415" s="228"/>
      <c r="CO415" s="228"/>
      <c r="CP415" s="228"/>
      <c r="CQ415" s="228"/>
      <c r="CR415" s="228"/>
      <c r="CS415" s="228"/>
      <c r="CT415" s="228"/>
      <c r="CU415" s="228"/>
      <c r="CV415" s="228"/>
      <c r="CW415" s="228"/>
      <c r="CX415" s="228"/>
      <c r="CY415" s="228"/>
      <c r="CZ415" s="228"/>
      <c r="DA415" s="228"/>
      <c r="DB415" s="228"/>
    </row>
    <row r="416" ht="12.0" customHeight="1">
      <c r="A416" s="228"/>
      <c r="B416" s="228"/>
      <c r="C416" s="228"/>
      <c r="D416" s="228"/>
      <c r="E416" s="228"/>
      <c r="F416" s="228"/>
      <c r="G416" s="228"/>
      <c r="H416" s="228"/>
      <c r="I416" s="228"/>
      <c r="J416" s="228"/>
      <c r="K416" s="228"/>
      <c r="L416" s="228"/>
      <c r="M416" s="228"/>
      <c r="N416" s="228"/>
      <c r="O416" s="228"/>
      <c r="P416" s="228"/>
      <c r="Q416" s="228"/>
      <c r="R416" s="228"/>
      <c r="S416" s="228"/>
      <c r="T416" s="228"/>
      <c r="U416" s="228"/>
      <c r="V416" s="228"/>
      <c r="W416" s="228"/>
      <c r="X416" s="228"/>
      <c r="Y416" s="228"/>
      <c r="Z416" s="228"/>
      <c r="AA416" s="228"/>
      <c r="AB416" s="228"/>
      <c r="AC416" s="228"/>
      <c r="AD416" s="228"/>
      <c r="AE416" s="228"/>
      <c r="AF416" s="228"/>
      <c r="AG416" s="228"/>
      <c r="AH416" s="228"/>
      <c r="AI416" s="228"/>
      <c r="AJ416" s="228"/>
      <c r="AK416" s="228"/>
      <c r="AL416" s="228"/>
      <c r="AM416" s="228"/>
      <c r="AN416" s="228"/>
      <c r="AO416" s="228"/>
      <c r="AP416" s="228"/>
      <c r="AQ416" s="228"/>
      <c r="AR416" s="228"/>
      <c r="AS416" s="228"/>
      <c r="AT416" s="228"/>
      <c r="AU416" s="228"/>
      <c r="AV416" s="228"/>
      <c r="AW416" s="228"/>
      <c r="AX416" s="228"/>
      <c r="AY416" s="228"/>
      <c r="AZ416" s="228"/>
      <c r="BA416" s="228"/>
      <c r="BB416" s="228"/>
      <c r="BC416" s="228"/>
      <c r="BD416" s="228"/>
      <c r="BE416" s="228"/>
      <c r="BF416" s="228"/>
      <c r="BG416" s="228"/>
      <c r="BH416" s="228"/>
      <c r="BI416" s="228"/>
      <c r="BJ416" s="228"/>
      <c r="BK416" s="228"/>
      <c r="BL416" s="228"/>
      <c r="BM416" s="228"/>
      <c r="BN416" s="228"/>
      <c r="BO416" s="228"/>
      <c r="BP416" s="228"/>
      <c r="BQ416" s="228"/>
      <c r="BR416" s="228"/>
      <c r="BS416" s="228"/>
      <c r="BT416" s="228"/>
      <c r="BU416" s="228"/>
      <c r="BV416" s="228"/>
      <c r="BW416" s="228"/>
      <c r="BX416" s="228"/>
      <c r="BY416" s="228"/>
      <c r="BZ416" s="228"/>
      <c r="CA416" s="228"/>
      <c r="CB416" s="228"/>
      <c r="CC416" s="228"/>
      <c r="CD416" s="228"/>
      <c r="CE416" s="228"/>
      <c r="CF416" s="228"/>
      <c r="CG416" s="228"/>
      <c r="CH416" s="228"/>
      <c r="CI416" s="228"/>
      <c r="CJ416" s="228"/>
      <c r="CK416" s="228"/>
      <c r="CL416" s="228"/>
      <c r="CM416" s="228"/>
      <c r="CN416" s="228"/>
      <c r="CO416" s="228"/>
      <c r="CP416" s="228"/>
      <c r="CQ416" s="228"/>
      <c r="CR416" s="228"/>
      <c r="CS416" s="228"/>
      <c r="CT416" s="228"/>
      <c r="CU416" s="228"/>
      <c r="CV416" s="228"/>
      <c r="CW416" s="228"/>
      <c r="CX416" s="228"/>
      <c r="CY416" s="228"/>
      <c r="CZ416" s="228"/>
      <c r="DA416" s="228"/>
      <c r="DB416" s="228"/>
    </row>
    <row r="417" ht="12.0" customHeight="1">
      <c r="A417" s="228"/>
      <c r="B417" s="228"/>
      <c r="C417" s="228"/>
      <c r="D417" s="228"/>
      <c r="E417" s="228"/>
      <c r="F417" s="228"/>
      <c r="G417" s="228"/>
      <c r="H417" s="228"/>
      <c r="I417" s="228"/>
      <c r="J417" s="228"/>
      <c r="K417" s="228"/>
      <c r="L417" s="228"/>
      <c r="M417" s="228"/>
      <c r="N417" s="228"/>
      <c r="O417" s="228"/>
      <c r="P417" s="228"/>
      <c r="Q417" s="228"/>
      <c r="R417" s="228"/>
      <c r="S417" s="228"/>
      <c r="T417" s="228"/>
      <c r="U417" s="228"/>
      <c r="V417" s="228"/>
      <c r="W417" s="228"/>
      <c r="X417" s="228"/>
      <c r="Y417" s="228"/>
      <c r="Z417" s="228"/>
      <c r="AA417" s="228"/>
      <c r="AB417" s="228"/>
      <c r="AC417" s="228"/>
      <c r="AD417" s="228"/>
      <c r="AE417" s="228"/>
      <c r="AF417" s="228"/>
      <c r="AG417" s="228"/>
      <c r="AH417" s="228"/>
      <c r="AI417" s="228"/>
      <c r="AJ417" s="228"/>
      <c r="AK417" s="228"/>
      <c r="AL417" s="228"/>
      <c r="AM417" s="228"/>
      <c r="AN417" s="228"/>
      <c r="AO417" s="228"/>
      <c r="AP417" s="228"/>
      <c r="AQ417" s="228"/>
      <c r="AR417" s="228"/>
      <c r="AS417" s="228"/>
      <c r="AT417" s="228"/>
      <c r="AU417" s="228"/>
      <c r="AV417" s="228"/>
      <c r="AW417" s="228"/>
      <c r="AX417" s="228"/>
      <c r="AY417" s="228"/>
      <c r="AZ417" s="228"/>
      <c r="BA417" s="228"/>
      <c r="BB417" s="228"/>
      <c r="BC417" s="228"/>
      <c r="BD417" s="228"/>
      <c r="BE417" s="228"/>
      <c r="BF417" s="228"/>
      <c r="BG417" s="228"/>
      <c r="BH417" s="228"/>
      <c r="BI417" s="228"/>
      <c r="BJ417" s="228"/>
      <c r="BK417" s="228"/>
      <c r="BL417" s="228"/>
      <c r="BM417" s="228"/>
      <c r="BN417" s="228"/>
      <c r="BO417" s="228"/>
      <c r="BP417" s="228"/>
      <c r="BQ417" s="228"/>
      <c r="BR417" s="228"/>
      <c r="BS417" s="228"/>
      <c r="BT417" s="228"/>
      <c r="BU417" s="228"/>
      <c r="BV417" s="228"/>
      <c r="BW417" s="228"/>
      <c r="BX417" s="228"/>
      <c r="BY417" s="228"/>
      <c r="BZ417" s="228"/>
      <c r="CA417" s="228"/>
      <c r="CB417" s="228"/>
      <c r="CC417" s="228"/>
      <c r="CD417" s="228"/>
      <c r="CE417" s="228"/>
      <c r="CF417" s="228"/>
      <c r="CG417" s="228"/>
      <c r="CH417" s="228"/>
      <c r="CI417" s="228"/>
      <c r="CJ417" s="228"/>
      <c r="CK417" s="228"/>
      <c r="CL417" s="228"/>
      <c r="CM417" s="228"/>
      <c r="CN417" s="228"/>
      <c r="CO417" s="228"/>
      <c r="CP417" s="228"/>
      <c r="CQ417" s="228"/>
      <c r="CR417" s="228"/>
      <c r="CS417" s="228"/>
      <c r="CT417" s="228"/>
      <c r="CU417" s="228"/>
      <c r="CV417" s="228"/>
      <c r="CW417" s="228"/>
      <c r="CX417" s="228"/>
      <c r="CY417" s="228"/>
      <c r="CZ417" s="228"/>
      <c r="DA417" s="228"/>
      <c r="DB417" s="228"/>
    </row>
    <row r="418" ht="12.0" customHeight="1">
      <c r="A418" s="228"/>
      <c r="B418" s="228"/>
      <c r="C418" s="228"/>
      <c r="D418" s="228"/>
      <c r="E418" s="228"/>
      <c r="F418" s="228"/>
      <c r="G418" s="228"/>
      <c r="H418" s="228"/>
      <c r="I418" s="228"/>
      <c r="J418" s="228"/>
      <c r="K418" s="228"/>
      <c r="L418" s="228"/>
      <c r="M418" s="228"/>
      <c r="N418" s="228"/>
      <c r="O418" s="228"/>
      <c r="P418" s="228"/>
      <c r="Q418" s="228"/>
      <c r="R418" s="228"/>
      <c r="S418" s="228"/>
      <c r="T418" s="228"/>
      <c r="U418" s="228"/>
      <c r="V418" s="228"/>
      <c r="W418" s="228"/>
      <c r="X418" s="228"/>
      <c r="Y418" s="228"/>
      <c r="Z418" s="228"/>
      <c r="AA418" s="228"/>
      <c r="AB418" s="228"/>
      <c r="AC418" s="228"/>
      <c r="AD418" s="228"/>
      <c r="AE418" s="228"/>
      <c r="AF418" s="228"/>
      <c r="AG418" s="228"/>
      <c r="AH418" s="228"/>
      <c r="AI418" s="228"/>
      <c r="AJ418" s="228"/>
      <c r="AK418" s="228"/>
      <c r="AL418" s="228"/>
      <c r="AM418" s="228"/>
      <c r="AN418" s="228"/>
      <c r="AO418" s="228"/>
      <c r="AP418" s="228"/>
      <c r="AQ418" s="228"/>
      <c r="AR418" s="228"/>
      <c r="AS418" s="228"/>
      <c r="AT418" s="228"/>
      <c r="AU418" s="228"/>
      <c r="AV418" s="228"/>
      <c r="AW418" s="228"/>
      <c r="AX418" s="228"/>
      <c r="AY418" s="228"/>
      <c r="AZ418" s="228"/>
      <c r="BA418" s="228"/>
      <c r="BB418" s="228"/>
      <c r="BC418" s="228"/>
      <c r="BD418" s="228"/>
      <c r="BE418" s="228"/>
      <c r="BF418" s="228"/>
      <c r="BG418" s="228"/>
      <c r="BH418" s="228"/>
      <c r="BI418" s="228"/>
      <c r="BJ418" s="228"/>
      <c r="BK418" s="228"/>
      <c r="BL418" s="228"/>
      <c r="BM418" s="228"/>
      <c r="BN418" s="228"/>
      <c r="BO418" s="228"/>
      <c r="BP418" s="228"/>
      <c r="BQ418" s="228"/>
      <c r="BR418" s="228"/>
      <c r="BS418" s="228"/>
      <c r="BT418" s="228"/>
      <c r="BU418" s="228"/>
      <c r="BV418" s="228"/>
      <c r="BW418" s="228"/>
      <c r="BX418" s="228"/>
      <c r="BY418" s="228"/>
      <c r="BZ418" s="228"/>
      <c r="CA418" s="228"/>
      <c r="CB418" s="228"/>
      <c r="CC418" s="228"/>
      <c r="CD418" s="228"/>
      <c r="CE418" s="228"/>
      <c r="CF418" s="228"/>
      <c r="CG418" s="228"/>
      <c r="CH418" s="228"/>
      <c r="CI418" s="228"/>
      <c r="CJ418" s="228"/>
      <c r="CK418" s="228"/>
      <c r="CL418" s="228"/>
      <c r="CM418" s="228"/>
      <c r="CN418" s="228"/>
      <c r="CO418" s="228"/>
      <c r="CP418" s="228"/>
      <c r="CQ418" s="228"/>
      <c r="CR418" s="228"/>
      <c r="CS418" s="228"/>
      <c r="CT418" s="228"/>
      <c r="CU418" s="228"/>
      <c r="CV418" s="228"/>
      <c r="CW418" s="228"/>
      <c r="CX418" s="228"/>
      <c r="CY418" s="228"/>
      <c r="CZ418" s="228"/>
      <c r="DA418" s="228"/>
      <c r="DB418" s="228"/>
    </row>
    <row r="419" ht="12.0" customHeight="1">
      <c r="A419" s="228"/>
      <c r="B419" s="228"/>
      <c r="C419" s="228"/>
      <c r="D419" s="228"/>
      <c r="E419" s="228"/>
      <c r="F419" s="228"/>
      <c r="G419" s="228"/>
      <c r="H419" s="228"/>
      <c r="I419" s="228"/>
      <c r="J419" s="228"/>
      <c r="K419" s="228"/>
      <c r="L419" s="228"/>
      <c r="M419" s="228"/>
      <c r="N419" s="228"/>
      <c r="O419" s="228"/>
      <c r="P419" s="228"/>
      <c r="Q419" s="228"/>
      <c r="R419" s="228"/>
      <c r="S419" s="228"/>
      <c r="T419" s="228"/>
      <c r="U419" s="228"/>
      <c r="V419" s="228"/>
      <c r="W419" s="228"/>
      <c r="X419" s="228"/>
      <c r="Y419" s="228"/>
      <c r="Z419" s="228"/>
      <c r="AA419" s="228"/>
      <c r="AB419" s="228"/>
      <c r="AC419" s="228"/>
      <c r="AD419" s="228"/>
      <c r="AE419" s="228"/>
      <c r="AF419" s="228"/>
      <c r="AG419" s="228"/>
      <c r="AH419" s="228"/>
      <c r="AI419" s="228"/>
      <c r="AJ419" s="228"/>
      <c r="AK419" s="228"/>
      <c r="AL419" s="228"/>
      <c r="AM419" s="228"/>
      <c r="AN419" s="228"/>
      <c r="AO419" s="228"/>
      <c r="AP419" s="228"/>
      <c r="AQ419" s="228"/>
      <c r="AR419" s="228"/>
      <c r="AS419" s="228"/>
      <c r="AT419" s="228"/>
      <c r="AU419" s="228"/>
      <c r="AV419" s="228"/>
      <c r="AW419" s="228"/>
      <c r="AX419" s="228"/>
      <c r="AY419" s="228"/>
      <c r="AZ419" s="228"/>
      <c r="BA419" s="228"/>
      <c r="BB419" s="228"/>
      <c r="BC419" s="228"/>
      <c r="BD419" s="228"/>
      <c r="BE419" s="228"/>
      <c r="BF419" s="228"/>
      <c r="BG419" s="228"/>
      <c r="BH419" s="228"/>
      <c r="BI419" s="228"/>
      <c r="BJ419" s="228"/>
      <c r="BK419" s="228"/>
      <c r="BL419" s="228"/>
      <c r="BM419" s="228"/>
      <c r="BN419" s="228"/>
      <c r="BO419" s="228"/>
      <c r="BP419" s="228"/>
      <c r="BQ419" s="228"/>
      <c r="BR419" s="228"/>
      <c r="BS419" s="228"/>
      <c r="BT419" s="228"/>
      <c r="BU419" s="228"/>
      <c r="BV419" s="228"/>
      <c r="BW419" s="228"/>
      <c r="BX419" s="228"/>
      <c r="BY419" s="228"/>
      <c r="BZ419" s="228"/>
      <c r="CA419" s="228"/>
      <c r="CB419" s="228"/>
      <c r="CC419" s="228"/>
      <c r="CD419" s="228"/>
      <c r="CE419" s="228"/>
      <c r="CF419" s="228"/>
      <c r="CG419" s="228"/>
      <c r="CH419" s="228"/>
      <c r="CI419" s="228"/>
      <c r="CJ419" s="228"/>
      <c r="CK419" s="228"/>
      <c r="CL419" s="228"/>
      <c r="CM419" s="228"/>
      <c r="CN419" s="228"/>
      <c r="CO419" s="228"/>
      <c r="CP419" s="228"/>
      <c r="CQ419" s="228"/>
      <c r="CR419" s="228"/>
      <c r="CS419" s="228"/>
      <c r="CT419" s="228"/>
      <c r="CU419" s="228"/>
      <c r="CV419" s="228"/>
      <c r="CW419" s="228"/>
      <c r="CX419" s="228"/>
      <c r="CY419" s="228"/>
      <c r="CZ419" s="228"/>
      <c r="DA419" s="228"/>
      <c r="DB419" s="228"/>
    </row>
    <row r="420" ht="12.0" customHeight="1">
      <c r="A420" s="228"/>
      <c r="B420" s="228"/>
      <c r="C420" s="228"/>
      <c r="D420" s="228"/>
      <c r="E420" s="228"/>
      <c r="F420" s="228"/>
      <c r="G420" s="228"/>
      <c r="H420" s="228"/>
      <c r="I420" s="228"/>
      <c r="J420" s="228"/>
      <c r="K420" s="228"/>
      <c r="L420" s="228"/>
      <c r="M420" s="228"/>
      <c r="N420" s="228"/>
      <c r="O420" s="228"/>
      <c r="P420" s="228"/>
      <c r="Q420" s="228"/>
      <c r="R420" s="228"/>
      <c r="S420" s="228"/>
      <c r="T420" s="228"/>
      <c r="U420" s="228"/>
      <c r="V420" s="228"/>
      <c r="W420" s="228"/>
      <c r="X420" s="228"/>
      <c r="Y420" s="228"/>
      <c r="Z420" s="228"/>
      <c r="AA420" s="228"/>
      <c r="AB420" s="228"/>
      <c r="AC420" s="228"/>
      <c r="AD420" s="228"/>
      <c r="AE420" s="228"/>
      <c r="AF420" s="228"/>
      <c r="AG420" s="228"/>
      <c r="AH420" s="228"/>
      <c r="AI420" s="228"/>
      <c r="AJ420" s="228"/>
      <c r="AK420" s="228"/>
      <c r="AL420" s="228"/>
      <c r="AM420" s="228"/>
      <c r="AN420" s="228"/>
      <c r="AO420" s="228"/>
      <c r="AP420" s="228"/>
      <c r="AQ420" s="228"/>
      <c r="AR420" s="228"/>
      <c r="AS420" s="228"/>
      <c r="AT420" s="228"/>
      <c r="AU420" s="228"/>
      <c r="AV420" s="228"/>
      <c r="AW420" s="228"/>
      <c r="AX420" s="228"/>
      <c r="AY420" s="228"/>
      <c r="AZ420" s="228"/>
      <c r="BA420" s="228"/>
      <c r="BB420" s="228"/>
      <c r="BC420" s="228"/>
      <c r="BD420" s="228"/>
      <c r="BE420" s="228"/>
      <c r="BF420" s="228"/>
      <c r="BG420" s="228"/>
      <c r="BH420" s="228"/>
      <c r="BI420" s="228"/>
      <c r="BJ420" s="228"/>
      <c r="BK420" s="228"/>
      <c r="BL420" s="228"/>
      <c r="BM420" s="228"/>
      <c r="BN420" s="228"/>
      <c r="BO420" s="228"/>
      <c r="BP420" s="228"/>
      <c r="BQ420" s="228"/>
      <c r="BR420" s="228"/>
      <c r="BS420" s="228"/>
      <c r="BT420" s="228"/>
      <c r="BU420" s="228"/>
      <c r="BV420" s="228"/>
      <c r="BW420" s="228"/>
      <c r="BX420" s="228"/>
      <c r="BY420" s="228"/>
      <c r="BZ420" s="228"/>
      <c r="CA420" s="228"/>
      <c r="CB420" s="228"/>
      <c r="CC420" s="228"/>
      <c r="CD420" s="228"/>
      <c r="CE420" s="228"/>
      <c r="CF420" s="228"/>
      <c r="CG420" s="228"/>
      <c r="CH420" s="228"/>
      <c r="CI420" s="228"/>
      <c r="CJ420" s="228"/>
      <c r="CK420" s="228"/>
      <c r="CL420" s="228"/>
      <c r="CM420" s="228"/>
      <c r="CN420" s="228"/>
      <c r="CO420" s="228"/>
      <c r="CP420" s="228"/>
      <c r="CQ420" s="228"/>
      <c r="CR420" s="228"/>
      <c r="CS420" s="228"/>
      <c r="CT420" s="228"/>
      <c r="CU420" s="228"/>
      <c r="CV420" s="228"/>
      <c r="CW420" s="228"/>
      <c r="CX420" s="228"/>
      <c r="CY420" s="228"/>
      <c r="CZ420" s="228"/>
      <c r="DA420" s="228"/>
      <c r="DB420" s="228"/>
    </row>
    <row r="421" ht="12.0" customHeight="1">
      <c r="A421" s="228"/>
      <c r="B421" s="228"/>
      <c r="C421" s="228"/>
      <c r="D421" s="228"/>
      <c r="E421" s="228"/>
      <c r="F421" s="228"/>
      <c r="G421" s="228"/>
      <c r="H421" s="228"/>
      <c r="I421" s="228"/>
      <c r="J421" s="228"/>
      <c r="K421" s="228"/>
      <c r="L421" s="228"/>
      <c r="M421" s="228"/>
      <c r="N421" s="228"/>
      <c r="O421" s="228"/>
      <c r="P421" s="228"/>
      <c r="Q421" s="228"/>
      <c r="R421" s="228"/>
      <c r="S421" s="228"/>
      <c r="T421" s="228"/>
      <c r="U421" s="228"/>
      <c r="V421" s="228"/>
      <c r="W421" s="228"/>
      <c r="X421" s="228"/>
      <c r="Y421" s="228"/>
      <c r="Z421" s="228"/>
      <c r="AA421" s="228"/>
      <c r="AB421" s="228"/>
      <c r="AC421" s="228"/>
      <c r="AD421" s="228"/>
      <c r="AE421" s="228"/>
      <c r="AF421" s="228"/>
      <c r="AG421" s="228"/>
      <c r="AH421" s="228"/>
      <c r="AI421" s="228"/>
      <c r="AJ421" s="228"/>
      <c r="AK421" s="228"/>
      <c r="AL421" s="228"/>
      <c r="AM421" s="228"/>
      <c r="AN421" s="228"/>
      <c r="AO421" s="228"/>
      <c r="AP421" s="228"/>
      <c r="AQ421" s="228"/>
      <c r="AR421" s="228"/>
      <c r="AS421" s="228"/>
      <c r="AT421" s="228"/>
      <c r="AU421" s="228"/>
      <c r="AV421" s="228"/>
      <c r="AW421" s="228"/>
      <c r="AX421" s="228"/>
      <c r="AY421" s="228"/>
      <c r="AZ421" s="228"/>
      <c r="BA421" s="228"/>
      <c r="BB421" s="228"/>
      <c r="BC421" s="228"/>
      <c r="BD421" s="228"/>
      <c r="BE421" s="228"/>
      <c r="BF421" s="228"/>
      <c r="BG421" s="228"/>
      <c r="BH421" s="228"/>
      <c r="BI421" s="228"/>
      <c r="BJ421" s="228"/>
      <c r="BK421" s="228"/>
      <c r="BL421" s="228"/>
      <c r="BM421" s="228"/>
      <c r="BN421" s="228"/>
      <c r="BO421" s="228"/>
      <c r="BP421" s="228"/>
      <c r="BQ421" s="228"/>
      <c r="BR421" s="228"/>
      <c r="BS421" s="228"/>
      <c r="BT421" s="228"/>
      <c r="BU421" s="228"/>
      <c r="BV421" s="228"/>
      <c r="BW421" s="228"/>
      <c r="BX421" s="228"/>
      <c r="BY421" s="228"/>
      <c r="BZ421" s="228"/>
      <c r="CA421" s="228"/>
      <c r="CB421" s="228"/>
      <c r="CC421" s="228"/>
      <c r="CD421" s="228"/>
      <c r="CE421" s="228"/>
      <c r="CF421" s="228"/>
      <c r="CG421" s="228"/>
      <c r="CH421" s="228"/>
      <c r="CI421" s="228"/>
      <c r="CJ421" s="228"/>
      <c r="CK421" s="228"/>
      <c r="CL421" s="228"/>
      <c r="CM421" s="228"/>
      <c r="CN421" s="228"/>
      <c r="CO421" s="228"/>
      <c r="CP421" s="228"/>
      <c r="CQ421" s="228"/>
      <c r="CR421" s="228"/>
      <c r="CS421" s="228"/>
      <c r="CT421" s="228"/>
      <c r="CU421" s="228"/>
      <c r="CV421" s="228"/>
      <c r="CW421" s="228"/>
      <c r="CX421" s="228"/>
      <c r="CY421" s="228"/>
      <c r="CZ421" s="228"/>
      <c r="DA421" s="228"/>
      <c r="DB421" s="228"/>
    </row>
    <row r="422" ht="12.0" customHeight="1">
      <c r="A422" s="228"/>
      <c r="B422" s="228"/>
      <c r="C422" s="228"/>
      <c r="D422" s="228"/>
      <c r="E422" s="228"/>
      <c r="F422" s="228"/>
      <c r="G422" s="228"/>
      <c r="H422" s="228"/>
      <c r="I422" s="228"/>
      <c r="J422" s="228"/>
      <c r="K422" s="228"/>
      <c r="L422" s="228"/>
      <c r="M422" s="228"/>
      <c r="N422" s="228"/>
      <c r="O422" s="228"/>
      <c r="P422" s="228"/>
      <c r="Q422" s="228"/>
      <c r="R422" s="228"/>
      <c r="S422" s="228"/>
      <c r="T422" s="228"/>
      <c r="U422" s="228"/>
      <c r="V422" s="228"/>
      <c r="W422" s="228"/>
      <c r="X422" s="228"/>
      <c r="Y422" s="228"/>
      <c r="Z422" s="228"/>
      <c r="AA422" s="228"/>
      <c r="AB422" s="228"/>
      <c r="AC422" s="228"/>
      <c r="AD422" s="228"/>
      <c r="AE422" s="228"/>
      <c r="AF422" s="228"/>
      <c r="AG422" s="228"/>
      <c r="AH422" s="228"/>
      <c r="AI422" s="228"/>
      <c r="AJ422" s="228"/>
      <c r="AK422" s="228"/>
      <c r="AL422" s="228"/>
      <c r="AM422" s="228"/>
      <c r="AN422" s="228"/>
      <c r="AO422" s="228"/>
      <c r="AP422" s="228"/>
      <c r="AQ422" s="228"/>
      <c r="AR422" s="228"/>
      <c r="AS422" s="228"/>
      <c r="AT422" s="228"/>
      <c r="AU422" s="228"/>
      <c r="AV422" s="228"/>
      <c r="AW422" s="228"/>
      <c r="AX422" s="228"/>
      <c r="AY422" s="228"/>
      <c r="AZ422" s="228"/>
      <c r="BA422" s="228"/>
      <c r="BB422" s="228"/>
      <c r="BC422" s="228"/>
      <c r="BD422" s="228"/>
      <c r="BE422" s="228"/>
      <c r="BF422" s="228"/>
      <c r="BG422" s="228"/>
      <c r="BH422" s="228"/>
      <c r="BI422" s="228"/>
      <c r="BJ422" s="228"/>
      <c r="BK422" s="228"/>
      <c r="BL422" s="228"/>
      <c r="BM422" s="228"/>
      <c r="BN422" s="228"/>
      <c r="BO422" s="228"/>
      <c r="BP422" s="228"/>
      <c r="BQ422" s="228"/>
      <c r="BR422" s="228"/>
      <c r="BS422" s="228"/>
      <c r="BT422" s="228"/>
      <c r="BU422" s="228"/>
      <c r="BV422" s="228"/>
      <c r="BW422" s="228"/>
      <c r="BX422" s="228"/>
      <c r="BY422" s="228"/>
      <c r="BZ422" s="228"/>
      <c r="CA422" s="228"/>
      <c r="CB422" s="228"/>
      <c r="CC422" s="228"/>
      <c r="CD422" s="228"/>
      <c r="CE422" s="228"/>
      <c r="CF422" s="228"/>
      <c r="CG422" s="228"/>
      <c r="CH422" s="228"/>
      <c r="CI422" s="228"/>
      <c r="CJ422" s="228"/>
      <c r="CK422" s="228"/>
      <c r="CL422" s="228"/>
      <c r="CM422" s="228"/>
      <c r="CN422" s="228"/>
      <c r="CO422" s="228"/>
      <c r="CP422" s="228"/>
      <c r="CQ422" s="228"/>
      <c r="CR422" s="228"/>
      <c r="CS422" s="228"/>
      <c r="CT422" s="228"/>
      <c r="CU422" s="228"/>
      <c r="CV422" s="228"/>
      <c r="CW422" s="228"/>
      <c r="CX422" s="228"/>
      <c r="CY422" s="228"/>
      <c r="CZ422" s="228"/>
      <c r="DA422" s="228"/>
      <c r="DB422" s="228"/>
    </row>
    <row r="423" ht="12.0" customHeight="1">
      <c r="A423" s="228"/>
      <c r="B423" s="228"/>
      <c r="C423" s="228"/>
      <c r="D423" s="228"/>
      <c r="E423" s="228"/>
      <c r="F423" s="228"/>
      <c r="G423" s="228"/>
      <c r="H423" s="228"/>
      <c r="I423" s="228"/>
      <c r="J423" s="228"/>
      <c r="K423" s="228"/>
      <c r="L423" s="228"/>
      <c r="M423" s="228"/>
      <c r="N423" s="228"/>
      <c r="O423" s="228"/>
      <c r="P423" s="228"/>
      <c r="Q423" s="228"/>
      <c r="R423" s="228"/>
      <c r="S423" s="228"/>
      <c r="T423" s="228"/>
      <c r="U423" s="228"/>
      <c r="V423" s="228"/>
      <c r="W423" s="228"/>
      <c r="X423" s="228"/>
      <c r="Y423" s="228"/>
      <c r="Z423" s="228"/>
      <c r="AA423" s="228"/>
      <c r="AB423" s="228"/>
      <c r="AC423" s="228"/>
      <c r="AD423" s="228"/>
      <c r="AE423" s="228"/>
      <c r="AF423" s="228"/>
      <c r="AG423" s="228"/>
      <c r="AH423" s="228"/>
      <c r="AI423" s="228"/>
      <c r="AJ423" s="228"/>
      <c r="AK423" s="228"/>
      <c r="AL423" s="228"/>
      <c r="AM423" s="228"/>
      <c r="AN423" s="228"/>
      <c r="AO423" s="228"/>
      <c r="AP423" s="228"/>
      <c r="AQ423" s="228"/>
      <c r="AR423" s="228"/>
      <c r="AS423" s="228"/>
      <c r="AT423" s="228"/>
      <c r="AU423" s="228"/>
      <c r="AV423" s="228"/>
      <c r="AW423" s="228"/>
      <c r="AX423" s="228"/>
      <c r="AY423" s="228"/>
      <c r="AZ423" s="228"/>
      <c r="BA423" s="228"/>
      <c r="BB423" s="228"/>
      <c r="BC423" s="228"/>
      <c r="BD423" s="228"/>
      <c r="BE423" s="228"/>
      <c r="BF423" s="228"/>
      <c r="BG423" s="228"/>
      <c r="BH423" s="228"/>
      <c r="BI423" s="228"/>
      <c r="BJ423" s="228"/>
      <c r="BK423" s="228"/>
      <c r="BL423" s="228"/>
      <c r="BM423" s="228"/>
      <c r="BN423" s="228"/>
      <c r="BO423" s="228"/>
      <c r="BP423" s="228"/>
      <c r="BQ423" s="228"/>
      <c r="BR423" s="228"/>
      <c r="BS423" s="228"/>
      <c r="BT423" s="228"/>
      <c r="BU423" s="228"/>
      <c r="BV423" s="228"/>
      <c r="BW423" s="228"/>
      <c r="BX423" s="228"/>
      <c r="BY423" s="228"/>
      <c r="BZ423" s="228"/>
      <c r="CA423" s="228"/>
      <c r="CB423" s="228"/>
      <c r="CC423" s="228"/>
      <c r="CD423" s="228"/>
      <c r="CE423" s="228"/>
      <c r="CF423" s="228"/>
      <c r="CG423" s="228"/>
      <c r="CH423" s="228"/>
      <c r="CI423" s="228"/>
      <c r="CJ423" s="228"/>
      <c r="CK423" s="228"/>
      <c r="CL423" s="228"/>
      <c r="CM423" s="228"/>
      <c r="CN423" s="228"/>
      <c r="CO423" s="228"/>
      <c r="CP423" s="228"/>
      <c r="CQ423" s="228"/>
      <c r="CR423" s="228"/>
      <c r="CS423" s="228"/>
      <c r="CT423" s="228"/>
      <c r="CU423" s="228"/>
      <c r="CV423" s="228"/>
      <c r="CW423" s="228"/>
      <c r="CX423" s="228"/>
      <c r="CY423" s="228"/>
      <c r="CZ423" s="228"/>
      <c r="DA423" s="228"/>
      <c r="DB423" s="228"/>
    </row>
    <row r="424" ht="12.0" customHeight="1">
      <c r="A424" s="228"/>
      <c r="B424" s="228"/>
      <c r="C424" s="228"/>
      <c r="D424" s="228"/>
      <c r="E424" s="228"/>
      <c r="F424" s="228"/>
      <c r="G424" s="228"/>
      <c r="H424" s="228"/>
      <c r="I424" s="228"/>
      <c r="J424" s="228"/>
      <c r="K424" s="228"/>
      <c r="L424" s="228"/>
      <c r="M424" s="228"/>
      <c r="N424" s="228"/>
      <c r="O424" s="228"/>
      <c r="P424" s="228"/>
      <c r="Q424" s="228"/>
      <c r="R424" s="228"/>
      <c r="S424" s="228"/>
      <c r="T424" s="228"/>
      <c r="U424" s="228"/>
      <c r="V424" s="228"/>
      <c r="W424" s="228"/>
      <c r="X424" s="228"/>
      <c r="Y424" s="228"/>
      <c r="Z424" s="228"/>
      <c r="AA424" s="228"/>
      <c r="AB424" s="228"/>
      <c r="AC424" s="228"/>
      <c r="AD424" s="228"/>
      <c r="AE424" s="228"/>
      <c r="AF424" s="228"/>
      <c r="AG424" s="228"/>
      <c r="AH424" s="228"/>
      <c r="AI424" s="228"/>
      <c r="AJ424" s="228"/>
      <c r="AK424" s="228"/>
      <c r="AL424" s="228"/>
      <c r="AM424" s="228"/>
      <c r="AN424" s="228"/>
      <c r="AO424" s="228"/>
      <c r="AP424" s="228"/>
      <c r="AQ424" s="228"/>
      <c r="AR424" s="228"/>
      <c r="AS424" s="228"/>
      <c r="AT424" s="228"/>
      <c r="AU424" s="228"/>
      <c r="AV424" s="228"/>
      <c r="AW424" s="228"/>
      <c r="AX424" s="228"/>
      <c r="AY424" s="228"/>
      <c r="AZ424" s="228"/>
      <c r="BA424" s="228"/>
      <c r="BB424" s="228"/>
      <c r="BC424" s="228"/>
      <c r="BD424" s="228"/>
      <c r="BE424" s="228"/>
      <c r="BF424" s="228"/>
      <c r="BG424" s="228"/>
      <c r="BH424" s="228"/>
      <c r="BI424" s="228"/>
      <c r="BJ424" s="228"/>
      <c r="BK424" s="228"/>
      <c r="BL424" s="228"/>
      <c r="BM424" s="228"/>
      <c r="BN424" s="228"/>
      <c r="BO424" s="228"/>
      <c r="BP424" s="228"/>
      <c r="BQ424" s="228"/>
      <c r="BR424" s="228"/>
      <c r="BS424" s="228"/>
      <c r="BT424" s="228"/>
      <c r="BU424" s="228"/>
      <c r="BV424" s="228"/>
      <c r="BW424" s="228"/>
      <c r="BX424" s="228"/>
      <c r="BY424" s="228"/>
      <c r="BZ424" s="228"/>
      <c r="CA424" s="228"/>
      <c r="CB424" s="228"/>
      <c r="CC424" s="228"/>
      <c r="CD424" s="228"/>
      <c r="CE424" s="228"/>
      <c r="CF424" s="228"/>
      <c r="CG424" s="228"/>
      <c r="CH424" s="228"/>
      <c r="CI424" s="228"/>
      <c r="CJ424" s="228"/>
      <c r="CK424" s="228"/>
      <c r="CL424" s="228"/>
      <c r="CM424" s="228"/>
      <c r="CN424" s="228"/>
      <c r="CO424" s="228"/>
      <c r="CP424" s="228"/>
      <c r="CQ424" s="228"/>
      <c r="CR424" s="228"/>
      <c r="CS424" s="228"/>
      <c r="CT424" s="228"/>
      <c r="CU424" s="228"/>
      <c r="CV424" s="228"/>
      <c r="CW424" s="228"/>
      <c r="CX424" s="228"/>
      <c r="CY424" s="228"/>
      <c r="CZ424" s="228"/>
      <c r="DA424" s="228"/>
      <c r="DB424" s="228"/>
    </row>
    <row r="425" ht="12.0" customHeight="1">
      <c r="A425" s="228"/>
      <c r="B425" s="228"/>
      <c r="C425" s="228"/>
      <c r="D425" s="228"/>
      <c r="E425" s="228"/>
      <c r="F425" s="228"/>
      <c r="G425" s="228"/>
      <c r="H425" s="228"/>
      <c r="I425" s="228"/>
      <c r="J425" s="228"/>
      <c r="K425" s="228"/>
      <c r="L425" s="228"/>
      <c r="M425" s="228"/>
      <c r="N425" s="228"/>
      <c r="O425" s="228"/>
      <c r="P425" s="228"/>
      <c r="Q425" s="228"/>
      <c r="R425" s="228"/>
      <c r="S425" s="228"/>
      <c r="T425" s="228"/>
      <c r="U425" s="228"/>
      <c r="V425" s="228"/>
      <c r="W425" s="228"/>
      <c r="X425" s="228"/>
      <c r="Y425" s="228"/>
      <c r="Z425" s="228"/>
      <c r="AA425" s="228"/>
      <c r="AB425" s="228"/>
      <c r="AC425" s="228"/>
      <c r="AD425" s="228"/>
      <c r="AE425" s="228"/>
      <c r="AF425" s="228"/>
      <c r="AG425" s="228"/>
      <c r="AH425" s="228"/>
      <c r="AI425" s="228"/>
      <c r="AJ425" s="228"/>
      <c r="AK425" s="228"/>
      <c r="AL425" s="228"/>
      <c r="AM425" s="228"/>
      <c r="AN425" s="228"/>
      <c r="AO425" s="228"/>
      <c r="AP425" s="228"/>
      <c r="AQ425" s="228"/>
      <c r="AR425" s="228"/>
      <c r="AS425" s="228"/>
      <c r="AT425" s="228"/>
      <c r="AU425" s="228"/>
      <c r="AV425" s="228"/>
      <c r="AW425" s="228"/>
      <c r="AX425" s="228"/>
      <c r="AY425" s="228"/>
      <c r="AZ425" s="228"/>
      <c r="BA425" s="228"/>
      <c r="BB425" s="228"/>
      <c r="BC425" s="228"/>
      <c r="BD425" s="228"/>
      <c r="BE425" s="228"/>
      <c r="BF425" s="228"/>
      <c r="BG425" s="228"/>
      <c r="BH425" s="228"/>
      <c r="BI425" s="228"/>
      <c r="BJ425" s="228"/>
      <c r="BK425" s="228"/>
      <c r="BL425" s="228"/>
      <c r="BM425" s="228"/>
      <c r="BN425" s="228"/>
      <c r="BO425" s="228"/>
      <c r="BP425" s="228"/>
      <c r="BQ425" s="228"/>
      <c r="BR425" s="228"/>
      <c r="BS425" s="228"/>
      <c r="BT425" s="228"/>
      <c r="BU425" s="228"/>
      <c r="BV425" s="228"/>
      <c r="BW425" s="228"/>
      <c r="BX425" s="228"/>
      <c r="BY425" s="228"/>
      <c r="BZ425" s="228"/>
      <c r="CA425" s="228"/>
      <c r="CB425" s="228"/>
      <c r="CC425" s="228"/>
      <c r="CD425" s="228"/>
      <c r="CE425" s="228"/>
      <c r="CF425" s="228"/>
      <c r="CG425" s="228"/>
      <c r="CH425" s="228"/>
      <c r="CI425" s="228"/>
      <c r="CJ425" s="228"/>
      <c r="CK425" s="228"/>
      <c r="CL425" s="228"/>
      <c r="CM425" s="228"/>
      <c r="CN425" s="228"/>
      <c r="CO425" s="228"/>
      <c r="CP425" s="228"/>
      <c r="CQ425" s="228"/>
      <c r="CR425" s="228"/>
      <c r="CS425" s="228"/>
      <c r="CT425" s="228"/>
      <c r="CU425" s="228"/>
      <c r="CV425" s="228"/>
      <c r="CW425" s="228"/>
      <c r="CX425" s="228"/>
      <c r="CY425" s="228"/>
      <c r="CZ425" s="228"/>
      <c r="DA425" s="228"/>
      <c r="DB425" s="228"/>
    </row>
    <row r="426" ht="12.0" customHeight="1">
      <c r="A426" s="228"/>
      <c r="B426" s="228"/>
      <c r="C426" s="228"/>
      <c r="D426" s="228"/>
      <c r="E426" s="228"/>
      <c r="F426" s="228"/>
      <c r="G426" s="228"/>
      <c r="H426" s="228"/>
      <c r="I426" s="228"/>
      <c r="J426" s="228"/>
      <c r="K426" s="228"/>
      <c r="L426" s="228"/>
      <c r="M426" s="228"/>
      <c r="N426" s="228"/>
      <c r="O426" s="228"/>
      <c r="P426" s="228"/>
      <c r="Q426" s="228"/>
      <c r="R426" s="228"/>
      <c r="S426" s="228"/>
      <c r="T426" s="228"/>
      <c r="U426" s="228"/>
      <c r="V426" s="228"/>
      <c r="W426" s="228"/>
      <c r="X426" s="228"/>
      <c r="Y426" s="228"/>
      <c r="Z426" s="228"/>
      <c r="AA426" s="228"/>
      <c r="AB426" s="228"/>
      <c r="AC426" s="228"/>
      <c r="AD426" s="228"/>
      <c r="AE426" s="228"/>
      <c r="AF426" s="228"/>
      <c r="AG426" s="228"/>
      <c r="AH426" s="228"/>
      <c r="AI426" s="228"/>
      <c r="AJ426" s="228"/>
      <c r="AK426" s="228"/>
      <c r="AL426" s="228"/>
      <c r="AM426" s="228"/>
      <c r="AN426" s="228"/>
      <c r="AO426" s="228"/>
      <c r="AP426" s="228"/>
      <c r="AQ426" s="228"/>
      <c r="AR426" s="228"/>
      <c r="AS426" s="228"/>
      <c r="AT426" s="228"/>
      <c r="AU426" s="228"/>
      <c r="AV426" s="228"/>
      <c r="AW426" s="228"/>
      <c r="AX426" s="228"/>
      <c r="AY426" s="228"/>
      <c r="AZ426" s="228"/>
      <c r="BA426" s="228"/>
      <c r="BB426" s="228"/>
      <c r="BC426" s="228"/>
      <c r="BD426" s="228"/>
      <c r="BE426" s="228"/>
      <c r="BF426" s="228"/>
      <c r="BG426" s="228"/>
      <c r="BH426" s="228"/>
      <c r="BI426" s="228"/>
      <c r="BJ426" s="228"/>
      <c r="BK426" s="228"/>
      <c r="BL426" s="228"/>
      <c r="BM426" s="228"/>
      <c r="BN426" s="228"/>
      <c r="BO426" s="228"/>
      <c r="BP426" s="228"/>
      <c r="BQ426" s="228"/>
      <c r="BR426" s="228"/>
      <c r="BS426" s="228"/>
      <c r="BT426" s="228"/>
      <c r="BU426" s="228"/>
      <c r="BV426" s="228"/>
      <c r="BW426" s="228"/>
      <c r="BX426" s="228"/>
      <c r="BY426" s="228"/>
      <c r="BZ426" s="228"/>
      <c r="CA426" s="228"/>
      <c r="CB426" s="228"/>
      <c r="CC426" s="228"/>
      <c r="CD426" s="228"/>
      <c r="CE426" s="228"/>
      <c r="CF426" s="228"/>
      <c r="CG426" s="228"/>
      <c r="CH426" s="228"/>
      <c r="CI426" s="228"/>
      <c r="CJ426" s="228"/>
      <c r="CK426" s="228"/>
      <c r="CL426" s="228"/>
      <c r="CM426" s="228"/>
      <c r="CN426" s="228"/>
      <c r="CO426" s="228"/>
      <c r="CP426" s="228"/>
      <c r="CQ426" s="228"/>
      <c r="CR426" s="228"/>
      <c r="CS426" s="228"/>
      <c r="CT426" s="228"/>
      <c r="CU426" s="228"/>
      <c r="CV426" s="228"/>
      <c r="CW426" s="228"/>
      <c r="CX426" s="228"/>
      <c r="CY426" s="228"/>
      <c r="CZ426" s="228"/>
      <c r="DA426" s="228"/>
      <c r="DB426" s="228"/>
    </row>
    <row r="427" ht="12.0" customHeight="1">
      <c r="A427" s="228"/>
      <c r="B427" s="228"/>
      <c r="C427" s="228"/>
      <c r="D427" s="228"/>
      <c r="E427" s="228"/>
      <c r="F427" s="228"/>
      <c r="G427" s="228"/>
      <c r="H427" s="228"/>
      <c r="I427" s="228"/>
      <c r="J427" s="228"/>
      <c r="K427" s="228"/>
      <c r="L427" s="228"/>
      <c r="M427" s="228"/>
      <c r="N427" s="228"/>
      <c r="O427" s="228"/>
      <c r="P427" s="228"/>
      <c r="Q427" s="228"/>
      <c r="R427" s="228"/>
      <c r="S427" s="228"/>
      <c r="T427" s="228"/>
      <c r="U427" s="228"/>
      <c r="V427" s="228"/>
      <c r="W427" s="228"/>
      <c r="X427" s="228"/>
      <c r="Y427" s="228"/>
      <c r="Z427" s="228"/>
      <c r="AA427" s="228"/>
      <c r="AB427" s="228"/>
      <c r="AC427" s="228"/>
      <c r="AD427" s="228"/>
      <c r="AE427" s="228"/>
      <c r="AF427" s="228"/>
      <c r="AG427" s="228"/>
      <c r="AH427" s="228"/>
      <c r="AI427" s="228"/>
      <c r="AJ427" s="228"/>
      <c r="AK427" s="228"/>
      <c r="AL427" s="228"/>
      <c r="AM427" s="228"/>
      <c r="AN427" s="228"/>
      <c r="AO427" s="228"/>
      <c r="AP427" s="228"/>
      <c r="AQ427" s="228"/>
      <c r="AR427" s="228"/>
      <c r="AS427" s="228"/>
      <c r="AT427" s="228"/>
      <c r="AU427" s="228"/>
      <c r="AV427" s="228"/>
      <c r="AW427" s="228"/>
      <c r="AX427" s="228"/>
      <c r="AY427" s="228"/>
      <c r="AZ427" s="228"/>
      <c r="BA427" s="228"/>
      <c r="BB427" s="228"/>
      <c r="BC427" s="228"/>
      <c r="BD427" s="228"/>
      <c r="BE427" s="228"/>
      <c r="BF427" s="228"/>
      <c r="BG427" s="228"/>
      <c r="BH427" s="228"/>
      <c r="BI427" s="228"/>
      <c r="BJ427" s="228"/>
      <c r="BK427" s="228"/>
      <c r="BL427" s="228"/>
      <c r="BM427" s="228"/>
      <c r="BN427" s="228"/>
      <c r="BO427" s="228"/>
      <c r="BP427" s="228"/>
      <c r="BQ427" s="228"/>
      <c r="BR427" s="228"/>
      <c r="BS427" s="228"/>
      <c r="BT427" s="228"/>
      <c r="BU427" s="228"/>
      <c r="BV427" s="228"/>
      <c r="BW427" s="228"/>
      <c r="BX427" s="228"/>
      <c r="BY427" s="228"/>
      <c r="BZ427" s="228"/>
      <c r="CA427" s="228"/>
      <c r="CB427" s="228"/>
      <c r="CC427" s="228"/>
      <c r="CD427" s="228"/>
      <c r="CE427" s="228"/>
      <c r="CF427" s="228"/>
      <c r="CG427" s="228"/>
      <c r="CH427" s="228"/>
      <c r="CI427" s="228"/>
      <c r="CJ427" s="228"/>
      <c r="CK427" s="228"/>
      <c r="CL427" s="228"/>
      <c r="CM427" s="228"/>
      <c r="CN427" s="228"/>
      <c r="CO427" s="228"/>
      <c r="CP427" s="228"/>
      <c r="CQ427" s="228"/>
      <c r="CR427" s="228"/>
      <c r="CS427" s="228"/>
      <c r="CT427" s="228"/>
      <c r="CU427" s="228"/>
      <c r="CV427" s="228"/>
      <c r="CW427" s="228"/>
      <c r="CX427" s="228"/>
      <c r="CY427" s="228"/>
      <c r="CZ427" s="228"/>
      <c r="DA427" s="228"/>
      <c r="DB427" s="228"/>
    </row>
    <row r="428" ht="12.0" customHeight="1">
      <c r="A428" s="228"/>
      <c r="B428" s="228"/>
      <c r="C428" s="228"/>
      <c r="D428" s="228"/>
      <c r="E428" s="228"/>
      <c r="F428" s="228"/>
      <c r="G428" s="228"/>
      <c r="H428" s="228"/>
      <c r="I428" s="228"/>
      <c r="J428" s="228"/>
      <c r="K428" s="228"/>
      <c r="L428" s="228"/>
      <c r="M428" s="228"/>
      <c r="N428" s="228"/>
      <c r="O428" s="228"/>
      <c r="P428" s="228"/>
      <c r="Q428" s="228"/>
      <c r="R428" s="228"/>
      <c r="S428" s="228"/>
      <c r="T428" s="228"/>
      <c r="U428" s="228"/>
      <c r="V428" s="228"/>
      <c r="W428" s="228"/>
      <c r="X428" s="228"/>
      <c r="Y428" s="228"/>
      <c r="Z428" s="228"/>
      <c r="AA428" s="228"/>
      <c r="AB428" s="228"/>
      <c r="AC428" s="228"/>
      <c r="AD428" s="228"/>
      <c r="AE428" s="228"/>
      <c r="AF428" s="228"/>
      <c r="AG428" s="228"/>
      <c r="AH428" s="228"/>
      <c r="AI428" s="228"/>
      <c r="AJ428" s="228"/>
      <c r="AK428" s="228"/>
      <c r="AL428" s="228"/>
      <c r="AM428" s="228"/>
      <c r="AN428" s="228"/>
      <c r="AO428" s="228"/>
      <c r="AP428" s="228"/>
      <c r="AQ428" s="228"/>
      <c r="AR428" s="228"/>
      <c r="AS428" s="228"/>
      <c r="AT428" s="228"/>
      <c r="AU428" s="228"/>
      <c r="AV428" s="228"/>
      <c r="AW428" s="228"/>
      <c r="AX428" s="228"/>
      <c r="AY428" s="228"/>
      <c r="AZ428" s="228"/>
      <c r="BA428" s="228"/>
      <c r="BB428" s="228"/>
      <c r="BC428" s="228"/>
      <c r="BD428" s="228"/>
      <c r="BE428" s="228"/>
      <c r="BF428" s="228"/>
      <c r="BG428" s="228"/>
      <c r="BH428" s="228"/>
      <c r="BI428" s="228"/>
      <c r="BJ428" s="228"/>
      <c r="BK428" s="228"/>
      <c r="BL428" s="228"/>
      <c r="BM428" s="228"/>
      <c r="BN428" s="228"/>
      <c r="BO428" s="228"/>
      <c r="BP428" s="228"/>
      <c r="BQ428" s="228"/>
      <c r="BR428" s="228"/>
      <c r="BS428" s="228"/>
      <c r="BT428" s="228"/>
      <c r="BU428" s="228"/>
      <c r="BV428" s="228"/>
      <c r="BW428" s="228"/>
      <c r="BX428" s="228"/>
      <c r="BY428" s="228"/>
      <c r="BZ428" s="228"/>
      <c r="CA428" s="228"/>
      <c r="CB428" s="228"/>
      <c r="CC428" s="228"/>
      <c r="CD428" s="228"/>
      <c r="CE428" s="228"/>
      <c r="CF428" s="228"/>
      <c r="CG428" s="228"/>
      <c r="CH428" s="228"/>
      <c r="CI428" s="228"/>
      <c r="CJ428" s="228"/>
      <c r="CK428" s="228"/>
      <c r="CL428" s="228"/>
      <c r="CM428" s="228"/>
      <c r="CN428" s="228"/>
      <c r="CO428" s="228"/>
      <c r="CP428" s="228"/>
      <c r="CQ428" s="228"/>
      <c r="CR428" s="228"/>
      <c r="CS428" s="228"/>
      <c r="CT428" s="228"/>
      <c r="CU428" s="228"/>
      <c r="CV428" s="228"/>
      <c r="CW428" s="228"/>
      <c r="CX428" s="228"/>
      <c r="CY428" s="228"/>
      <c r="CZ428" s="228"/>
      <c r="DA428" s="228"/>
      <c r="DB428" s="228"/>
    </row>
    <row r="429" ht="12.0" customHeight="1">
      <c r="A429" s="228"/>
      <c r="B429" s="228"/>
      <c r="C429" s="228"/>
      <c r="D429" s="228"/>
      <c r="E429" s="228"/>
      <c r="F429" s="228"/>
      <c r="G429" s="228"/>
      <c r="H429" s="228"/>
      <c r="I429" s="228"/>
      <c r="J429" s="228"/>
      <c r="K429" s="228"/>
      <c r="L429" s="228"/>
      <c r="M429" s="228"/>
      <c r="N429" s="228"/>
      <c r="O429" s="228"/>
      <c r="P429" s="228"/>
      <c r="Q429" s="228"/>
      <c r="R429" s="228"/>
      <c r="S429" s="228"/>
      <c r="T429" s="228"/>
      <c r="U429" s="228"/>
      <c r="V429" s="228"/>
      <c r="W429" s="228"/>
      <c r="X429" s="228"/>
      <c r="Y429" s="228"/>
      <c r="Z429" s="228"/>
      <c r="AA429" s="228"/>
      <c r="AB429" s="228"/>
      <c r="AC429" s="228"/>
      <c r="AD429" s="228"/>
      <c r="AE429" s="228"/>
      <c r="AF429" s="228"/>
      <c r="AG429" s="228"/>
      <c r="AH429" s="228"/>
      <c r="AI429" s="228"/>
      <c r="AJ429" s="228"/>
      <c r="AK429" s="228"/>
      <c r="AL429" s="228"/>
      <c r="AM429" s="228"/>
      <c r="AN429" s="228"/>
      <c r="AO429" s="228"/>
      <c r="AP429" s="228"/>
      <c r="AQ429" s="228"/>
      <c r="AR429" s="228"/>
      <c r="AS429" s="228"/>
      <c r="AT429" s="228"/>
      <c r="AU429" s="228"/>
      <c r="AV429" s="228"/>
      <c r="AW429" s="228"/>
      <c r="AX429" s="228"/>
      <c r="AY429" s="228"/>
      <c r="AZ429" s="228"/>
      <c r="BA429" s="228"/>
      <c r="BB429" s="228"/>
      <c r="BC429" s="228"/>
      <c r="BD429" s="228"/>
      <c r="BE429" s="228"/>
      <c r="BF429" s="228"/>
      <c r="BG429" s="228"/>
      <c r="BH429" s="228"/>
      <c r="BI429" s="228"/>
      <c r="BJ429" s="228"/>
      <c r="BK429" s="228"/>
      <c r="BL429" s="228"/>
      <c r="BM429" s="228"/>
      <c r="BN429" s="228"/>
      <c r="BO429" s="228"/>
      <c r="BP429" s="228"/>
      <c r="BQ429" s="228"/>
      <c r="BR429" s="228"/>
      <c r="BS429" s="228"/>
      <c r="BT429" s="228"/>
      <c r="BU429" s="228"/>
      <c r="BV429" s="228"/>
      <c r="BW429" s="228"/>
      <c r="BX429" s="228"/>
      <c r="BY429" s="228"/>
      <c r="BZ429" s="228"/>
      <c r="CA429" s="228"/>
      <c r="CB429" s="228"/>
      <c r="CC429" s="228"/>
      <c r="CD429" s="228"/>
      <c r="CE429" s="228"/>
      <c r="CF429" s="228"/>
      <c r="CG429" s="228"/>
      <c r="CH429" s="228"/>
      <c r="CI429" s="228"/>
      <c r="CJ429" s="228"/>
      <c r="CK429" s="228"/>
      <c r="CL429" s="228"/>
      <c r="CM429" s="228"/>
      <c r="CN429" s="228"/>
      <c r="CO429" s="228"/>
      <c r="CP429" s="228"/>
      <c r="CQ429" s="228"/>
      <c r="CR429" s="228"/>
      <c r="CS429" s="228"/>
      <c r="CT429" s="228"/>
      <c r="CU429" s="228"/>
      <c r="CV429" s="228"/>
      <c r="CW429" s="228"/>
      <c r="CX429" s="228"/>
      <c r="CY429" s="228"/>
      <c r="CZ429" s="228"/>
      <c r="DA429" s="228"/>
      <c r="DB429" s="228"/>
    </row>
    <row r="430" ht="12.0" customHeight="1">
      <c r="A430" s="228"/>
      <c r="B430" s="228"/>
      <c r="C430" s="228"/>
      <c r="D430" s="228"/>
      <c r="E430" s="228"/>
      <c r="F430" s="228"/>
      <c r="G430" s="228"/>
      <c r="H430" s="228"/>
      <c r="I430" s="228"/>
      <c r="J430" s="228"/>
      <c r="K430" s="228"/>
      <c r="L430" s="228"/>
      <c r="M430" s="228"/>
      <c r="N430" s="228"/>
      <c r="O430" s="228"/>
      <c r="P430" s="228"/>
      <c r="Q430" s="228"/>
      <c r="R430" s="228"/>
      <c r="S430" s="228"/>
      <c r="T430" s="228"/>
      <c r="U430" s="228"/>
      <c r="V430" s="228"/>
      <c r="W430" s="228"/>
      <c r="X430" s="228"/>
      <c r="Y430" s="228"/>
      <c r="Z430" s="228"/>
      <c r="AA430" s="228"/>
      <c r="AB430" s="228"/>
      <c r="AC430" s="228"/>
      <c r="AD430" s="228"/>
      <c r="AE430" s="228"/>
      <c r="AF430" s="228"/>
      <c r="AG430" s="228"/>
      <c r="AH430" s="228"/>
      <c r="AI430" s="228"/>
      <c r="AJ430" s="228"/>
      <c r="AK430" s="228"/>
      <c r="AL430" s="228"/>
      <c r="AM430" s="228"/>
      <c r="AN430" s="228"/>
      <c r="AO430" s="228"/>
      <c r="AP430" s="228"/>
      <c r="AQ430" s="228"/>
      <c r="AR430" s="228"/>
      <c r="AS430" s="228"/>
      <c r="AT430" s="228"/>
      <c r="AU430" s="228"/>
      <c r="AV430" s="228"/>
      <c r="AW430" s="228"/>
      <c r="AX430" s="228"/>
      <c r="AY430" s="228"/>
      <c r="AZ430" s="228"/>
      <c r="BA430" s="228"/>
      <c r="BB430" s="228"/>
      <c r="BC430" s="228"/>
      <c r="BD430" s="228"/>
      <c r="BE430" s="228"/>
      <c r="BF430" s="228"/>
      <c r="BG430" s="228"/>
      <c r="BH430" s="228"/>
      <c r="BI430" s="228"/>
      <c r="BJ430" s="228"/>
      <c r="BK430" s="228"/>
      <c r="BL430" s="228"/>
      <c r="BM430" s="228"/>
      <c r="BN430" s="228"/>
      <c r="BO430" s="228"/>
      <c r="BP430" s="228"/>
      <c r="BQ430" s="228"/>
      <c r="BR430" s="228"/>
      <c r="BS430" s="228"/>
      <c r="BT430" s="228"/>
      <c r="BU430" s="228"/>
      <c r="BV430" s="228"/>
      <c r="BW430" s="228"/>
      <c r="BX430" s="228"/>
      <c r="BY430" s="228"/>
      <c r="BZ430" s="228"/>
      <c r="CA430" s="228"/>
      <c r="CB430" s="228"/>
      <c r="CC430" s="228"/>
      <c r="CD430" s="228"/>
      <c r="CE430" s="228"/>
      <c r="CF430" s="228"/>
      <c r="CG430" s="228"/>
      <c r="CH430" s="228"/>
      <c r="CI430" s="228"/>
      <c r="CJ430" s="228"/>
      <c r="CK430" s="228"/>
      <c r="CL430" s="228"/>
      <c r="CM430" s="228"/>
      <c r="CN430" s="228"/>
      <c r="CO430" s="228"/>
      <c r="CP430" s="228"/>
      <c r="CQ430" s="228"/>
      <c r="CR430" s="228"/>
      <c r="CS430" s="228"/>
      <c r="CT430" s="228"/>
      <c r="CU430" s="228"/>
      <c r="CV430" s="228"/>
      <c r="CW430" s="228"/>
      <c r="CX430" s="228"/>
      <c r="CY430" s="228"/>
      <c r="CZ430" s="228"/>
      <c r="DA430" s="228"/>
      <c r="DB430" s="228"/>
    </row>
    <row r="431" ht="12.0" customHeight="1">
      <c r="A431" s="228"/>
      <c r="B431" s="228"/>
      <c r="C431" s="228"/>
      <c r="D431" s="228"/>
      <c r="E431" s="228"/>
      <c r="F431" s="228"/>
      <c r="G431" s="228"/>
      <c r="H431" s="228"/>
      <c r="I431" s="228"/>
      <c r="J431" s="228"/>
      <c r="K431" s="228"/>
      <c r="L431" s="228"/>
      <c r="M431" s="228"/>
      <c r="N431" s="228"/>
      <c r="O431" s="228"/>
      <c r="P431" s="228"/>
      <c r="Q431" s="228"/>
      <c r="R431" s="228"/>
      <c r="S431" s="228"/>
      <c r="T431" s="228"/>
      <c r="U431" s="228"/>
      <c r="V431" s="228"/>
      <c r="W431" s="228"/>
      <c r="X431" s="228"/>
      <c r="Y431" s="228"/>
      <c r="Z431" s="228"/>
      <c r="AA431" s="228"/>
      <c r="AB431" s="228"/>
      <c r="AC431" s="228"/>
      <c r="AD431" s="228"/>
      <c r="AE431" s="228"/>
      <c r="AF431" s="228"/>
      <c r="AG431" s="228"/>
      <c r="AH431" s="228"/>
      <c r="AI431" s="228"/>
      <c r="AJ431" s="228"/>
      <c r="AK431" s="228"/>
      <c r="AL431" s="228"/>
      <c r="AM431" s="228"/>
      <c r="AN431" s="228"/>
      <c r="AO431" s="228"/>
      <c r="AP431" s="228"/>
      <c r="AQ431" s="228"/>
      <c r="AR431" s="228"/>
      <c r="AS431" s="228"/>
      <c r="AT431" s="228"/>
      <c r="AU431" s="228"/>
      <c r="AV431" s="228"/>
      <c r="AW431" s="228"/>
      <c r="AX431" s="228"/>
      <c r="AY431" s="228"/>
      <c r="AZ431" s="228"/>
      <c r="BA431" s="228"/>
      <c r="BB431" s="228"/>
      <c r="BC431" s="228"/>
      <c r="BD431" s="228"/>
      <c r="BE431" s="228"/>
      <c r="BF431" s="228"/>
      <c r="BG431" s="228"/>
      <c r="BH431" s="228"/>
      <c r="BI431" s="228"/>
      <c r="BJ431" s="228"/>
      <c r="BK431" s="228"/>
      <c r="BL431" s="228"/>
      <c r="BM431" s="228"/>
      <c r="BN431" s="228"/>
      <c r="BO431" s="228"/>
      <c r="BP431" s="228"/>
      <c r="BQ431" s="228"/>
      <c r="BR431" s="228"/>
      <c r="BS431" s="228"/>
      <c r="BT431" s="228"/>
      <c r="BU431" s="228"/>
      <c r="BV431" s="228"/>
      <c r="BW431" s="228"/>
      <c r="BX431" s="228"/>
      <c r="BY431" s="228"/>
      <c r="BZ431" s="228"/>
      <c r="CA431" s="228"/>
      <c r="CB431" s="228"/>
      <c r="CC431" s="228"/>
      <c r="CD431" s="228"/>
      <c r="CE431" s="228"/>
      <c r="CF431" s="228"/>
      <c r="CG431" s="228"/>
      <c r="CH431" s="228"/>
      <c r="CI431" s="228"/>
      <c r="CJ431" s="228"/>
      <c r="CK431" s="228"/>
      <c r="CL431" s="228"/>
      <c r="CM431" s="228"/>
      <c r="CN431" s="228"/>
      <c r="CO431" s="228"/>
      <c r="CP431" s="228"/>
      <c r="CQ431" s="228"/>
      <c r="CR431" s="228"/>
      <c r="CS431" s="228"/>
      <c r="CT431" s="228"/>
      <c r="CU431" s="228"/>
      <c r="CV431" s="228"/>
      <c r="CW431" s="228"/>
      <c r="CX431" s="228"/>
      <c r="CY431" s="228"/>
      <c r="CZ431" s="228"/>
      <c r="DA431" s="228"/>
      <c r="DB431" s="228"/>
    </row>
    <row r="432" ht="12.0" customHeight="1">
      <c r="A432" s="228"/>
      <c r="B432" s="228"/>
      <c r="C432" s="228"/>
      <c r="D432" s="228"/>
      <c r="E432" s="228"/>
      <c r="F432" s="228"/>
      <c r="G432" s="228"/>
      <c r="H432" s="228"/>
      <c r="I432" s="228"/>
      <c r="J432" s="228"/>
      <c r="K432" s="228"/>
      <c r="L432" s="228"/>
      <c r="M432" s="228"/>
      <c r="N432" s="228"/>
      <c r="O432" s="228"/>
      <c r="P432" s="228"/>
      <c r="Q432" s="228"/>
      <c r="R432" s="228"/>
      <c r="S432" s="228"/>
      <c r="T432" s="228"/>
      <c r="U432" s="228"/>
      <c r="V432" s="228"/>
      <c r="W432" s="228"/>
      <c r="X432" s="228"/>
      <c r="Y432" s="228"/>
      <c r="Z432" s="228"/>
      <c r="AA432" s="228"/>
      <c r="AB432" s="228"/>
      <c r="AC432" s="228"/>
      <c r="AD432" s="228"/>
      <c r="AE432" s="228"/>
      <c r="AF432" s="228"/>
      <c r="AG432" s="228"/>
      <c r="AH432" s="228"/>
      <c r="AI432" s="228"/>
      <c r="AJ432" s="228"/>
      <c r="AK432" s="228"/>
      <c r="AL432" s="228"/>
      <c r="AM432" s="228"/>
      <c r="AN432" s="228"/>
      <c r="AO432" s="228"/>
      <c r="AP432" s="228"/>
      <c r="AQ432" s="228"/>
      <c r="AR432" s="228"/>
      <c r="AS432" s="228"/>
      <c r="AT432" s="228"/>
      <c r="AU432" s="228"/>
      <c r="AV432" s="228"/>
      <c r="AW432" s="228"/>
      <c r="AX432" s="228"/>
      <c r="AY432" s="228"/>
      <c r="AZ432" s="228"/>
      <c r="BA432" s="228"/>
      <c r="BB432" s="228"/>
      <c r="BC432" s="228"/>
      <c r="BD432" s="228"/>
      <c r="BE432" s="228"/>
      <c r="BF432" s="228"/>
      <c r="BG432" s="228"/>
      <c r="BH432" s="228"/>
      <c r="BI432" s="228"/>
      <c r="BJ432" s="228"/>
      <c r="BK432" s="228"/>
      <c r="BL432" s="228"/>
      <c r="BM432" s="228"/>
      <c r="BN432" s="228"/>
      <c r="BO432" s="228"/>
      <c r="BP432" s="228"/>
      <c r="BQ432" s="228"/>
      <c r="BR432" s="228"/>
      <c r="BS432" s="228"/>
      <c r="BT432" s="228"/>
      <c r="BU432" s="228"/>
      <c r="BV432" s="228"/>
      <c r="BW432" s="228"/>
      <c r="BX432" s="228"/>
      <c r="BY432" s="228"/>
      <c r="BZ432" s="228"/>
      <c r="CA432" s="228"/>
      <c r="CB432" s="228"/>
      <c r="CC432" s="228"/>
      <c r="CD432" s="228"/>
      <c r="CE432" s="228"/>
      <c r="CF432" s="228"/>
      <c r="CG432" s="228"/>
      <c r="CH432" s="228"/>
      <c r="CI432" s="228"/>
      <c r="CJ432" s="228"/>
      <c r="CK432" s="228"/>
      <c r="CL432" s="228"/>
      <c r="CM432" s="228"/>
      <c r="CN432" s="228"/>
      <c r="CO432" s="228"/>
      <c r="CP432" s="228"/>
      <c r="CQ432" s="228"/>
      <c r="CR432" s="228"/>
      <c r="CS432" s="228"/>
      <c r="CT432" s="228"/>
      <c r="CU432" s="228"/>
      <c r="CV432" s="228"/>
      <c r="CW432" s="228"/>
      <c r="CX432" s="228"/>
      <c r="CY432" s="228"/>
      <c r="CZ432" s="228"/>
      <c r="DA432" s="228"/>
      <c r="DB432" s="228"/>
    </row>
    <row r="433" ht="12.0" customHeight="1">
      <c r="A433" s="228"/>
      <c r="B433" s="228"/>
      <c r="C433" s="228"/>
      <c r="D433" s="228"/>
      <c r="E433" s="228"/>
      <c r="F433" s="228"/>
      <c r="G433" s="228"/>
      <c r="H433" s="228"/>
      <c r="I433" s="228"/>
      <c r="J433" s="228"/>
      <c r="K433" s="228"/>
      <c r="L433" s="228"/>
      <c r="M433" s="228"/>
      <c r="N433" s="228"/>
      <c r="O433" s="228"/>
      <c r="P433" s="228"/>
      <c r="Q433" s="228"/>
      <c r="R433" s="228"/>
      <c r="S433" s="228"/>
      <c r="T433" s="228"/>
      <c r="U433" s="228"/>
      <c r="V433" s="228"/>
      <c r="W433" s="228"/>
      <c r="X433" s="228"/>
      <c r="Y433" s="228"/>
      <c r="Z433" s="228"/>
      <c r="AA433" s="228"/>
      <c r="AB433" s="228"/>
      <c r="AC433" s="228"/>
      <c r="AD433" s="228"/>
      <c r="AE433" s="228"/>
      <c r="AF433" s="228"/>
      <c r="AG433" s="228"/>
      <c r="AH433" s="228"/>
      <c r="AI433" s="228"/>
      <c r="AJ433" s="228"/>
      <c r="AK433" s="228"/>
      <c r="AL433" s="228"/>
      <c r="AM433" s="228"/>
      <c r="AN433" s="228"/>
      <c r="AO433" s="228"/>
      <c r="AP433" s="228"/>
      <c r="AQ433" s="228"/>
      <c r="AR433" s="228"/>
      <c r="AS433" s="228"/>
      <c r="AT433" s="228"/>
      <c r="AU433" s="228"/>
      <c r="AV433" s="228"/>
      <c r="AW433" s="228"/>
      <c r="AX433" s="228"/>
      <c r="AY433" s="228"/>
      <c r="AZ433" s="228"/>
      <c r="BA433" s="228"/>
      <c r="BB433" s="228"/>
      <c r="BC433" s="228"/>
      <c r="BD433" s="228"/>
      <c r="BE433" s="228"/>
      <c r="BF433" s="228"/>
      <c r="BG433" s="228"/>
      <c r="BH433" s="228"/>
      <c r="BI433" s="228"/>
      <c r="BJ433" s="228"/>
      <c r="BK433" s="228"/>
      <c r="BL433" s="228"/>
      <c r="BM433" s="228"/>
      <c r="BN433" s="228"/>
      <c r="BO433" s="228"/>
      <c r="BP433" s="228"/>
      <c r="BQ433" s="228"/>
      <c r="BR433" s="228"/>
      <c r="BS433" s="228"/>
      <c r="BT433" s="228"/>
      <c r="BU433" s="228"/>
      <c r="BV433" s="228"/>
      <c r="BW433" s="228"/>
      <c r="BX433" s="228"/>
      <c r="BY433" s="228"/>
      <c r="BZ433" s="228"/>
      <c r="CA433" s="228"/>
      <c r="CB433" s="228"/>
      <c r="CC433" s="228"/>
      <c r="CD433" s="228"/>
      <c r="CE433" s="228"/>
      <c r="CF433" s="228"/>
      <c r="CG433" s="228"/>
      <c r="CH433" s="228"/>
      <c r="CI433" s="228"/>
      <c r="CJ433" s="228"/>
      <c r="CK433" s="228"/>
      <c r="CL433" s="228"/>
      <c r="CM433" s="228"/>
      <c r="CN433" s="228"/>
      <c r="CO433" s="228"/>
      <c r="CP433" s="228"/>
      <c r="CQ433" s="228"/>
      <c r="CR433" s="228"/>
      <c r="CS433" s="228"/>
      <c r="CT433" s="228"/>
      <c r="CU433" s="228"/>
      <c r="CV433" s="228"/>
      <c r="CW433" s="228"/>
      <c r="CX433" s="228"/>
      <c r="CY433" s="228"/>
      <c r="CZ433" s="228"/>
      <c r="DA433" s="228"/>
      <c r="DB433" s="228"/>
    </row>
    <row r="434" ht="12.0" customHeight="1">
      <c r="A434" s="228"/>
      <c r="B434" s="228"/>
      <c r="C434" s="228"/>
      <c r="D434" s="228"/>
      <c r="E434" s="228"/>
      <c r="F434" s="228"/>
      <c r="G434" s="228"/>
      <c r="H434" s="228"/>
      <c r="I434" s="228"/>
      <c r="J434" s="228"/>
      <c r="K434" s="228"/>
      <c r="L434" s="228"/>
      <c r="M434" s="228"/>
      <c r="N434" s="228"/>
      <c r="O434" s="228"/>
      <c r="P434" s="228"/>
      <c r="Q434" s="228"/>
      <c r="R434" s="228"/>
      <c r="S434" s="228"/>
      <c r="T434" s="228"/>
      <c r="U434" s="228"/>
      <c r="V434" s="228"/>
      <c r="W434" s="228"/>
      <c r="X434" s="228"/>
      <c r="Y434" s="228"/>
      <c r="Z434" s="228"/>
      <c r="AA434" s="228"/>
      <c r="AB434" s="228"/>
      <c r="AC434" s="228"/>
      <c r="AD434" s="228"/>
      <c r="AE434" s="228"/>
      <c r="AF434" s="228"/>
      <c r="AG434" s="228"/>
      <c r="AH434" s="228"/>
      <c r="AI434" s="228"/>
      <c r="AJ434" s="228"/>
      <c r="AK434" s="228"/>
      <c r="AL434" s="228"/>
      <c r="AM434" s="228"/>
      <c r="AN434" s="228"/>
      <c r="AO434" s="228"/>
      <c r="AP434" s="228"/>
      <c r="AQ434" s="228"/>
      <c r="AR434" s="228"/>
      <c r="AS434" s="228"/>
      <c r="AT434" s="228"/>
      <c r="AU434" s="228"/>
      <c r="AV434" s="228"/>
      <c r="AW434" s="228"/>
      <c r="AX434" s="228"/>
      <c r="AY434" s="228"/>
      <c r="AZ434" s="228"/>
      <c r="BA434" s="228"/>
      <c r="BB434" s="228"/>
      <c r="BC434" s="228"/>
      <c r="BD434" s="228"/>
      <c r="BE434" s="228"/>
      <c r="BF434" s="228"/>
      <c r="BG434" s="228"/>
      <c r="BH434" s="228"/>
      <c r="BI434" s="228"/>
      <c r="BJ434" s="228"/>
      <c r="BK434" s="228"/>
      <c r="BL434" s="228"/>
      <c r="BM434" s="228"/>
      <c r="BN434" s="228"/>
      <c r="BO434" s="228"/>
      <c r="BP434" s="228"/>
      <c r="BQ434" s="228"/>
      <c r="BR434" s="228"/>
      <c r="BS434" s="228"/>
      <c r="BT434" s="228"/>
      <c r="BU434" s="228"/>
      <c r="BV434" s="228"/>
      <c r="BW434" s="228"/>
      <c r="BX434" s="228"/>
      <c r="BY434" s="228"/>
      <c r="BZ434" s="228"/>
      <c r="CA434" s="228"/>
      <c r="CB434" s="228"/>
      <c r="CC434" s="228"/>
      <c r="CD434" s="228"/>
      <c r="CE434" s="228"/>
      <c r="CF434" s="228"/>
      <c r="CG434" s="228"/>
      <c r="CH434" s="228"/>
      <c r="CI434" s="228"/>
      <c r="CJ434" s="228"/>
      <c r="CK434" s="228"/>
      <c r="CL434" s="228"/>
      <c r="CM434" s="228"/>
      <c r="CN434" s="228"/>
      <c r="CO434" s="228"/>
      <c r="CP434" s="228"/>
      <c r="CQ434" s="228"/>
      <c r="CR434" s="228"/>
      <c r="CS434" s="228"/>
      <c r="CT434" s="228"/>
      <c r="CU434" s="228"/>
      <c r="CV434" s="228"/>
      <c r="CW434" s="228"/>
      <c r="CX434" s="228"/>
      <c r="CY434" s="228"/>
      <c r="CZ434" s="228"/>
      <c r="DA434" s="228"/>
      <c r="DB434" s="228"/>
    </row>
    <row r="435" ht="12.0" customHeight="1">
      <c r="A435" s="228"/>
      <c r="B435" s="228"/>
      <c r="C435" s="228"/>
      <c r="D435" s="228"/>
      <c r="E435" s="228"/>
      <c r="F435" s="228"/>
      <c r="G435" s="228"/>
      <c r="H435" s="228"/>
      <c r="I435" s="228"/>
      <c r="J435" s="228"/>
      <c r="K435" s="228"/>
      <c r="L435" s="228"/>
      <c r="M435" s="228"/>
      <c r="N435" s="228"/>
      <c r="O435" s="228"/>
      <c r="P435" s="228"/>
      <c r="Q435" s="228"/>
      <c r="R435" s="228"/>
      <c r="S435" s="228"/>
      <c r="T435" s="228"/>
      <c r="U435" s="228"/>
      <c r="V435" s="228"/>
      <c r="W435" s="228"/>
      <c r="X435" s="228"/>
      <c r="Y435" s="228"/>
      <c r="Z435" s="228"/>
      <c r="AA435" s="228"/>
      <c r="AB435" s="228"/>
      <c r="AC435" s="228"/>
      <c r="AD435" s="228"/>
      <c r="AE435" s="228"/>
      <c r="AF435" s="228"/>
      <c r="AG435" s="228"/>
      <c r="AH435" s="228"/>
      <c r="AI435" s="228"/>
      <c r="AJ435" s="228"/>
      <c r="AK435" s="228"/>
      <c r="AL435" s="228"/>
      <c r="AM435" s="228"/>
      <c r="AN435" s="228"/>
      <c r="AO435" s="228"/>
      <c r="AP435" s="228"/>
      <c r="AQ435" s="228"/>
      <c r="AR435" s="228"/>
      <c r="AS435" s="228"/>
      <c r="AT435" s="228"/>
      <c r="AU435" s="228"/>
      <c r="AV435" s="228"/>
      <c r="AW435" s="228"/>
      <c r="AX435" s="228"/>
      <c r="AY435" s="228"/>
      <c r="AZ435" s="228"/>
      <c r="BA435" s="228"/>
      <c r="BB435" s="228"/>
      <c r="BC435" s="228"/>
      <c r="BD435" s="228"/>
      <c r="BE435" s="228"/>
      <c r="BF435" s="228"/>
      <c r="BG435" s="228"/>
      <c r="BH435" s="228"/>
      <c r="BI435" s="228"/>
      <c r="BJ435" s="228"/>
      <c r="BK435" s="228"/>
      <c r="BL435" s="228"/>
      <c r="BM435" s="228"/>
      <c r="BN435" s="228"/>
      <c r="BO435" s="228"/>
      <c r="BP435" s="228"/>
      <c r="BQ435" s="228"/>
      <c r="BR435" s="228"/>
      <c r="BS435" s="228"/>
      <c r="BT435" s="228"/>
      <c r="BU435" s="228"/>
      <c r="BV435" s="228"/>
      <c r="BW435" s="228"/>
      <c r="BX435" s="228"/>
      <c r="BY435" s="228"/>
      <c r="BZ435" s="228"/>
      <c r="CA435" s="228"/>
      <c r="CB435" s="228"/>
      <c r="CC435" s="228"/>
      <c r="CD435" s="228"/>
      <c r="CE435" s="228"/>
      <c r="CF435" s="228"/>
      <c r="CG435" s="228"/>
      <c r="CH435" s="228"/>
      <c r="CI435" s="228"/>
      <c r="CJ435" s="228"/>
      <c r="CK435" s="228"/>
      <c r="CL435" s="228"/>
      <c r="CM435" s="228"/>
      <c r="CN435" s="228"/>
      <c r="CO435" s="228"/>
      <c r="CP435" s="228"/>
      <c r="CQ435" s="228"/>
      <c r="CR435" s="228"/>
      <c r="CS435" s="228"/>
      <c r="CT435" s="228"/>
      <c r="CU435" s="228"/>
      <c r="CV435" s="228"/>
      <c r="CW435" s="228"/>
      <c r="CX435" s="228"/>
      <c r="CY435" s="228"/>
      <c r="CZ435" s="228"/>
      <c r="DA435" s="228"/>
      <c r="DB435" s="228"/>
    </row>
    <row r="436" ht="12.0" customHeight="1">
      <c r="A436" s="228"/>
      <c r="B436" s="228"/>
      <c r="C436" s="228"/>
      <c r="D436" s="228"/>
      <c r="E436" s="228"/>
      <c r="F436" s="228"/>
      <c r="G436" s="228"/>
      <c r="H436" s="228"/>
      <c r="I436" s="228"/>
      <c r="J436" s="228"/>
      <c r="K436" s="228"/>
      <c r="L436" s="228"/>
      <c r="M436" s="228"/>
      <c r="N436" s="228"/>
      <c r="O436" s="228"/>
      <c r="P436" s="228"/>
      <c r="Q436" s="228"/>
      <c r="R436" s="228"/>
      <c r="S436" s="228"/>
      <c r="T436" s="228"/>
      <c r="U436" s="228"/>
      <c r="V436" s="228"/>
      <c r="W436" s="228"/>
      <c r="X436" s="228"/>
      <c r="Y436" s="228"/>
      <c r="Z436" s="228"/>
      <c r="AA436" s="228"/>
      <c r="AB436" s="228"/>
      <c r="AC436" s="228"/>
      <c r="AD436" s="228"/>
      <c r="AE436" s="228"/>
      <c r="AF436" s="228"/>
      <c r="AG436" s="228"/>
      <c r="AH436" s="228"/>
      <c r="AI436" s="228"/>
      <c r="AJ436" s="228"/>
      <c r="AK436" s="228"/>
      <c r="AL436" s="228"/>
      <c r="AM436" s="228"/>
      <c r="AN436" s="228"/>
      <c r="AO436" s="228"/>
      <c r="AP436" s="228"/>
      <c r="AQ436" s="228"/>
      <c r="AR436" s="228"/>
      <c r="AS436" s="228"/>
      <c r="AT436" s="228"/>
      <c r="AU436" s="228"/>
      <c r="AV436" s="228"/>
      <c r="AW436" s="228"/>
      <c r="AX436" s="228"/>
      <c r="AY436" s="228"/>
      <c r="AZ436" s="228"/>
      <c r="BA436" s="228"/>
      <c r="BB436" s="228"/>
      <c r="BC436" s="228"/>
      <c r="BD436" s="228"/>
      <c r="BE436" s="228"/>
      <c r="BF436" s="228"/>
      <c r="BG436" s="228"/>
      <c r="BH436" s="228"/>
      <c r="BI436" s="228"/>
      <c r="BJ436" s="228"/>
      <c r="BK436" s="228"/>
      <c r="BL436" s="228"/>
      <c r="BM436" s="228"/>
      <c r="BN436" s="228"/>
      <c r="BO436" s="228"/>
      <c r="BP436" s="228"/>
      <c r="BQ436" s="228"/>
      <c r="BR436" s="228"/>
      <c r="BS436" s="228"/>
      <c r="BT436" s="228"/>
      <c r="BU436" s="228"/>
      <c r="BV436" s="228"/>
      <c r="BW436" s="228"/>
      <c r="BX436" s="228"/>
      <c r="BY436" s="228"/>
      <c r="BZ436" s="228"/>
      <c r="CA436" s="228"/>
      <c r="CB436" s="228"/>
      <c r="CC436" s="228"/>
      <c r="CD436" s="228"/>
      <c r="CE436" s="228"/>
      <c r="CF436" s="228"/>
      <c r="CG436" s="228"/>
      <c r="CH436" s="228"/>
      <c r="CI436" s="228"/>
      <c r="CJ436" s="228"/>
      <c r="CK436" s="228"/>
      <c r="CL436" s="228"/>
      <c r="CM436" s="228"/>
      <c r="CN436" s="228"/>
      <c r="CO436" s="228"/>
      <c r="CP436" s="228"/>
      <c r="CQ436" s="228"/>
      <c r="CR436" s="228"/>
      <c r="CS436" s="228"/>
      <c r="CT436" s="228"/>
      <c r="CU436" s="228"/>
      <c r="CV436" s="228"/>
      <c r="CW436" s="228"/>
      <c r="CX436" s="228"/>
      <c r="CY436" s="228"/>
      <c r="CZ436" s="228"/>
      <c r="DA436" s="228"/>
      <c r="DB436" s="228"/>
    </row>
    <row r="437" ht="12.0" customHeight="1">
      <c r="A437" s="228"/>
      <c r="B437" s="228"/>
      <c r="C437" s="228"/>
      <c r="D437" s="228"/>
      <c r="E437" s="228"/>
      <c r="F437" s="228"/>
      <c r="G437" s="228"/>
      <c r="H437" s="228"/>
      <c r="I437" s="228"/>
      <c r="J437" s="228"/>
      <c r="K437" s="228"/>
      <c r="L437" s="228"/>
      <c r="M437" s="228"/>
      <c r="N437" s="228"/>
      <c r="O437" s="228"/>
      <c r="P437" s="228"/>
      <c r="Q437" s="228"/>
      <c r="R437" s="228"/>
      <c r="S437" s="228"/>
      <c r="T437" s="228"/>
      <c r="U437" s="228"/>
      <c r="V437" s="228"/>
      <c r="W437" s="228"/>
      <c r="X437" s="228"/>
      <c r="Y437" s="228"/>
      <c r="Z437" s="228"/>
      <c r="AA437" s="228"/>
      <c r="AB437" s="228"/>
      <c r="AC437" s="228"/>
      <c r="AD437" s="228"/>
      <c r="AE437" s="228"/>
      <c r="AF437" s="228"/>
      <c r="AG437" s="228"/>
      <c r="AH437" s="228"/>
      <c r="AI437" s="228"/>
      <c r="AJ437" s="228"/>
      <c r="AK437" s="228"/>
      <c r="AL437" s="228"/>
      <c r="AM437" s="228"/>
      <c r="AN437" s="228"/>
      <c r="AO437" s="228"/>
      <c r="AP437" s="228"/>
      <c r="AQ437" s="228"/>
      <c r="AR437" s="228"/>
      <c r="AS437" s="228"/>
      <c r="AT437" s="228"/>
      <c r="AU437" s="228"/>
      <c r="AV437" s="228"/>
      <c r="AW437" s="228"/>
      <c r="AX437" s="228"/>
      <c r="AY437" s="228"/>
      <c r="AZ437" s="228"/>
      <c r="BA437" s="228"/>
      <c r="BB437" s="228"/>
      <c r="BC437" s="228"/>
      <c r="BD437" s="228"/>
      <c r="BE437" s="228"/>
      <c r="BF437" s="228"/>
      <c r="BG437" s="228"/>
      <c r="BH437" s="228"/>
      <c r="BI437" s="228"/>
      <c r="BJ437" s="228"/>
      <c r="BK437" s="228"/>
      <c r="BL437" s="228"/>
      <c r="BM437" s="228"/>
      <c r="BN437" s="228"/>
      <c r="BO437" s="228"/>
      <c r="BP437" s="228"/>
      <c r="BQ437" s="228"/>
      <c r="BR437" s="228"/>
      <c r="BS437" s="228"/>
      <c r="BT437" s="228"/>
      <c r="BU437" s="228"/>
      <c r="BV437" s="228"/>
      <c r="BW437" s="228"/>
      <c r="BX437" s="228"/>
      <c r="BY437" s="228"/>
      <c r="BZ437" s="228"/>
      <c r="CA437" s="228"/>
      <c r="CB437" s="228"/>
      <c r="CC437" s="228"/>
      <c r="CD437" s="228"/>
      <c r="CE437" s="228"/>
      <c r="CF437" s="228"/>
      <c r="CG437" s="228"/>
      <c r="CH437" s="228"/>
      <c r="CI437" s="228"/>
      <c r="CJ437" s="228"/>
      <c r="CK437" s="228"/>
      <c r="CL437" s="228"/>
      <c r="CM437" s="228"/>
      <c r="CN437" s="228"/>
      <c r="CO437" s="228"/>
      <c r="CP437" s="228"/>
      <c r="CQ437" s="228"/>
      <c r="CR437" s="228"/>
      <c r="CS437" s="228"/>
      <c r="CT437" s="228"/>
      <c r="CU437" s="228"/>
      <c r="CV437" s="228"/>
      <c r="CW437" s="228"/>
      <c r="CX437" s="228"/>
      <c r="CY437" s="228"/>
      <c r="CZ437" s="228"/>
      <c r="DA437" s="228"/>
      <c r="DB437" s="228"/>
    </row>
    <row r="438" ht="12.0" customHeight="1">
      <c r="A438" s="228"/>
      <c r="B438" s="228"/>
      <c r="C438" s="228"/>
      <c r="D438" s="228"/>
      <c r="E438" s="228"/>
      <c r="F438" s="228"/>
      <c r="G438" s="228"/>
      <c r="H438" s="228"/>
      <c r="I438" s="228"/>
      <c r="J438" s="228"/>
      <c r="K438" s="228"/>
      <c r="L438" s="228"/>
      <c r="M438" s="228"/>
      <c r="N438" s="228"/>
      <c r="O438" s="228"/>
      <c r="P438" s="228"/>
      <c r="Q438" s="228"/>
      <c r="R438" s="228"/>
      <c r="S438" s="228"/>
      <c r="T438" s="228"/>
      <c r="U438" s="228"/>
      <c r="V438" s="228"/>
      <c r="W438" s="228"/>
      <c r="X438" s="228"/>
      <c r="Y438" s="228"/>
      <c r="Z438" s="228"/>
      <c r="AA438" s="228"/>
      <c r="AB438" s="228"/>
      <c r="AC438" s="228"/>
      <c r="AD438" s="228"/>
      <c r="AE438" s="228"/>
      <c r="AF438" s="228"/>
      <c r="AG438" s="228"/>
      <c r="AH438" s="228"/>
      <c r="AI438" s="228"/>
      <c r="AJ438" s="228"/>
      <c r="AK438" s="228"/>
      <c r="AL438" s="228"/>
      <c r="AM438" s="228"/>
      <c r="AN438" s="228"/>
      <c r="AO438" s="228"/>
      <c r="AP438" s="228"/>
      <c r="AQ438" s="228"/>
      <c r="AR438" s="228"/>
      <c r="AS438" s="228"/>
      <c r="AT438" s="228"/>
      <c r="AU438" s="228"/>
      <c r="AV438" s="228"/>
      <c r="AW438" s="228"/>
      <c r="AX438" s="228"/>
      <c r="AY438" s="228"/>
      <c r="AZ438" s="228"/>
      <c r="BA438" s="228"/>
      <c r="BB438" s="228"/>
      <c r="BC438" s="228"/>
      <c r="BD438" s="228"/>
      <c r="BE438" s="228"/>
      <c r="BF438" s="228"/>
      <c r="BG438" s="228"/>
      <c r="BH438" s="228"/>
      <c r="BI438" s="228"/>
      <c r="BJ438" s="228"/>
      <c r="BK438" s="228"/>
      <c r="BL438" s="228"/>
      <c r="BM438" s="228"/>
      <c r="BN438" s="228"/>
      <c r="BO438" s="228"/>
      <c r="BP438" s="228"/>
      <c r="BQ438" s="228"/>
      <c r="BR438" s="228"/>
      <c r="BS438" s="228"/>
      <c r="BT438" s="228"/>
      <c r="BU438" s="228"/>
      <c r="BV438" s="228"/>
      <c r="BW438" s="228"/>
      <c r="BX438" s="228"/>
      <c r="BY438" s="228"/>
      <c r="BZ438" s="228"/>
      <c r="CA438" s="228"/>
      <c r="CB438" s="228"/>
      <c r="CC438" s="228"/>
      <c r="CD438" s="228"/>
      <c r="CE438" s="228"/>
      <c r="CF438" s="228"/>
      <c r="CG438" s="228"/>
      <c r="CH438" s="228"/>
      <c r="CI438" s="228"/>
      <c r="CJ438" s="228"/>
      <c r="CK438" s="228"/>
      <c r="CL438" s="228"/>
      <c r="CM438" s="228"/>
      <c r="CN438" s="228"/>
      <c r="CO438" s="228"/>
      <c r="CP438" s="228"/>
      <c r="CQ438" s="228"/>
      <c r="CR438" s="228"/>
      <c r="CS438" s="228"/>
      <c r="CT438" s="228"/>
      <c r="CU438" s="228"/>
      <c r="CV438" s="228"/>
      <c r="CW438" s="228"/>
      <c r="CX438" s="228"/>
      <c r="CY438" s="228"/>
      <c r="CZ438" s="228"/>
      <c r="DA438" s="228"/>
      <c r="DB438" s="228"/>
    </row>
    <row r="439" ht="12.0" customHeight="1">
      <c r="A439" s="228"/>
      <c r="B439" s="228"/>
      <c r="C439" s="228"/>
      <c r="D439" s="228"/>
      <c r="E439" s="228"/>
      <c r="F439" s="228"/>
      <c r="G439" s="228"/>
      <c r="H439" s="228"/>
      <c r="I439" s="228"/>
      <c r="J439" s="228"/>
      <c r="K439" s="228"/>
      <c r="L439" s="228"/>
      <c r="M439" s="228"/>
      <c r="N439" s="228"/>
      <c r="O439" s="228"/>
      <c r="P439" s="228"/>
      <c r="Q439" s="228"/>
      <c r="R439" s="228"/>
      <c r="S439" s="228"/>
      <c r="T439" s="228"/>
      <c r="U439" s="228"/>
      <c r="V439" s="228"/>
      <c r="W439" s="228"/>
      <c r="X439" s="228"/>
      <c r="Y439" s="228"/>
      <c r="Z439" s="228"/>
      <c r="AA439" s="228"/>
      <c r="AB439" s="228"/>
      <c r="AC439" s="228"/>
      <c r="AD439" s="228"/>
      <c r="AE439" s="228"/>
      <c r="AF439" s="228"/>
      <c r="AG439" s="228"/>
      <c r="AH439" s="228"/>
      <c r="AI439" s="228"/>
      <c r="AJ439" s="228"/>
      <c r="AK439" s="228"/>
      <c r="AL439" s="228"/>
      <c r="AM439" s="228"/>
      <c r="AN439" s="228"/>
      <c r="AO439" s="228"/>
      <c r="AP439" s="228"/>
      <c r="AQ439" s="228"/>
      <c r="AR439" s="228"/>
      <c r="AS439" s="228"/>
      <c r="AT439" s="228"/>
      <c r="AU439" s="228"/>
      <c r="AV439" s="228"/>
      <c r="AW439" s="228"/>
      <c r="AX439" s="228"/>
      <c r="AY439" s="228"/>
      <c r="AZ439" s="228"/>
      <c r="BA439" s="228"/>
      <c r="BB439" s="228"/>
      <c r="BC439" s="228"/>
      <c r="BD439" s="228"/>
      <c r="BE439" s="228"/>
      <c r="BF439" s="228"/>
      <c r="BG439" s="228"/>
      <c r="BH439" s="228"/>
      <c r="BI439" s="228"/>
      <c r="BJ439" s="228"/>
      <c r="BK439" s="228"/>
      <c r="BL439" s="228"/>
      <c r="BM439" s="228"/>
      <c r="BN439" s="228"/>
      <c r="BO439" s="228"/>
      <c r="BP439" s="228"/>
      <c r="BQ439" s="228"/>
      <c r="BR439" s="228"/>
      <c r="BS439" s="228"/>
      <c r="BT439" s="228"/>
      <c r="BU439" s="228"/>
      <c r="BV439" s="228"/>
      <c r="BW439" s="228"/>
      <c r="BX439" s="228"/>
      <c r="BY439" s="228"/>
      <c r="BZ439" s="228"/>
      <c r="CA439" s="228"/>
      <c r="CB439" s="228"/>
      <c r="CC439" s="228"/>
      <c r="CD439" s="228"/>
      <c r="CE439" s="228"/>
      <c r="CF439" s="228"/>
      <c r="CG439" s="228"/>
      <c r="CH439" s="228"/>
      <c r="CI439" s="228"/>
      <c r="CJ439" s="228"/>
      <c r="CK439" s="228"/>
      <c r="CL439" s="228"/>
      <c r="CM439" s="228"/>
      <c r="CN439" s="228"/>
      <c r="CO439" s="228"/>
      <c r="CP439" s="228"/>
      <c r="CQ439" s="228"/>
      <c r="CR439" s="228"/>
      <c r="CS439" s="228"/>
      <c r="CT439" s="228"/>
      <c r="CU439" s="228"/>
      <c r="CV439" s="228"/>
      <c r="CW439" s="228"/>
      <c r="CX439" s="228"/>
      <c r="CY439" s="228"/>
      <c r="CZ439" s="228"/>
      <c r="DA439" s="228"/>
      <c r="DB439" s="228"/>
    </row>
    <row r="440" ht="12.0" customHeight="1">
      <c r="A440" s="228"/>
      <c r="B440" s="228"/>
      <c r="C440" s="228"/>
      <c r="D440" s="228"/>
      <c r="E440" s="228"/>
      <c r="F440" s="228"/>
      <c r="G440" s="228"/>
      <c r="H440" s="228"/>
      <c r="I440" s="228"/>
      <c r="J440" s="228"/>
      <c r="K440" s="228"/>
      <c r="L440" s="228"/>
      <c r="M440" s="228"/>
      <c r="N440" s="228"/>
      <c r="O440" s="228"/>
      <c r="P440" s="228"/>
      <c r="Q440" s="228"/>
      <c r="R440" s="228"/>
      <c r="S440" s="228"/>
      <c r="T440" s="228"/>
      <c r="U440" s="228"/>
      <c r="V440" s="228"/>
      <c r="W440" s="228"/>
      <c r="X440" s="228"/>
      <c r="Y440" s="228"/>
      <c r="Z440" s="228"/>
      <c r="AA440" s="228"/>
      <c r="AB440" s="228"/>
      <c r="AC440" s="228"/>
      <c r="AD440" s="228"/>
      <c r="AE440" s="228"/>
      <c r="AF440" s="228"/>
      <c r="AG440" s="228"/>
      <c r="AH440" s="228"/>
      <c r="AI440" s="228"/>
      <c r="AJ440" s="228"/>
      <c r="AK440" s="228"/>
      <c r="AL440" s="228"/>
      <c r="AM440" s="228"/>
      <c r="AN440" s="228"/>
      <c r="AO440" s="228"/>
      <c r="AP440" s="228"/>
      <c r="AQ440" s="228"/>
      <c r="AR440" s="228"/>
      <c r="AS440" s="228"/>
      <c r="AT440" s="228"/>
      <c r="AU440" s="228"/>
      <c r="AV440" s="228"/>
      <c r="AW440" s="228"/>
      <c r="AX440" s="228"/>
      <c r="AY440" s="228"/>
      <c r="AZ440" s="228"/>
      <c r="BA440" s="228"/>
      <c r="BB440" s="228"/>
      <c r="BC440" s="228"/>
      <c r="BD440" s="228"/>
      <c r="BE440" s="228"/>
      <c r="BF440" s="228"/>
      <c r="BG440" s="228"/>
      <c r="BH440" s="228"/>
      <c r="BI440" s="228"/>
      <c r="BJ440" s="228"/>
      <c r="BK440" s="228"/>
      <c r="BL440" s="228"/>
      <c r="BM440" s="228"/>
      <c r="BN440" s="228"/>
      <c r="BO440" s="228"/>
      <c r="BP440" s="228"/>
      <c r="BQ440" s="228"/>
      <c r="BR440" s="228"/>
      <c r="BS440" s="228"/>
      <c r="BT440" s="228"/>
      <c r="BU440" s="228"/>
      <c r="BV440" s="228"/>
      <c r="BW440" s="228"/>
      <c r="BX440" s="228"/>
      <c r="BY440" s="228"/>
      <c r="BZ440" s="228"/>
      <c r="CA440" s="228"/>
      <c r="CB440" s="228"/>
      <c r="CC440" s="228"/>
      <c r="CD440" s="228"/>
      <c r="CE440" s="228"/>
      <c r="CF440" s="228"/>
      <c r="CG440" s="228"/>
      <c r="CH440" s="228"/>
      <c r="CI440" s="228"/>
      <c r="CJ440" s="228"/>
      <c r="CK440" s="228"/>
      <c r="CL440" s="228"/>
      <c r="CM440" s="228"/>
      <c r="CN440" s="228"/>
      <c r="CO440" s="228"/>
      <c r="CP440" s="228"/>
      <c r="CQ440" s="228"/>
      <c r="CR440" s="228"/>
      <c r="CS440" s="228"/>
      <c r="CT440" s="228"/>
      <c r="CU440" s="228"/>
      <c r="CV440" s="228"/>
      <c r="CW440" s="228"/>
      <c r="CX440" s="228"/>
      <c r="CY440" s="228"/>
      <c r="CZ440" s="228"/>
      <c r="DA440" s="228"/>
      <c r="DB440" s="228"/>
    </row>
    <row r="441" ht="12.0" customHeight="1">
      <c r="A441" s="228"/>
      <c r="B441" s="228"/>
      <c r="C441" s="228"/>
      <c r="D441" s="228"/>
      <c r="E441" s="228"/>
      <c r="F441" s="228"/>
      <c r="G441" s="228"/>
      <c r="H441" s="228"/>
      <c r="I441" s="228"/>
      <c r="J441" s="228"/>
      <c r="K441" s="228"/>
      <c r="L441" s="228"/>
      <c r="M441" s="228"/>
      <c r="N441" s="228"/>
      <c r="O441" s="228"/>
      <c r="P441" s="228"/>
      <c r="Q441" s="228"/>
      <c r="R441" s="228"/>
      <c r="S441" s="228"/>
      <c r="T441" s="228"/>
      <c r="U441" s="228"/>
      <c r="V441" s="228"/>
      <c r="W441" s="228"/>
      <c r="X441" s="228"/>
      <c r="Y441" s="228"/>
      <c r="Z441" s="228"/>
      <c r="AA441" s="228"/>
      <c r="AB441" s="228"/>
      <c r="AC441" s="228"/>
      <c r="AD441" s="228"/>
      <c r="AE441" s="228"/>
      <c r="AF441" s="228"/>
      <c r="AG441" s="228"/>
      <c r="AH441" s="228"/>
      <c r="AI441" s="228"/>
      <c r="AJ441" s="228"/>
      <c r="AK441" s="228"/>
      <c r="AL441" s="228"/>
      <c r="AM441" s="228"/>
      <c r="AN441" s="228"/>
      <c r="AO441" s="228"/>
      <c r="AP441" s="228"/>
      <c r="AQ441" s="228"/>
      <c r="AR441" s="228"/>
      <c r="AS441" s="228"/>
      <c r="AT441" s="228"/>
      <c r="AU441" s="228"/>
      <c r="AV441" s="228"/>
      <c r="AW441" s="228"/>
      <c r="AX441" s="228"/>
      <c r="AY441" s="228"/>
      <c r="AZ441" s="228"/>
      <c r="BA441" s="228"/>
      <c r="BB441" s="228"/>
      <c r="BC441" s="228"/>
      <c r="BD441" s="228"/>
      <c r="BE441" s="228"/>
      <c r="BF441" s="228"/>
      <c r="BG441" s="228"/>
      <c r="BH441" s="228"/>
      <c r="BI441" s="228"/>
      <c r="BJ441" s="228"/>
      <c r="BK441" s="228"/>
      <c r="BL441" s="228"/>
      <c r="BM441" s="228"/>
      <c r="BN441" s="228"/>
      <c r="BO441" s="228"/>
      <c r="BP441" s="228"/>
      <c r="BQ441" s="228"/>
      <c r="BR441" s="228"/>
      <c r="BS441" s="228"/>
      <c r="BT441" s="228"/>
      <c r="BU441" s="228"/>
      <c r="BV441" s="228"/>
      <c r="BW441" s="228"/>
      <c r="BX441" s="228"/>
      <c r="BY441" s="228"/>
      <c r="BZ441" s="228"/>
      <c r="CA441" s="228"/>
      <c r="CB441" s="228"/>
      <c r="CC441" s="228"/>
      <c r="CD441" s="228"/>
      <c r="CE441" s="228"/>
      <c r="CF441" s="228"/>
      <c r="CG441" s="228"/>
      <c r="CH441" s="228"/>
      <c r="CI441" s="228"/>
      <c r="CJ441" s="228"/>
      <c r="CK441" s="228"/>
      <c r="CL441" s="228"/>
      <c r="CM441" s="228"/>
      <c r="CN441" s="228"/>
      <c r="CO441" s="228"/>
      <c r="CP441" s="228"/>
      <c r="CQ441" s="228"/>
      <c r="CR441" s="228"/>
      <c r="CS441" s="228"/>
      <c r="CT441" s="228"/>
      <c r="CU441" s="228"/>
      <c r="CV441" s="228"/>
      <c r="CW441" s="228"/>
      <c r="CX441" s="228"/>
      <c r="CY441" s="228"/>
      <c r="CZ441" s="228"/>
      <c r="DA441" s="228"/>
      <c r="DB441" s="228"/>
    </row>
    <row r="442" ht="12.0" customHeight="1">
      <c r="A442" s="228"/>
      <c r="B442" s="228"/>
      <c r="C442" s="228"/>
      <c r="D442" s="228"/>
      <c r="E442" s="228"/>
      <c r="F442" s="228"/>
      <c r="G442" s="228"/>
      <c r="H442" s="228"/>
      <c r="I442" s="228"/>
      <c r="J442" s="228"/>
      <c r="K442" s="228"/>
      <c r="L442" s="228"/>
      <c r="M442" s="228"/>
      <c r="N442" s="228"/>
      <c r="O442" s="228"/>
      <c r="P442" s="228"/>
      <c r="Q442" s="228"/>
      <c r="R442" s="228"/>
      <c r="S442" s="228"/>
      <c r="T442" s="228"/>
      <c r="U442" s="228"/>
      <c r="V442" s="228"/>
      <c r="W442" s="228"/>
      <c r="X442" s="228"/>
      <c r="Y442" s="228"/>
      <c r="Z442" s="228"/>
      <c r="AA442" s="228"/>
      <c r="AB442" s="228"/>
      <c r="AC442" s="228"/>
      <c r="AD442" s="228"/>
      <c r="AE442" s="228"/>
      <c r="AF442" s="228"/>
      <c r="AG442" s="228"/>
      <c r="AH442" s="228"/>
      <c r="AI442" s="228"/>
      <c r="AJ442" s="228"/>
      <c r="AK442" s="228"/>
      <c r="AL442" s="228"/>
      <c r="AM442" s="228"/>
      <c r="AN442" s="228"/>
      <c r="AO442" s="228"/>
      <c r="AP442" s="228"/>
      <c r="AQ442" s="228"/>
      <c r="AR442" s="228"/>
      <c r="AS442" s="228"/>
      <c r="AT442" s="228"/>
      <c r="AU442" s="228"/>
      <c r="AV442" s="228"/>
      <c r="AW442" s="228"/>
      <c r="AX442" s="228"/>
      <c r="AY442" s="228"/>
      <c r="AZ442" s="228"/>
      <c r="BA442" s="228"/>
      <c r="BB442" s="228"/>
      <c r="BC442" s="228"/>
      <c r="BD442" s="228"/>
      <c r="BE442" s="228"/>
      <c r="BF442" s="228"/>
      <c r="BG442" s="228"/>
      <c r="BH442" s="228"/>
      <c r="BI442" s="228"/>
      <c r="BJ442" s="228"/>
      <c r="BK442" s="228"/>
      <c r="BL442" s="228"/>
      <c r="BM442" s="228"/>
      <c r="BN442" s="228"/>
      <c r="BO442" s="228"/>
      <c r="BP442" s="228"/>
      <c r="BQ442" s="228"/>
      <c r="BR442" s="228"/>
      <c r="BS442" s="228"/>
      <c r="BT442" s="228"/>
      <c r="BU442" s="228"/>
      <c r="BV442" s="228"/>
      <c r="BW442" s="228"/>
      <c r="BX442" s="228"/>
      <c r="BY442" s="228"/>
      <c r="BZ442" s="228"/>
      <c r="CA442" s="228"/>
      <c r="CB442" s="228"/>
      <c r="CC442" s="228"/>
      <c r="CD442" s="228"/>
      <c r="CE442" s="228"/>
      <c r="CF442" s="228"/>
      <c r="CG442" s="228"/>
      <c r="CH442" s="228"/>
      <c r="CI442" s="228"/>
      <c r="CJ442" s="228"/>
      <c r="CK442" s="228"/>
      <c r="CL442" s="228"/>
      <c r="CM442" s="228"/>
      <c r="CN442" s="228"/>
      <c r="CO442" s="228"/>
      <c r="CP442" s="228"/>
      <c r="CQ442" s="228"/>
      <c r="CR442" s="228"/>
      <c r="CS442" s="228"/>
      <c r="CT442" s="228"/>
      <c r="CU442" s="228"/>
      <c r="CV442" s="228"/>
      <c r="CW442" s="228"/>
      <c r="CX442" s="228"/>
      <c r="CY442" s="228"/>
      <c r="CZ442" s="228"/>
      <c r="DA442" s="228"/>
      <c r="DB442" s="228"/>
    </row>
    <row r="443" ht="12.0" customHeight="1">
      <c r="A443" s="228"/>
      <c r="B443" s="228"/>
      <c r="C443" s="228"/>
      <c r="D443" s="228"/>
      <c r="E443" s="228"/>
      <c r="F443" s="228"/>
      <c r="G443" s="228"/>
      <c r="H443" s="228"/>
      <c r="I443" s="228"/>
      <c r="J443" s="228"/>
      <c r="K443" s="228"/>
      <c r="L443" s="228"/>
      <c r="M443" s="228"/>
      <c r="N443" s="228"/>
      <c r="O443" s="228"/>
      <c r="P443" s="228"/>
      <c r="Q443" s="228"/>
      <c r="R443" s="228"/>
      <c r="S443" s="228"/>
      <c r="T443" s="228"/>
      <c r="U443" s="228"/>
      <c r="V443" s="228"/>
      <c r="W443" s="228"/>
      <c r="X443" s="228"/>
      <c r="Y443" s="228"/>
      <c r="Z443" s="228"/>
      <c r="AA443" s="228"/>
      <c r="AB443" s="228"/>
      <c r="AC443" s="228"/>
      <c r="AD443" s="228"/>
      <c r="AE443" s="228"/>
      <c r="AF443" s="228"/>
      <c r="AG443" s="228"/>
      <c r="AH443" s="228"/>
      <c r="AI443" s="228"/>
      <c r="AJ443" s="228"/>
      <c r="AK443" s="228"/>
      <c r="AL443" s="228"/>
      <c r="AM443" s="228"/>
      <c r="AN443" s="228"/>
      <c r="AO443" s="228"/>
      <c r="AP443" s="228"/>
      <c r="AQ443" s="228"/>
      <c r="AR443" s="228"/>
      <c r="AS443" s="228"/>
      <c r="AT443" s="228"/>
      <c r="AU443" s="228"/>
      <c r="AV443" s="228"/>
      <c r="AW443" s="228"/>
      <c r="AX443" s="228"/>
      <c r="AY443" s="228"/>
      <c r="AZ443" s="228"/>
      <c r="BA443" s="228"/>
      <c r="BB443" s="228"/>
      <c r="BC443" s="228"/>
      <c r="BD443" s="228"/>
      <c r="BE443" s="228"/>
      <c r="BF443" s="228"/>
      <c r="BG443" s="228"/>
      <c r="BH443" s="228"/>
      <c r="BI443" s="228"/>
      <c r="BJ443" s="228"/>
      <c r="BK443" s="228"/>
      <c r="BL443" s="228"/>
      <c r="BM443" s="228"/>
      <c r="BN443" s="228"/>
      <c r="BO443" s="228"/>
      <c r="BP443" s="228"/>
      <c r="BQ443" s="228"/>
      <c r="BR443" s="228"/>
      <c r="BS443" s="228"/>
      <c r="BT443" s="228"/>
      <c r="BU443" s="228"/>
      <c r="BV443" s="228"/>
      <c r="BW443" s="228"/>
      <c r="BX443" s="228"/>
      <c r="BY443" s="228"/>
      <c r="BZ443" s="228"/>
      <c r="CA443" s="228"/>
      <c r="CB443" s="228"/>
      <c r="CC443" s="228"/>
      <c r="CD443" s="228"/>
      <c r="CE443" s="228"/>
      <c r="CF443" s="228"/>
      <c r="CG443" s="228"/>
      <c r="CH443" s="228"/>
      <c r="CI443" s="228"/>
      <c r="CJ443" s="228"/>
      <c r="CK443" s="228"/>
      <c r="CL443" s="228"/>
      <c r="CM443" s="228"/>
      <c r="CN443" s="228"/>
      <c r="CO443" s="228"/>
      <c r="CP443" s="228"/>
      <c r="CQ443" s="228"/>
      <c r="CR443" s="228"/>
      <c r="CS443" s="228"/>
      <c r="CT443" s="228"/>
      <c r="CU443" s="228"/>
      <c r="CV443" s="228"/>
      <c r="CW443" s="228"/>
      <c r="CX443" s="228"/>
      <c r="CY443" s="228"/>
      <c r="CZ443" s="228"/>
      <c r="DA443" s="228"/>
      <c r="DB443" s="228"/>
    </row>
    <row r="444" ht="12.0" customHeight="1">
      <c r="A444" s="228"/>
      <c r="B444" s="228"/>
      <c r="C444" s="228"/>
      <c r="D444" s="228"/>
      <c r="E444" s="228"/>
      <c r="F444" s="228"/>
      <c r="G444" s="228"/>
      <c r="H444" s="228"/>
      <c r="I444" s="228"/>
      <c r="J444" s="228"/>
      <c r="K444" s="228"/>
      <c r="L444" s="228"/>
      <c r="M444" s="228"/>
      <c r="N444" s="228"/>
      <c r="O444" s="228"/>
      <c r="P444" s="228"/>
      <c r="Q444" s="228"/>
      <c r="R444" s="228"/>
      <c r="S444" s="228"/>
      <c r="T444" s="228"/>
      <c r="U444" s="228"/>
      <c r="V444" s="228"/>
      <c r="W444" s="228"/>
      <c r="X444" s="228"/>
      <c r="Y444" s="228"/>
      <c r="Z444" s="228"/>
      <c r="AA444" s="228"/>
      <c r="AB444" s="228"/>
      <c r="AC444" s="228"/>
      <c r="AD444" s="228"/>
      <c r="AE444" s="228"/>
      <c r="AF444" s="228"/>
      <c r="AG444" s="228"/>
      <c r="AH444" s="228"/>
      <c r="AI444" s="228"/>
      <c r="AJ444" s="228"/>
      <c r="AK444" s="228"/>
      <c r="AL444" s="228"/>
      <c r="AM444" s="228"/>
      <c r="AN444" s="228"/>
      <c r="AO444" s="228"/>
      <c r="AP444" s="228"/>
      <c r="AQ444" s="228"/>
      <c r="AR444" s="228"/>
      <c r="AS444" s="228"/>
      <c r="AT444" s="228"/>
      <c r="AU444" s="228"/>
      <c r="AV444" s="228"/>
      <c r="AW444" s="228"/>
      <c r="AX444" s="228"/>
      <c r="AY444" s="228"/>
      <c r="AZ444" s="228"/>
      <c r="BA444" s="228"/>
      <c r="BB444" s="228"/>
      <c r="BC444" s="228"/>
      <c r="BD444" s="228"/>
      <c r="BE444" s="228"/>
      <c r="BF444" s="228"/>
      <c r="BG444" s="228"/>
      <c r="BH444" s="228"/>
      <c r="BI444" s="228"/>
      <c r="BJ444" s="228"/>
      <c r="BK444" s="228"/>
      <c r="BL444" s="228"/>
      <c r="BM444" s="228"/>
      <c r="BN444" s="228"/>
      <c r="BO444" s="228"/>
      <c r="BP444" s="228"/>
      <c r="BQ444" s="228"/>
      <c r="BR444" s="228"/>
      <c r="BS444" s="228"/>
      <c r="BT444" s="228"/>
      <c r="BU444" s="228"/>
      <c r="BV444" s="228"/>
      <c r="BW444" s="228"/>
      <c r="BX444" s="228"/>
      <c r="BY444" s="228"/>
      <c r="BZ444" s="228"/>
      <c r="CA444" s="228"/>
      <c r="CB444" s="228"/>
      <c r="CC444" s="228"/>
      <c r="CD444" s="228"/>
      <c r="CE444" s="228"/>
      <c r="CF444" s="228"/>
      <c r="CG444" s="228"/>
      <c r="CH444" s="228"/>
      <c r="CI444" s="228"/>
      <c r="CJ444" s="228"/>
      <c r="CK444" s="228"/>
      <c r="CL444" s="228"/>
      <c r="CM444" s="228"/>
      <c r="CN444" s="228"/>
      <c r="CO444" s="228"/>
      <c r="CP444" s="228"/>
      <c r="CQ444" s="228"/>
      <c r="CR444" s="228"/>
      <c r="CS444" s="228"/>
      <c r="CT444" s="228"/>
      <c r="CU444" s="228"/>
      <c r="CV444" s="228"/>
      <c r="CW444" s="228"/>
      <c r="CX444" s="228"/>
      <c r="CY444" s="228"/>
      <c r="CZ444" s="228"/>
      <c r="DA444" s="228"/>
      <c r="DB444" s="228"/>
    </row>
    <row r="445" ht="12.0" customHeight="1">
      <c r="A445" s="228"/>
      <c r="B445" s="228"/>
      <c r="C445" s="228"/>
      <c r="D445" s="228"/>
      <c r="E445" s="228"/>
      <c r="F445" s="228"/>
      <c r="G445" s="228"/>
      <c r="H445" s="228"/>
      <c r="I445" s="228"/>
      <c r="J445" s="228"/>
      <c r="K445" s="228"/>
      <c r="L445" s="228"/>
      <c r="M445" s="228"/>
      <c r="N445" s="228"/>
      <c r="O445" s="228"/>
      <c r="P445" s="228"/>
      <c r="Q445" s="228"/>
      <c r="R445" s="228"/>
      <c r="S445" s="228"/>
      <c r="T445" s="228"/>
      <c r="U445" s="228"/>
      <c r="V445" s="228"/>
      <c r="W445" s="228"/>
      <c r="X445" s="228"/>
      <c r="Y445" s="228"/>
      <c r="Z445" s="228"/>
      <c r="AA445" s="228"/>
      <c r="AB445" s="228"/>
      <c r="AC445" s="228"/>
      <c r="AD445" s="228"/>
      <c r="AE445" s="228"/>
      <c r="AF445" s="228"/>
      <c r="AG445" s="228"/>
      <c r="AH445" s="228"/>
      <c r="AI445" s="228"/>
      <c r="AJ445" s="228"/>
      <c r="AK445" s="228"/>
      <c r="AL445" s="228"/>
      <c r="AM445" s="228"/>
      <c r="AN445" s="228"/>
      <c r="AO445" s="228"/>
      <c r="AP445" s="228"/>
      <c r="AQ445" s="228"/>
      <c r="AR445" s="228"/>
      <c r="AS445" s="228"/>
      <c r="AT445" s="228"/>
      <c r="AU445" s="228"/>
      <c r="AV445" s="228"/>
      <c r="AW445" s="228"/>
      <c r="AX445" s="228"/>
      <c r="AY445" s="228"/>
      <c r="AZ445" s="228"/>
      <c r="BA445" s="228"/>
      <c r="BB445" s="228"/>
      <c r="BC445" s="228"/>
      <c r="BD445" s="228"/>
      <c r="BE445" s="228"/>
      <c r="BF445" s="228"/>
      <c r="BG445" s="228"/>
      <c r="BH445" s="228"/>
      <c r="BI445" s="228"/>
      <c r="BJ445" s="228"/>
      <c r="BK445" s="228"/>
      <c r="BL445" s="228"/>
      <c r="BM445" s="228"/>
      <c r="BN445" s="228"/>
      <c r="BO445" s="228"/>
      <c r="BP445" s="228"/>
      <c r="BQ445" s="228"/>
      <c r="BR445" s="228"/>
      <c r="BS445" s="228"/>
      <c r="BT445" s="228"/>
      <c r="BU445" s="228"/>
      <c r="BV445" s="228"/>
      <c r="BW445" s="228"/>
      <c r="BX445" s="228"/>
      <c r="BY445" s="228"/>
      <c r="BZ445" s="228"/>
      <c r="CA445" s="228"/>
      <c r="CB445" s="228"/>
      <c r="CC445" s="228"/>
      <c r="CD445" s="228"/>
      <c r="CE445" s="228"/>
      <c r="CF445" s="228"/>
      <c r="CG445" s="228"/>
      <c r="CH445" s="228"/>
      <c r="CI445" s="228"/>
      <c r="CJ445" s="228"/>
      <c r="CK445" s="228"/>
      <c r="CL445" s="228"/>
      <c r="CM445" s="228"/>
      <c r="CN445" s="228"/>
      <c r="CO445" s="228"/>
      <c r="CP445" s="228"/>
      <c r="CQ445" s="228"/>
      <c r="CR445" s="228"/>
      <c r="CS445" s="228"/>
      <c r="CT445" s="228"/>
      <c r="CU445" s="228"/>
      <c r="CV445" s="228"/>
      <c r="CW445" s="228"/>
      <c r="CX445" s="228"/>
      <c r="CY445" s="228"/>
      <c r="CZ445" s="228"/>
      <c r="DA445" s="228"/>
      <c r="DB445" s="228"/>
    </row>
    <row r="446" ht="12.0" customHeight="1">
      <c r="A446" s="228"/>
      <c r="B446" s="228"/>
      <c r="C446" s="228"/>
      <c r="D446" s="228"/>
      <c r="E446" s="228"/>
      <c r="F446" s="228"/>
      <c r="G446" s="228"/>
      <c r="H446" s="228"/>
      <c r="I446" s="228"/>
      <c r="J446" s="228"/>
      <c r="K446" s="228"/>
      <c r="L446" s="228"/>
      <c r="M446" s="228"/>
      <c r="N446" s="228"/>
      <c r="O446" s="228"/>
      <c r="P446" s="228"/>
      <c r="Q446" s="228"/>
      <c r="R446" s="228"/>
      <c r="S446" s="228"/>
      <c r="T446" s="228"/>
      <c r="U446" s="228"/>
      <c r="V446" s="228"/>
      <c r="W446" s="228"/>
      <c r="X446" s="228"/>
      <c r="Y446" s="228"/>
      <c r="Z446" s="228"/>
      <c r="AA446" s="228"/>
      <c r="AB446" s="228"/>
      <c r="AC446" s="228"/>
      <c r="AD446" s="228"/>
      <c r="AE446" s="228"/>
      <c r="AF446" s="228"/>
      <c r="AG446" s="228"/>
      <c r="AH446" s="228"/>
      <c r="AI446" s="228"/>
      <c r="AJ446" s="228"/>
      <c r="AK446" s="228"/>
      <c r="AL446" s="228"/>
      <c r="AM446" s="228"/>
      <c r="AN446" s="228"/>
      <c r="AO446" s="228"/>
      <c r="AP446" s="228"/>
      <c r="AQ446" s="228"/>
      <c r="AR446" s="228"/>
      <c r="AS446" s="228"/>
      <c r="AT446" s="228"/>
      <c r="AU446" s="228"/>
      <c r="AV446" s="228"/>
      <c r="AW446" s="228"/>
      <c r="AX446" s="228"/>
      <c r="AY446" s="228"/>
      <c r="AZ446" s="228"/>
      <c r="BA446" s="228"/>
      <c r="BB446" s="228"/>
      <c r="BC446" s="228"/>
      <c r="BD446" s="228"/>
      <c r="BE446" s="228"/>
      <c r="BF446" s="228"/>
      <c r="BG446" s="228"/>
      <c r="BH446" s="228"/>
      <c r="BI446" s="228"/>
      <c r="BJ446" s="228"/>
      <c r="BK446" s="228"/>
      <c r="BL446" s="228"/>
      <c r="BM446" s="228"/>
      <c r="BN446" s="228"/>
      <c r="BO446" s="228"/>
      <c r="BP446" s="228"/>
      <c r="BQ446" s="228"/>
      <c r="BR446" s="228"/>
      <c r="BS446" s="228"/>
      <c r="BT446" s="228"/>
      <c r="BU446" s="228"/>
      <c r="BV446" s="228"/>
      <c r="BW446" s="228"/>
      <c r="BX446" s="228"/>
      <c r="BY446" s="228"/>
      <c r="BZ446" s="228"/>
      <c r="CA446" s="228"/>
      <c r="CB446" s="228"/>
      <c r="CC446" s="228"/>
      <c r="CD446" s="228"/>
      <c r="CE446" s="228"/>
      <c r="CF446" s="228"/>
      <c r="CG446" s="228"/>
      <c r="CH446" s="228"/>
      <c r="CI446" s="228"/>
      <c r="CJ446" s="228"/>
      <c r="CK446" s="228"/>
      <c r="CL446" s="228"/>
      <c r="CM446" s="228"/>
      <c r="CN446" s="228"/>
      <c r="CO446" s="228"/>
      <c r="CP446" s="228"/>
      <c r="CQ446" s="228"/>
      <c r="CR446" s="228"/>
      <c r="CS446" s="228"/>
      <c r="CT446" s="228"/>
      <c r="CU446" s="228"/>
      <c r="CV446" s="228"/>
      <c r="CW446" s="228"/>
      <c r="CX446" s="228"/>
      <c r="CY446" s="228"/>
      <c r="CZ446" s="228"/>
      <c r="DA446" s="228"/>
      <c r="DB446" s="228"/>
    </row>
    <row r="447" ht="12.0" customHeight="1">
      <c r="A447" s="228"/>
      <c r="B447" s="228"/>
      <c r="C447" s="228"/>
      <c r="D447" s="228"/>
      <c r="E447" s="228"/>
      <c r="F447" s="228"/>
      <c r="G447" s="228"/>
      <c r="H447" s="228"/>
      <c r="I447" s="228"/>
      <c r="J447" s="228"/>
      <c r="K447" s="228"/>
      <c r="L447" s="228"/>
      <c r="M447" s="228"/>
      <c r="N447" s="228"/>
      <c r="O447" s="228"/>
      <c r="P447" s="228"/>
      <c r="Q447" s="228"/>
      <c r="R447" s="228"/>
      <c r="S447" s="228"/>
      <c r="T447" s="228"/>
      <c r="U447" s="228"/>
      <c r="V447" s="228"/>
      <c r="W447" s="228"/>
      <c r="X447" s="228"/>
      <c r="Y447" s="228"/>
      <c r="Z447" s="228"/>
      <c r="AA447" s="228"/>
      <c r="AB447" s="228"/>
      <c r="AC447" s="228"/>
      <c r="AD447" s="228"/>
      <c r="AE447" s="228"/>
      <c r="AF447" s="228"/>
      <c r="AG447" s="228"/>
      <c r="AH447" s="228"/>
      <c r="AI447" s="228"/>
      <c r="AJ447" s="228"/>
      <c r="AK447" s="228"/>
      <c r="AL447" s="228"/>
      <c r="AM447" s="228"/>
      <c r="AN447" s="228"/>
      <c r="AO447" s="228"/>
      <c r="AP447" s="228"/>
      <c r="AQ447" s="228"/>
      <c r="AR447" s="228"/>
      <c r="AS447" s="228"/>
      <c r="AT447" s="228"/>
      <c r="AU447" s="228"/>
      <c r="AV447" s="228"/>
      <c r="AW447" s="228"/>
      <c r="AX447" s="228"/>
      <c r="AY447" s="228"/>
      <c r="AZ447" s="228"/>
      <c r="BA447" s="228"/>
      <c r="BB447" s="228"/>
      <c r="BC447" s="228"/>
      <c r="BD447" s="228"/>
      <c r="BE447" s="228"/>
      <c r="BF447" s="228"/>
      <c r="BG447" s="228"/>
      <c r="BH447" s="228"/>
      <c r="BI447" s="228"/>
      <c r="BJ447" s="228"/>
      <c r="BK447" s="228"/>
      <c r="BL447" s="228"/>
      <c r="BM447" s="228"/>
      <c r="BN447" s="228"/>
      <c r="BO447" s="228"/>
      <c r="BP447" s="228"/>
      <c r="BQ447" s="228"/>
      <c r="BR447" s="228"/>
      <c r="BS447" s="228"/>
      <c r="BT447" s="228"/>
      <c r="BU447" s="228"/>
      <c r="BV447" s="228"/>
      <c r="BW447" s="228"/>
      <c r="BX447" s="228"/>
      <c r="BY447" s="228"/>
      <c r="BZ447" s="228"/>
      <c r="CA447" s="228"/>
      <c r="CB447" s="228"/>
      <c r="CC447" s="228"/>
      <c r="CD447" s="228"/>
      <c r="CE447" s="228"/>
      <c r="CF447" s="228"/>
      <c r="CG447" s="228"/>
      <c r="CH447" s="228"/>
      <c r="CI447" s="228"/>
      <c r="CJ447" s="228"/>
      <c r="CK447" s="228"/>
      <c r="CL447" s="228"/>
      <c r="CM447" s="228"/>
      <c r="CN447" s="228"/>
      <c r="CO447" s="228"/>
      <c r="CP447" s="228"/>
      <c r="CQ447" s="228"/>
      <c r="CR447" s="228"/>
      <c r="CS447" s="228"/>
      <c r="CT447" s="228"/>
      <c r="CU447" s="228"/>
      <c r="CV447" s="228"/>
      <c r="CW447" s="228"/>
      <c r="CX447" s="228"/>
      <c r="CY447" s="228"/>
      <c r="CZ447" s="228"/>
      <c r="DA447" s="228"/>
      <c r="DB447" s="228"/>
    </row>
    <row r="448" ht="12.0" customHeight="1">
      <c r="A448" s="228"/>
      <c r="B448" s="228"/>
      <c r="C448" s="228"/>
      <c r="D448" s="228"/>
      <c r="E448" s="228"/>
      <c r="F448" s="228"/>
      <c r="G448" s="228"/>
      <c r="H448" s="228"/>
      <c r="I448" s="228"/>
      <c r="J448" s="228"/>
      <c r="K448" s="228"/>
      <c r="L448" s="228"/>
      <c r="M448" s="228"/>
      <c r="N448" s="228"/>
      <c r="O448" s="228"/>
      <c r="P448" s="228"/>
      <c r="Q448" s="228"/>
      <c r="R448" s="228"/>
      <c r="S448" s="228"/>
      <c r="T448" s="228"/>
      <c r="U448" s="228"/>
      <c r="V448" s="228"/>
      <c r="W448" s="228"/>
      <c r="X448" s="228"/>
      <c r="Y448" s="228"/>
      <c r="Z448" s="228"/>
      <c r="AA448" s="228"/>
      <c r="AB448" s="228"/>
      <c r="AC448" s="228"/>
      <c r="AD448" s="228"/>
      <c r="AE448" s="228"/>
      <c r="AF448" s="228"/>
      <c r="AG448" s="228"/>
      <c r="AH448" s="228"/>
      <c r="AI448" s="228"/>
      <c r="AJ448" s="228"/>
      <c r="AK448" s="228"/>
      <c r="AL448" s="228"/>
      <c r="AM448" s="228"/>
      <c r="AN448" s="228"/>
      <c r="AO448" s="228"/>
      <c r="AP448" s="228"/>
      <c r="AQ448" s="228"/>
      <c r="AR448" s="228"/>
      <c r="AS448" s="228"/>
      <c r="AT448" s="228"/>
      <c r="AU448" s="228"/>
      <c r="AV448" s="228"/>
      <c r="AW448" s="228"/>
      <c r="AX448" s="228"/>
      <c r="AY448" s="228"/>
      <c r="AZ448" s="228"/>
      <c r="BA448" s="228"/>
      <c r="BB448" s="228"/>
      <c r="BC448" s="228"/>
      <c r="BD448" s="228"/>
      <c r="BE448" s="228"/>
      <c r="BF448" s="228"/>
      <c r="BG448" s="228"/>
      <c r="BH448" s="228"/>
      <c r="BI448" s="228"/>
      <c r="BJ448" s="228"/>
      <c r="BK448" s="228"/>
      <c r="BL448" s="228"/>
      <c r="BM448" s="228"/>
      <c r="BN448" s="228"/>
      <c r="BO448" s="228"/>
      <c r="BP448" s="228"/>
      <c r="BQ448" s="228"/>
      <c r="BR448" s="228"/>
      <c r="BS448" s="228"/>
      <c r="BT448" s="228"/>
      <c r="BU448" s="228"/>
      <c r="BV448" s="228"/>
      <c r="BW448" s="228"/>
      <c r="BX448" s="228"/>
      <c r="BY448" s="228"/>
      <c r="BZ448" s="228"/>
      <c r="CA448" s="228"/>
      <c r="CB448" s="228"/>
      <c r="CC448" s="228"/>
      <c r="CD448" s="228"/>
      <c r="CE448" s="228"/>
      <c r="CF448" s="228"/>
      <c r="CG448" s="228"/>
      <c r="CH448" s="228"/>
      <c r="CI448" s="228"/>
      <c r="CJ448" s="228"/>
      <c r="CK448" s="228"/>
      <c r="CL448" s="228"/>
      <c r="CM448" s="228"/>
      <c r="CN448" s="228"/>
      <c r="CO448" s="228"/>
      <c r="CP448" s="228"/>
      <c r="CQ448" s="228"/>
      <c r="CR448" s="228"/>
      <c r="CS448" s="228"/>
      <c r="CT448" s="228"/>
      <c r="CU448" s="228"/>
      <c r="CV448" s="228"/>
      <c r="CW448" s="228"/>
      <c r="CX448" s="228"/>
      <c r="CY448" s="228"/>
      <c r="CZ448" s="228"/>
      <c r="DA448" s="228"/>
      <c r="DB448" s="228"/>
    </row>
    <row r="449" ht="12.0" customHeight="1">
      <c r="A449" s="228"/>
      <c r="B449" s="228"/>
      <c r="C449" s="228"/>
      <c r="D449" s="228"/>
      <c r="E449" s="228"/>
      <c r="F449" s="228"/>
      <c r="G449" s="228"/>
      <c r="H449" s="228"/>
      <c r="I449" s="228"/>
      <c r="J449" s="228"/>
      <c r="K449" s="228"/>
      <c r="L449" s="228"/>
      <c r="M449" s="228"/>
      <c r="N449" s="228"/>
      <c r="O449" s="228"/>
      <c r="P449" s="228"/>
      <c r="Q449" s="228"/>
      <c r="R449" s="228"/>
      <c r="S449" s="228"/>
      <c r="T449" s="228"/>
      <c r="U449" s="228"/>
      <c r="V449" s="228"/>
      <c r="W449" s="228"/>
      <c r="X449" s="228"/>
      <c r="Y449" s="228"/>
      <c r="Z449" s="228"/>
      <c r="AA449" s="228"/>
      <c r="AB449" s="228"/>
      <c r="AC449" s="228"/>
      <c r="AD449" s="228"/>
      <c r="AE449" s="228"/>
      <c r="AF449" s="228"/>
      <c r="AG449" s="228"/>
      <c r="AH449" s="228"/>
      <c r="AI449" s="228"/>
      <c r="AJ449" s="228"/>
      <c r="AK449" s="228"/>
      <c r="AL449" s="228"/>
      <c r="AM449" s="228"/>
      <c r="AN449" s="228"/>
      <c r="AO449" s="228"/>
      <c r="AP449" s="228"/>
      <c r="AQ449" s="228"/>
      <c r="AR449" s="228"/>
      <c r="AS449" s="228"/>
      <c r="AT449" s="228"/>
      <c r="AU449" s="228"/>
      <c r="AV449" s="228"/>
      <c r="AW449" s="228"/>
      <c r="AX449" s="228"/>
      <c r="AY449" s="228"/>
      <c r="AZ449" s="228"/>
      <c r="BA449" s="228"/>
      <c r="BB449" s="228"/>
      <c r="BC449" s="228"/>
      <c r="BD449" s="228"/>
      <c r="BE449" s="228"/>
      <c r="BF449" s="228"/>
      <c r="BG449" s="228"/>
      <c r="BH449" s="228"/>
      <c r="BI449" s="228"/>
      <c r="BJ449" s="228"/>
      <c r="BK449" s="228"/>
      <c r="BL449" s="228"/>
      <c r="BM449" s="228"/>
      <c r="BN449" s="228"/>
      <c r="BO449" s="228"/>
      <c r="BP449" s="228"/>
      <c r="BQ449" s="228"/>
      <c r="BR449" s="228"/>
      <c r="BS449" s="228"/>
      <c r="BT449" s="228"/>
      <c r="BU449" s="228"/>
      <c r="BV449" s="228"/>
      <c r="BW449" s="228"/>
      <c r="BX449" s="228"/>
      <c r="BY449" s="228"/>
      <c r="BZ449" s="228"/>
      <c r="CA449" s="228"/>
      <c r="CB449" s="228"/>
      <c r="CC449" s="228"/>
      <c r="CD449" s="228"/>
      <c r="CE449" s="228"/>
      <c r="CF449" s="228"/>
      <c r="CG449" s="228"/>
      <c r="CH449" s="228"/>
      <c r="CI449" s="228"/>
      <c r="CJ449" s="228"/>
      <c r="CK449" s="228"/>
      <c r="CL449" s="228"/>
      <c r="CM449" s="228"/>
      <c r="CN449" s="228"/>
      <c r="CO449" s="228"/>
      <c r="CP449" s="228"/>
      <c r="CQ449" s="228"/>
      <c r="CR449" s="228"/>
      <c r="CS449" s="228"/>
      <c r="CT449" s="228"/>
      <c r="CU449" s="228"/>
      <c r="CV449" s="228"/>
      <c r="CW449" s="228"/>
      <c r="CX449" s="228"/>
      <c r="CY449" s="228"/>
      <c r="CZ449" s="228"/>
      <c r="DA449" s="228"/>
      <c r="DB449" s="228"/>
    </row>
    <row r="450" ht="12.0" customHeight="1">
      <c r="A450" s="228"/>
      <c r="B450" s="228"/>
      <c r="C450" s="228"/>
      <c r="D450" s="228"/>
      <c r="E450" s="228"/>
      <c r="F450" s="228"/>
      <c r="G450" s="228"/>
      <c r="H450" s="228"/>
      <c r="I450" s="228"/>
      <c r="J450" s="228"/>
      <c r="K450" s="228"/>
      <c r="L450" s="228"/>
      <c r="M450" s="228"/>
      <c r="N450" s="228"/>
      <c r="O450" s="228"/>
      <c r="P450" s="228"/>
      <c r="Q450" s="228"/>
      <c r="R450" s="228"/>
      <c r="S450" s="228"/>
      <c r="T450" s="228"/>
      <c r="U450" s="228"/>
      <c r="V450" s="228"/>
      <c r="W450" s="228"/>
      <c r="X450" s="228"/>
      <c r="Y450" s="228"/>
      <c r="Z450" s="228"/>
      <c r="AA450" s="228"/>
      <c r="AB450" s="228"/>
      <c r="AC450" s="228"/>
      <c r="AD450" s="228"/>
      <c r="AE450" s="228"/>
      <c r="AF450" s="228"/>
      <c r="AG450" s="228"/>
      <c r="AH450" s="228"/>
      <c r="AI450" s="228"/>
      <c r="AJ450" s="228"/>
      <c r="AK450" s="228"/>
      <c r="AL450" s="228"/>
      <c r="AM450" s="228"/>
      <c r="AN450" s="228"/>
      <c r="AO450" s="228"/>
      <c r="AP450" s="228"/>
      <c r="AQ450" s="228"/>
      <c r="AR450" s="228"/>
      <c r="AS450" s="228"/>
      <c r="AT450" s="228"/>
      <c r="AU450" s="228"/>
      <c r="AV450" s="228"/>
      <c r="AW450" s="228"/>
      <c r="AX450" s="228"/>
      <c r="AY450" s="228"/>
      <c r="AZ450" s="228"/>
      <c r="BA450" s="228"/>
      <c r="BB450" s="228"/>
      <c r="BC450" s="228"/>
      <c r="BD450" s="228"/>
      <c r="BE450" s="228"/>
      <c r="BF450" s="228"/>
      <c r="BG450" s="228"/>
      <c r="BH450" s="228"/>
      <c r="BI450" s="228"/>
      <c r="BJ450" s="228"/>
      <c r="BK450" s="228"/>
      <c r="BL450" s="228"/>
      <c r="BM450" s="228"/>
      <c r="BN450" s="228"/>
      <c r="BO450" s="228"/>
      <c r="BP450" s="228"/>
      <c r="BQ450" s="228"/>
      <c r="BR450" s="228"/>
      <c r="BS450" s="228"/>
      <c r="BT450" s="228"/>
      <c r="BU450" s="228"/>
      <c r="BV450" s="228"/>
      <c r="BW450" s="228"/>
      <c r="BX450" s="228"/>
      <c r="BY450" s="228"/>
      <c r="BZ450" s="228"/>
      <c r="CA450" s="228"/>
      <c r="CB450" s="228"/>
      <c r="CC450" s="228"/>
      <c r="CD450" s="228"/>
      <c r="CE450" s="228"/>
      <c r="CF450" s="228"/>
      <c r="CG450" s="228"/>
      <c r="CH450" s="228"/>
      <c r="CI450" s="228"/>
      <c r="CJ450" s="228"/>
      <c r="CK450" s="228"/>
      <c r="CL450" s="228"/>
      <c r="CM450" s="228"/>
      <c r="CN450" s="228"/>
      <c r="CO450" s="228"/>
      <c r="CP450" s="228"/>
      <c r="CQ450" s="228"/>
      <c r="CR450" s="228"/>
      <c r="CS450" s="228"/>
      <c r="CT450" s="228"/>
      <c r="CU450" s="228"/>
      <c r="CV450" s="228"/>
      <c r="CW450" s="228"/>
      <c r="CX450" s="228"/>
      <c r="CY450" s="228"/>
      <c r="CZ450" s="228"/>
      <c r="DA450" s="228"/>
      <c r="DB450" s="228"/>
    </row>
    <row r="451" ht="12.0" customHeight="1">
      <c r="A451" s="228"/>
      <c r="B451" s="228"/>
      <c r="C451" s="228"/>
      <c r="D451" s="228"/>
      <c r="E451" s="228"/>
      <c r="F451" s="228"/>
      <c r="G451" s="228"/>
      <c r="H451" s="228"/>
      <c r="I451" s="228"/>
      <c r="J451" s="228"/>
      <c r="K451" s="228"/>
      <c r="L451" s="228"/>
      <c r="M451" s="228"/>
      <c r="N451" s="228"/>
      <c r="O451" s="228"/>
      <c r="P451" s="228"/>
      <c r="Q451" s="228"/>
      <c r="R451" s="228"/>
      <c r="S451" s="228"/>
      <c r="T451" s="228"/>
      <c r="U451" s="228"/>
      <c r="V451" s="228"/>
      <c r="W451" s="228"/>
      <c r="X451" s="228"/>
      <c r="Y451" s="228"/>
      <c r="Z451" s="228"/>
      <c r="AA451" s="228"/>
      <c r="AB451" s="228"/>
      <c r="AC451" s="228"/>
      <c r="AD451" s="228"/>
      <c r="AE451" s="228"/>
      <c r="AF451" s="228"/>
      <c r="AG451" s="228"/>
      <c r="AH451" s="228"/>
      <c r="AI451" s="228"/>
      <c r="AJ451" s="228"/>
      <c r="AK451" s="228"/>
      <c r="AL451" s="228"/>
      <c r="AM451" s="228"/>
      <c r="AN451" s="228"/>
      <c r="AO451" s="228"/>
      <c r="AP451" s="228"/>
      <c r="AQ451" s="228"/>
      <c r="AR451" s="228"/>
      <c r="AS451" s="228"/>
      <c r="AT451" s="228"/>
      <c r="AU451" s="228"/>
      <c r="AV451" s="228"/>
      <c r="AW451" s="228"/>
      <c r="AX451" s="228"/>
      <c r="AY451" s="228"/>
      <c r="AZ451" s="228"/>
      <c r="BA451" s="228"/>
      <c r="BB451" s="228"/>
      <c r="BC451" s="228"/>
      <c r="BD451" s="228"/>
      <c r="BE451" s="228"/>
      <c r="BF451" s="228"/>
      <c r="BG451" s="228"/>
      <c r="BH451" s="228"/>
      <c r="BI451" s="228"/>
      <c r="BJ451" s="228"/>
      <c r="BK451" s="228"/>
      <c r="BL451" s="228"/>
      <c r="BM451" s="228"/>
      <c r="BN451" s="228"/>
      <c r="BO451" s="228"/>
      <c r="BP451" s="228"/>
      <c r="BQ451" s="228"/>
      <c r="BR451" s="228"/>
      <c r="BS451" s="228"/>
      <c r="BT451" s="228"/>
      <c r="BU451" s="228"/>
      <c r="BV451" s="228"/>
      <c r="BW451" s="228"/>
      <c r="BX451" s="228"/>
      <c r="BY451" s="228"/>
      <c r="BZ451" s="228"/>
      <c r="CA451" s="228"/>
      <c r="CB451" s="228"/>
      <c r="CC451" s="228"/>
      <c r="CD451" s="228"/>
      <c r="CE451" s="228"/>
      <c r="CF451" s="228"/>
      <c r="CG451" s="228"/>
      <c r="CH451" s="228"/>
      <c r="CI451" s="228"/>
      <c r="CJ451" s="228"/>
      <c r="CK451" s="228"/>
      <c r="CL451" s="228"/>
      <c r="CM451" s="228"/>
      <c r="CN451" s="228"/>
      <c r="CO451" s="228"/>
      <c r="CP451" s="228"/>
      <c r="CQ451" s="228"/>
      <c r="CR451" s="228"/>
      <c r="CS451" s="228"/>
      <c r="CT451" s="228"/>
      <c r="CU451" s="228"/>
      <c r="CV451" s="228"/>
      <c r="CW451" s="228"/>
      <c r="CX451" s="228"/>
      <c r="CY451" s="228"/>
      <c r="CZ451" s="228"/>
      <c r="DA451" s="228"/>
      <c r="DB451" s="228"/>
    </row>
    <row r="452" ht="12.0" customHeight="1">
      <c r="A452" s="228"/>
      <c r="B452" s="228"/>
      <c r="C452" s="228"/>
      <c r="D452" s="228"/>
      <c r="E452" s="228"/>
      <c r="F452" s="228"/>
      <c r="G452" s="228"/>
      <c r="H452" s="228"/>
      <c r="I452" s="228"/>
      <c r="J452" s="228"/>
      <c r="K452" s="228"/>
      <c r="L452" s="228"/>
      <c r="M452" s="228"/>
      <c r="N452" s="228"/>
      <c r="O452" s="228"/>
      <c r="P452" s="228"/>
      <c r="Q452" s="228"/>
      <c r="R452" s="228"/>
      <c r="S452" s="228"/>
      <c r="T452" s="228"/>
      <c r="U452" s="228"/>
      <c r="V452" s="228"/>
      <c r="W452" s="228"/>
      <c r="X452" s="228"/>
      <c r="Y452" s="228"/>
      <c r="Z452" s="228"/>
      <c r="AA452" s="228"/>
      <c r="AB452" s="228"/>
      <c r="AC452" s="228"/>
      <c r="AD452" s="228"/>
      <c r="AE452" s="228"/>
      <c r="AF452" s="228"/>
      <c r="AG452" s="228"/>
      <c r="AH452" s="228"/>
      <c r="AI452" s="228"/>
      <c r="AJ452" s="228"/>
      <c r="AK452" s="228"/>
      <c r="AL452" s="228"/>
      <c r="AM452" s="228"/>
      <c r="AN452" s="228"/>
      <c r="AO452" s="228"/>
      <c r="AP452" s="228"/>
      <c r="AQ452" s="228"/>
      <c r="AR452" s="228"/>
      <c r="AS452" s="228"/>
      <c r="AT452" s="228"/>
      <c r="AU452" s="228"/>
      <c r="AV452" s="228"/>
      <c r="AW452" s="228"/>
      <c r="AX452" s="228"/>
      <c r="AY452" s="228"/>
      <c r="AZ452" s="228"/>
      <c r="BA452" s="228"/>
      <c r="BB452" s="228"/>
      <c r="BC452" s="228"/>
      <c r="BD452" s="228"/>
      <c r="BE452" s="228"/>
      <c r="BF452" s="228"/>
      <c r="BG452" s="228"/>
      <c r="BH452" s="228"/>
      <c r="BI452" s="228"/>
      <c r="BJ452" s="228"/>
      <c r="BK452" s="228"/>
      <c r="BL452" s="228"/>
      <c r="BM452" s="228"/>
      <c r="BN452" s="228"/>
      <c r="BO452" s="228"/>
      <c r="BP452" s="228"/>
      <c r="BQ452" s="228"/>
      <c r="BR452" s="228"/>
      <c r="BS452" s="228"/>
      <c r="BT452" s="228"/>
      <c r="BU452" s="228"/>
      <c r="BV452" s="228"/>
      <c r="BW452" s="228"/>
      <c r="BX452" s="228"/>
      <c r="BY452" s="228"/>
      <c r="BZ452" s="228"/>
      <c r="CA452" s="228"/>
      <c r="CB452" s="228"/>
      <c r="CC452" s="228"/>
      <c r="CD452" s="228"/>
      <c r="CE452" s="228"/>
      <c r="CF452" s="228"/>
      <c r="CG452" s="228"/>
      <c r="CH452" s="228"/>
      <c r="CI452" s="228"/>
      <c r="CJ452" s="228"/>
      <c r="CK452" s="228"/>
      <c r="CL452" s="228"/>
      <c r="CM452" s="228"/>
      <c r="CN452" s="228"/>
      <c r="CO452" s="228"/>
      <c r="CP452" s="228"/>
      <c r="CQ452" s="228"/>
      <c r="CR452" s="228"/>
      <c r="CS452" s="228"/>
      <c r="CT452" s="228"/>
      <c r="CU452" s="228"/>
      <c r="CV452" s="228"/>
      <c r="CW452" s="228"/>
      <c r="CX452" s="228"/>
      <c r="CY452" s="228"/>
      <c r="CZ452" s="228"/>
      <c r="DA452" s="228"/>
      <c r="DB452" s="228"/>
    </row>
    <row r="453" ht="12.0" customHeight="1">
      <c r="A453" s="228"/>
      <c r="B453" s="228"/>
      <c r="C453" s="228"/>
      <c r="D453" s="228"/>
      <c r="E453" s="228"/>
      <c r="F453" s="228"/>
      <c r="G453" s="228"/>
      <c r="H453" s="228"/>
      <c r="I453" s="228"/>
      <c r="J453" s="228"/>
      <c r="K453" s="228"/>
      <c r="L453" s="228"/>
      <c r="M453" s="228"/>
      <c r="N453" s="228"/>
      <c r="O453" s="228"/>
      <c r="P453" s="228"/>
      <c r="Q453" s="228"/>
      <c r="R453" s="228"/>
      <c r="S453" s="228"/>
      <c r="T453" s="228"/>
      <c r="U453" s="228"/>
      <c r="V453" s="228"/>
      <c r="W453" s="228"/>
      <c r="X453" s="228"/>
      <c r="Y453" s="228"/>
      <c r="Z453" s="228"/>
      <c r="AA453" s="228"/>
      <c r="AB453" s="228"/>
      <c r="AC453" s="228"/>
      <c r="AD453" s="228"/>
      <c r="AE453" s="228"/>
      <c r="AF453" s="228"/>
      <c r="AG453" s="228"/>
      <c r="AH453" s="228"/>
      <c r="AI453" s="228"/>
      <c r="AJ453" s="228"/>
      <c r="AK453" s="228"/>
      <c r="AL453" s="228"/>
      <c r="AM453" s="228"/>
      <c r="AN453" s="228"/>
      <c r="AO453" s="228"/>
      <c r="AP453" s="228"/>
      <c r="AQ453" s="228"/>
      <c r="AR453" s="228"/>
      <c r="AS453" s="228"/>
      <c r="AT453" s="228"/>
      <c r="AU453" s="228"/>
      <c r="AV453" s="228"/>
      <c r="AW453" s="228"/>
      <c r="AX453" s="228"/>
      <c r="AY453" s="228"/>
      <c r="AZ453" s="228"/>
      <c r="BA453" s="228"/>
      <c r="BB453" s="228"/>
      <c r="BC453" s="228"/>
      <c r="BD453" s="228"/>
      <c r="BE453" s="228"/>
      <c r="BF453" s="228"/>
      <c r="BG453" s="228"/>
      <c r="BH453" s="228"/>
      <c r="BI453" s="228"/>
      <c r="BJ453" s="228"/>
      <c r="BK453" s="228"/>
      <c r="BL453" s="228"/>
      <c r="BM453" s="228"/>
      <c r="BN453" s="228"/>
      <c r="BO453" s="228"/>
      <c r="BP453" s="228"/>
      <c r="BQ453" s="228"/>
      <c r="BR453" s="228"/>
      <c r="BS453" s="228"/>
      <c r="BT453" s="228"/>
      <c r="BU453" s="228"/>
      <c r="BV453" s="228"/>
      <c r="BW453" s="228"/>
      <c r="BX453" s="228"/>
      <c r="BY453" s="228"/>
      <c r="BZ453" s="228"/>
      <c r="CA453" s="228"/>
      <c r="CB453" s="228"/>
      <c r="CC453" s="228"/>
      <c r="CD453" s="228"/>
      <c r="CE453" s="228"/>
      <c r="CF453" s="228"/>
      <c r="CG453" s="228"/>
      <c r="CH453" s="228"/>
      <c r="CI453" s="228"/>
      <c r="CJ453" s="228"/>
      <c r="CK453" s="228"/>
      <c r="CL453" s="228"/>
      <c r="CM453" s="228"/>
      <c r="CN453" s="228"/>
      <c r="CO453" s="228"/>
      <c r="CP453" s="228"/>
      <c r="CQ453" s="228"/>
      <c r="CR453" s="228"/>
      <c r="CS453" s="228"/>
      <c r="CT453" s="228"/>
      <c r="CU453" s="228"/>
      <c r="CV453" s="228"/>
      <c r="CW453" s="228"/>
      <c r="CX453" s="228"/>
      <c r="CY453" s="228"/>
      <c r="CZ453" s="228"/>
      <c r="DA453" s="228"/>
      <c r="DB453" s="228"/>
    </row>
    <row r="454" ht="12.0" customHeight="1">
      <c r="A454" s="228"/>
      <c r="B454" s="228"/>
      <c r="C454" s="228"/>
      <c r="D454" s="228"/>
      <c r="E454" s="228"/>
      <c r="F454" s="228"/>
      <c r="G454" s="228"/>
      <c r="H454" s="228"/>
      <c r="I454" s="228"/>
      <c r="J454" s="228"/>
      <c r="K454" s="228"/>
      <c r="L454" s="228"/>
      <c r="M454" s="228"/>
      <c r="N454" s="228"/>
      <c r="O454" s="228"/>
      <c r="P454" s="228"/>
      <c r="Q454" s="228"/>
      <c r="R454" s="228"/>
      <c r="S454" s="228"/>
      <c r="T454" s="228"/>
      <c r="U454" s="228"/>
      <c r="V454" s="228"/>
      <c r="W454" s="228"/>
      <c r="X454" s="228"/>
      <c r="Y454" s="228"/>
      <c r="Z454" s="228"/>
      <c r="AA454" s="228"/>
      <c r="AB454" s="228"/>
      <c r="AC454" s="228"/>
      <c r="AD454" s="228"/>
      <c r="AE454" s="228"/>
      <c r="AF454" s="228"/>
      <c r="AG454" s="228"/>
      <c r="AH454" s="228"/>
      <c r="AI454" s="228"/>
      <c r="AJ454" s="228"/>
      <c r="AK454" s="228"/>
      <c r="AL454" s="228"/>
      <c r="AM454" s="228"/>
      <c r="AN454" s="228"/>
      <c r="AO454" s="228"/>
      <c r="AP454" s="228"/>
      <c r="AQ454" s="228"/>
      <c r="AR454" s="228"/>
      <c r="AS454" s="228"/>
      <c r="AT454" s="228"/>
      <c r="AU454" s="228"/>
      <c r="AV454" s="228"/>
      <c r="AW454" s="228"/>
      <c r="AX454" s="228"/>
      <c r="AY454" s="228"/>
      <c r="AZ454" s="228"/>
      <c r="BA454" s="228"/>
      <c r="BB454" s="228"/>
      <c r="BC454" s="228"/>
      <c r="BD454" s="228"/>
      <c r="BE454" s="228"/>
      <c r="BF454" s="228"/>
      <c r="BG454" s="228"/>
      <c r="BH454" s="228"/>
      <c r="BI454" s="228"/>
      <c r="BJ454" s="228"/>
      <c r="BK454" s="228"/>
      <c r="BL454" s="228"/>
      <c r="BM454" s="228"/>
      <c r="BN454" s="228"/>
      <c r="BO454" s="228"/>
      <c r="BP454" s="228"/>
      <c r="BQ454" s="228"/>
      <c r="BR454" s="228"/>
      <c r="BS454" s="228"/>
      <c r="BT454" s="228"/>
      <c r="BU454" s="228"/>
      <c r="BV454" s="228"/>
      <c r="BW454" s="228"/>
      <c r="BX454" s="228"/>
      <c r="BY454" s="228"/>
      <c r="BZ454" s="228"/>
      <c r="CA454" s="228"/>
      <c r="CB454" s="228"/>
      <c r="CC454" s="228"/>
      <c r="CD454" s="228"/>
      <c r="CE454" s="228"/>
      <c r="CF454" s="228"/>
      <c r="CG454" s="228"/>
      <c r="CH454" s="228"/>
      <c r="CI454" s="228"/>
      <c r="CJ454" s="228"/>
      <c r="CK454" s="228"/>
      <c r="CL454" s="228"/>
      <c r="CM454" s="228"/>
      <c r="CN454" s="228"/>
      <c r="CO454" s="228"/>
      <c r="CP454" s="228"/>
      <c r="CQ454" s="228"/>
      <c r="CR454" s="228"/>
      <c r="CS454" s="228"/>
      <c r="CT454" s="228"/>
      <c r="CU454" s="228"/>
      <c r="CV454" s="228"/>
      <c r="CW454" s="228"/>
      <c r="CX454" s="228"/>
      <c r="CY454" s="228"/>
      <c r="CZ454" s="228"/>
      <c r="DA454" s="228"/>
      <c r="DB454" s="228"/>
    </row>
    <row r="455" ht="12.0" customHeight="1">
      <c r="A455" s="228"/>
      <c r="B455" s="228"/>
      <c r="C455" s="228"/>
      <c r="D455" s="228"/>
      <c r="E455" s="228"/>
      <c r="F455" s="228"/>
      <c r="G455" s="228"/>
      <c r="H455" s="228"/>
      <c r="I455" s="228"/>
      <c r="J455" s="228"/>
      <c r="K455" s="228"/>
      <c r="L455" s="228"/>
      <c r="M455" s="228"/>
      <c r="N455" s="228"/>
      <c r="O455" s="228"/>
      <c r="P455" s="228"/>
      <c r="Q455" s="228"/>
      <c r="R455" s="228"/>
      <c r="S455" s="228"/>
      <c r="T455" s="228"/>
      <c r="U455" s="228"/>
      <c r="V455" s="228"/>
      <c r="W455" s="228"/>
      <c r="X455" s="228"/>
      <c r="Y455" s="228"/>
      <c r="Z455" s="228"/>
      <c r="AA455" s="228"/>
      <c r="AB455" s="228"/>
      <c r="AC455" s="228"/>
      <c r="AD455" s="228"/>
      <c r="AE455" s="228"/>
      <c r="AF455" s="228"/>
      <c r="AG455" s="228"/>
      <c r="AH455" s="228"/>
      <c r="AI455" s="228"/>
      <c r="AJ455" s="228"/>
      <c r="AK455" s="228"/>
      <c r="AL455" s="228"/>
      <c r="AM455" s="228"/>
      <c r="AN455" s="228"/>
      <c r="AO455" s="228"/>
      <c r="AP455" s="228"/>
      <c r="AQ455" s="228"/>
      <c r="AR455" s="228"/>
      <c r="AS455" s="228"/>
      <c r="AT455" s="228"/>
      <c r="AU455" s="228"/>
      <c r="AV455" s="228"/>
      <c r="AW455" s="228"/>
      <c r="AX455" s="228"/>
      <c r="AY455" s="228"/>
      <c r="AZ455" s="228"/>
      <c r="BA455" s="228"/>
      <c r="BB455" s="228"/>
      <c r="BC455" s="228"/>
      <c r="BD455" s="228"/>
      <c r="BE455" s="228"/>
      <c r="BF455" s="228"/>
      <c r="BG455" s="228"/>
      <c r="BH455" s="228"/>
      <c r="BI455" s="228"/>
      <c r="BJ455" s="228"/>
      <c r="BK455" s="228"/>
      <c r="BL455" s="228"/>
      <c r="BM455" s="228"/>
      <c r="BN455" s="228"/>
      <c r="BO455" s="228"/>
      <c r="BP455" s="228"/>
      <c r="BQ455" s="228"/>
      <c r="BR455" s="228"/>
      <c r="BS455" s="228"/>
      <c r="BT455" s="228"/>
      <c r="BU455" s="228"/>
      <c r="BV455" s="228"/>
      <c r="BW455" s="228"/>
      <c r="BX455" s="228"/>
      <c r="BY455" s="228"/>
      <c r="BZ455" s="228"/>
      <c r="CA455" s="228"/>
      <c r="CB455" s="228"/>
      <c r="CC455" s="228"/>
      <c r="CD455" s="228"/>
      <c r="CE455" s="228"/>
      <c r="CF455" s="228"/>
      <c r="CG455" s="228"/>
      <c r="CH455" s="228"/>
      <c r="CI455" s="228"/>
      <c r="CJ455" s="228"/>
      <c r="CK455" s="228"/>
      <c r="CL455" s="228"/>
      <c r="CM455" s="228"/>
      <c r="CN455" s="228"/>
      <c r="CO455" s="228"/>
      <c r="CP455" s="228"/>
      <c r="CQ455" s="228"/>
      <c r="CR455" s="228"/>
      <c r="CS455" s="228"/>
      <c r="CT455" s="228"/>
      <c r="CU455" s="228"/>
      <c r="CV455" s="228"/>
      <c r="CW455" s="228"/>
      <c r="CX455" s="228"/>
      <c r="CY455" s="228"/>
      <c r="CZ455" s="228"/>
      <c r="DA455" s="228"/>
      <c r="DB455" s="228"/>
    </row>
    <row r="456" ht="12.0" customHeight="1">
      <c r="A456" s="228"/>
      <c r="B456" s="228"/>
      <c r="C456" s="228"/>
      <c r="D456" s="228"/>
      <c r="E456" s="228"/>
      <c r="F456" s="228"/>
      <c r="G456" s="228"/>
      <c r="H456" s="228"/>
      <c r="I456" s="228"/>
      <c r="J456" s="228"/>
      <c r="K456" s="228"/>
      <c r="L456" s="228"/>
      <c r="M456" s="228"/>
      <c r="N456" s="228"/>
      <c r="O456" s="228"/>
      <c r="P456" s="228"/>
      <c r="Q456" s="228"/>
      <c r="R456" s="228"/>
      <c r="S456" s="228"/>
      <c r="T456" s="228"/>
      <c r="U456" s="228"/>
      <c r="V456" s="228"/>
      <c r="W456" s="228"/>
      <c r="X456" s="228"/>
      <c r="Y456" s="228"/>
      <c r="Z456" s="228"/>
      <c r="AA456" s="228"/>
      <c r="AB456" s="228"/>
      <c r="AC456" s="228"/>
      <c r="AD456" s="228"/>
      <c r="AE456" s="228"/>
      <c r="AF456" s="228"/>
      <c r="AG456" s="228"/>
      <c r="AH456" s="228"/>
      <c r="AI456" s="228"/>
      <c r="AJ456" s="228"/>
      <c r="AK456" s="228"/>
      <c r="AL456" s="228"/>
      <c r="AM456" s="228"/>
      <c r="AN456" s="228"/>
      <c r="AO456" s="228"/>
      <c r="AP456" s="228"/>
      <c r="AQ456" s="228"/>
      <c r="AR456" s="228"/>
      <c r="AS456" s="228"/>
      <c r="AT456" s="228"/>
      <c r="AU456" s="228"/>
      <c r="AV456" s="228"/>
      <c r="AW456" s="228"/>
      <c r="AX456" s="228"/>
      <c r="AY456" s="228"/>
      <c r="AZ456" s="228"/>
      <c r="BA456" s="228"/>
      <c r="BB456" s="228"/>
      <c r="BC456" s="228"/>
      <c r="BD456" s="228"/>
      <c r="BE456" s="228"/>
      <c r="BF456" s="228"/>
      <c r="BG456" s="228"/>
      <c r="BH456" s="228"/>
      <c r="BI456" s="228"/>
      <c r="BJ456" s="228"/>
      <c r="BK456" s="228"/>
      <c r="BL456" s="228"/>
      <c r="BM456" s="228"/>
      <c r="BN456" s="228"/>
      <c r="BO456" s="228"/>
      <c r="BP456" s="228"/>
      <c r="BQ456" s="228"/>
      <c r="BR456" s="228"/>
      <c r="BS456" s="228"/>
      <c r="BT456" s="228"/>
      <c r="BU456" s="228"/>
      <c r="BV456" s="228"/>
      <c r="BW456" s="228"/>
      <c r="BX456" s="228"/>
      <c r="BY456" s="228"/>
      <c r="BZ456" s="228"/>
      <c r="CA456" s="228"/>
      <c r="CB456" s="228"/>
      <c r="CC456" s="228"/>
      <c r="CD456" s="228"/>
      <c r="CE456" s="228"/>
      <c r="CF456" s="228"/>
      <c r="CG456" s="228"/>
      <c r="CH456" s="228"/>
      <c r="CI456" s="228"/>
      <c r="CJ456" s="228"/>
      <c r="CK456" s="228"/>
      <c r="CL456" s="228"/>
      <c r="CM456" s="228"/>
      <c r="CN456" s="228"/>
      <c r="CO456" s="228"/>
      <c r="CP456" s="228"/>
      <c r="CQ456" s="228"/>
      <c r="CR456" s="228"/>
      <c r="CS456" s="228"/>
      <c r="CT456" s="228"/>
      <c r="CU456" s="228"/>
      <c r="CV456" s="228"/>
      <c r="CW456" s="228"/>
      <c r="CX456" s="228"/>
      <c r="CY456" s="228"/>
      <c r="CZ456" s="228"/>
      <c r="DA456" s="228"/>
      <c r="DB456" s="228"/>
    </row>
    <row r="457" ht="12.0" customHeight="1">
      <c r="A457" s="228"/>
      <c r="B457" s="228"/>
      <c r="C457" s="228"/>
      <c r="D457" s="228"/>
      <c r="E457" s="228"/>
      <c r="F457" s="228"/>
      <c r="G457" s="228"/>
      <c r="H457" s="228"/>
      <c r="I457" s="228"/>
      <c r="J457" s="228"/>
      <c r="K457" s="228"/>
      <c r="L457" s="228"/>
      <c r="M457" s="228"/>
      <c r="N457" s="228"/>
      <c r="O457" s="228"/>
      <c r="P457" s="228"/>
      <c r="Q457" s="228"/>
      <c r="R457" s="228"/>
      <c r="S457" s="228"/>
      <c r="T457" s="228"/>
      <c r="U457" s="228"/>
      <c r="V457" s="228"/>
      <c r="W457" s="228"/>
      <c r="X457" s="228"/>
      <c r="Y457" s="228"/>
      <c r="Z457" s="228"/>
      <c r="AA457" s="228"/>
      <c r="AB457" s="228"/>
      <c r="AC457" s="228"/>
      <c r="AD457" s="228"/>
      <c r="AE457" s="228"/>
      <c r="AF457" s="228"/>
      <c r="AG457" s="228"/>
      <c r="AH457" s="228"/>
      <c r="AI457" s="228"/>
      <c r="AJ457" s="228"/>
      <c r="AK457" s="228"/>
      <c r="AL457" s="228"/>
      <c r="AM457" s="228"/>
      <c r="AN457" s="228"/>
      <c r="AO457" s="228"/>
      <c r="AP457" s="228"/>
      <c r="AQ457" s="228"/>
      <c r="AR457" s="228"/>
      <c r="AS457" s="228"/>
      <c r="AT457" s="228"/>
      <c r="AU457" s="228"/>
      <c r="AV457" s="228"/>
      <c r="AW457" s="228"/>
      <c r="AX457" s="228"/>
      <c r="AY457" s="228"/>
      <c r="AZ457" s="228"/>
      <c r="BA457" s="228"/>
      <c r="BB457" s="228"/>
      <c r="BC457" s="228"/>
      <c r="BD457" s="228"/>
      <c r="BE457" s="228"/>
      <c r="BF457" s="228"/>
      <c r="BG457" s="228"/>
      <c r="BH457" s="228"/>
      <c r="BI457" s="228"/>
      <c r="BJ457" s="228"/>
      <c r="BK457" s="228"/>
      <c r="BL457" s="228"/>
      <c r="BM457" s="228"/>
      <c r="BN457" s="228"/>
      <c r="BO457" s="228"/>
      <c r="BP457" s="228"/>
      <c r="BQ457" s="228"/>
      <c r="BR457" s="228"/>
      <c r="BS457" s="228"/>
      <c r="BT457" s="228"/>
      <c r="BU457" s="228"/>
      <c r="BV457" s="228"/>
      <c r="BW457" s="228"/>
      <c r="BX457" s="228"/>
      <c r="BY457" s="228"/>
      <c r="BZ457" s="228"/>
      <c r="CA457" s="228"/>
      <c r="CB457" s="228"/>
      <c r="CC457" s="228"/>
      <c r="CD457" s="228"/>
      <c r="CE457" s="228"/>
      <c r="CF457" s="228"/>
      <c r="CG457" s="228"/>
      <c r="CH457" s="228"/>
      <c r="CI457" s="228"/>
      <c r="CJ457" s="228"/>
      <c r="CK457" s="228"/>
      <c r="CL457" s="228"/>
      <c r="CM457" s="228"/>
      <c r="CN457" s="228"/>
      <c r="CO457" s="228"/>
      <c r="CP457" s="228"/>
      <c r="CQ457" s="228"/>
      <c r="CR457" s="228"/>
      <c r="CS457" s="228"/>
      <c r="CT457" s="228"/>
      <c r="CU457" s="228"/>
      <c r="CV457" s="228"/>
      <c r="CW457" s="228"/>
      <c r="CX457" s="228"/>
      <c r="CY457" s="228"/>
      <c r="CZ457" s="228"/>
      <c r="DA457" s="228"/>
      <c r="DB457" s="228"/>
    </row>
    <row r="458" ht="12.0" customHeight="1">
      <c r="A458" s="228"/>
      <c r="B458" s="228"/>
      <c r="C458" s="228"/>
      <c r="D458" s="228"/>
      <c r="E458" s="228"/>
      <c r="F458" s="228"/>
      <c r="G458" s="228"/>
      <c r="H458" s="228"/>
      <c r="I458" s="228"/>
      <c r="J458" s="228"/>
      <c r="K458" s="228"/>
      <c r="L458" s="228"/>
      <c r="M458" s="228"/>
      <c r="N458" s="228"/>
      <c r="O458" s="228"/>
      <c r="P458" s="228"/>
      <c r="Q458" s="228"/>
      <c r="R458" s="228"/>
      <c r="S458" s="228"/>
      <c r="T458" s="228"/>
      <c r="U458" s="228"/>
      <c r="V458" s="228"/>
      <c r="W458" s="228"/>
      <c r="X458" s="228"/>
      <c r="Y458" s="228"/>
      <c r="Z458" s="228"/>
      <c r="AA458" s="228"/>
      <c r="AB458" s="228"/>
      <c r="AC458" s="228"/>
      <c r="AD458" s="228"/>
      <c r="AE458" s="228"/>
      <c r="AF458" s="228"/>
      <c r="AG458" s="228"/>
      <c r="AH458" s="228"/>
      <c r="AI458" s="228"/>
      <c r="AJ458" s="228"/>
      <c r="AK458" s="228"/>
      <c r="AL458" s="228"/>
      <c r="AM458" s="228"/>
      <c r="AN458" s="228"/>
      <c r="AO458" s="228"/>
      <c r="AP458" s="228"/>
      <c r="AQ458" s="228"/>
      <c r="AR458" s="228"/>
      <c r="AS458" s="228"/>
      <c r="AT458" s="228"/>
      <c r="AU458" s="228"/>
      <c r="AV458" s="228"/>
      <c r="AW458" s="228"/>
      <c r="AX458" s="228"/>
      <c r="AY458" s="228"/>
      <c r="AZ458" s="228"/>
      <c r="BA458" s="228"/>
      <c r="BB458" s="228"/>
      <c r="BC458" s="228"/>
      <c r="BD458" s="228"/>
      <c r="BE458" s="228"/>
      <c r="BF458" s="228"/>
      <c r="BG458" s="228"/>
      <c r="BH458" s="228"/>
      <c r="BI458" s="228"/>
      <c r="BJ458" s="228"/>
      <c r="BK458" s="228"/>
      <c r="BL458" s="228"/>
      <c r="BM458" s="228"/>
      <c r="BN458" s="228"/>
      <c r="BO458" s="228"/>
      <c r="BP458" s="228"/>
      <c r="BQ458" s="228"/>
      <c r="BR458" s="228"/>
      <c r="BS458" s="228"/>
      <c r="BT458" s="228"/>
      <c r="BU458" s="228"/>
      <c r="BV458" s="228"/>
      <c r="BW458" s="228"/>
      <c r="BX458" s="228"/>
      <c r="BY458" s="228"/>
      <c r="BZ458" s="228"/>
      <c r="CA458" s="228"/>
      <c r="CB458" s="228"/>
      <c r="CC458" s="228"/>
      <c r="CD458" s="228"/>
      <c r="CE458" s="228"/>
      <c r="CF458" s="228"/>
      <c r="CG458" s="228"/>
      <c r="CH458" s="228"/>
      <c r="CI458" s="228"/>
      <c r="CJ458" s="228"/>
      <c r="CK458" s="228"/>
      <c r="CL458" s="228"/>
      <c r="CM458" s="228"/>
      <c r="CN458" s="228"/>
      <c r="CO458" s="228"/>
      <c r="CP458" s="228"/>
      <c r="CQ458" s="228"/>
      <c r="CR458" s="228"/>
      <c r="CS458" s="228"/>
      <c r="CT458" s="228"/>
      <c r="CU458" s="228"/>
      <c r="CV458" s="228"/>
      <c r="CW458" s="228"/>
      <c r="CX458" s="228"/>
      <c r="CY458" s="228"/>
      <c r="CZ458" s="228"/>
      <c r="DA458" s="228"/>
      <c r="DB458" s="228"/>
    </row>
    <row r="459" ht="12.0" customHeight="1">
      <c r="A459" s="228"/>
      <c r="B459" s="228"/>
      <c r="C459" s="228"/>
      <c r="D459" s="228"/>
      <c r="E459" s="228"/>
      <c r="F459" s="228"/>
      <c r="G459" s="228"/>
      <c r="H459" s="228"/>
      <c r="I459" s="228"/>
      <c r="J459" s="228"/>
      <c r="K459" s="228"/>
      <c r="L459" s="228"/>
      <c r="M459" s="228"/>
      <c r="N459" s="228"/>
      <c r="O459" s="228"/>
      <c r="P459" s="228"/>
      <c r="Q459" s="228"/>
      <c r="R459" s="228"/>
      <c r="S459" s="228"/>
      <c r="T459" s="228"/>
      <c r="U459" s="228"/>
      <c r="V459" s="228"/>
      <c r="W459" s="228"/>
      <c r="X459" s="228"/>
      <c r="Y459" s="228"/>
      <c r="Z459" s="228"/>
      <c r="AA459" s="228"/>
      <c r="AB459" s="228"/>
      <c r="AC459" s="228"/>
      <c r="AD459" s="228"/>
      <c r="AE459" s="228"/>
      <c r="AF459" s="228"/>
      <c r="AG459" s="228"/>
      <c r="AH459" s="228"/>
      <c r="AI459" s="228"/>
      <c r="AJ459" s="228"/>
      <c r="AK459" s="228"/>
      <c r="AL459" s="228"/>
      <c r="AM459" s="228"/>
      <c r="AN459" s="228"/>
      <c r="AO459" s="228"/>
      <c r="AP459" s="228"/>
      <c r="AQ459" s="228"/>
      <c r="AR459" s="228"/>
      <c r="AS459" s="228"/>
      <c r="AT459" s="228"/>
      <c r="AU459" s="228"/>
      <c r="AV459" s="228"/>
      <c r="AW459" s="228"/>
      <c r="AX459" s="228"/>
      <c r="AY459" s="228"/>
      <c r="AZ459" s="228"/>
      <c r="BA459" s="228"/>
      <c r="BB459" s="228"/>
      <c r="BC459" s="228"/>
      <c r="BD459" s="228"/>
      <c r="BE459" s="228"/>
      <c r="BF459" s="228"/>
      <c r="BG459" s="228"/>
      <c r="BH459" s="228"/>
      <c r="BI459" s="228"/>
      <c r="BJ459" s="228"/>
      <c r="BK459" s="228"/>
      <c r="BL459" s="228"/>
      <c r="BM459" s="228"/>
      <c r="BN459" s="228"/>
      <c r="BO459" s="228"/>
      <c r="BP459" s="228"/>
      <c r="BQ459" s="228"/>
      <c r="BR459" s="228"/>
      <c r="BS459" s="228"/>
      <c r="BT459" s="228"/>
      <c r="BU459" s="228"/>
      <c r="BV459" s="228"/>
      <c r="BW459" s="228"/>
      <c r="BX459" s="228"/>
      <c r="BY459" s="228"/>
      <c r="BZ459" s="228"/>
      <c r="CA459" s="228"/>
      <c r="CB459" s="228"/>
      <c r="CC459" s="228"/>
      <c r="CD459" s="228"/>
      <c r="CE459" s="228"/>
      <c r="CF459" s="228"/>
      <c r="CG459" s="228"/>
      <c r="CH459" s="228"/>
      <c r="CI459" s="228"/>
      <c r="CJ459" s="228"/>
      <c r="CK459" s="228"/>
      <c r="CL459" s="228"/>
      <c r="CM459" s="228"/>
      <c r="CN459" s="228"/>
      <c r="CO459" s="228"/>
      <c r="CP459" s="228"/>
      <c r="CQ459" s="228"/>
      <c r="CR459" s="228"/>
      <c r="CS459" s="228"/>
      <c r="CT459" s="228"/>
      <c r="CU459" s="228"/>
      <c r="CV459" s="228"/>
      <c r="CW459" s="228"/>
      <c r="CX459" s="228"/>
      <c r="CY459" s="228"/>
      <c r="CZ459" s="228"/>
      <c r="DA459" s="228"/>
      <c r="DB459" s="228"/>
    </row>
    <row r="460" ht="12.0" customHeight="1">
      <c r="A460" s="228"/>
      <c r="B460" s="228"/>
      <c r="C460" s="228"/>
      <c r="D460" s="228"/>
      <c r="E460" s="228"/>
      <c r="F460" s="228"/>
      <c r="G460" s="228"/>
      <c r="H460" s="228"/>
      <c r="I460" s="228"/>
      <c r="J460" s="228"/>
      <c r="K460" s="228"/>
      <c r="L460" s="228"/>
      <c r="M460" s="228"/>
      <c r="N460" s="228"/>
      <c r="O460" s="228"/>
      <c r="P460" s="228"/>
      <c r="Q460" s="228"/>
      <c r="R460" s="228"/>
      <c r="S460" s="228"/>
      <c r="T460" s="228"/>
      <c r="U460" s="228"/>
      <c r="V460" s="228"/>
      <c r="W460" s="228"/>
      <c r="X460" s="228"/>
      <c r="Y460" s="228"/>
      <c r="Z460" s="228"/>
      <c r="AA460" s="228"/>
      <c r="AB460" s="228"/>
      <c r="AC460" s="228"/>
      <c r="AD460" s="228"/>
      <c r="AE460" s="228"/>
      <c r="AF460" s="228"/>
      <c r="AG460" s="228"/>
      <c r="AH460" s="228"/>
      <c r="AI460" s="228"/>
      <c r="AJ460" s="228"/>
      <c r="AK460" s="228"/>
      <c r="AL460" s="228"/>
      <c r="AM460" s="228"/>
      <c r="AN460" s="228"/>
      <c r="AO460" s="228"/>
      <c r="AP460" s="228"/>
      <c r="AQ460" s="228"/>
      <c r="AR460" s="228"/>
      <c r="AS460" s="228"/>
      <c r="AT460" s="228"/>
      <c r="AU460" s="228"/>
      <c r="AV460" s="228"/>
      <c r="AW460" s="228"/>
      <c r="AX460" s="228"/>
      <c r="AY460" s="228"/>
      <c r="AZ460" s="228"/>
      <c r="BA460" s="228"/>
      <c r="BB460" s="228"/>
      <c r="BC460" s="228"/>
      <c r="BD460" s="228"/>
      <c r="BE460" s="228"/>
      <c r="BF460" s="228"/>
      <c r="BG460" s="228"/>
      <c r="BH460" s="228"/>
      <c r="BI460" s="228"/>
      <c r="BJ460" s="228"/>
      <c r="BK460" s="228"/>
      <c r="BL460" s="228"/>
      <c r="BM460" s="228"/>
      <c r="BN460" s="228"/>
      <c r="BO460" s="228"/>
      <c r="BP460" s="228"/>
      <c r="BQ460" s="228"/>
      <c r="BR460" s="228"/>
      <c r="BS460" s="228"/>
      <c r="BT460" s="228"/>
      <c r="BU460" s="228"/>
      <c r="BV460" s="228"/>
      <c r="BW460" s="228"/>
      <c r="BX460" s="228"/>
      <c r="BY460" s="228"/>
      <c r="BZ460" s="228"/>
      <c r="CA460" s="228"/>
      <c r="CB460" s="228"/>
      <c r="CC460" s="228"/>
      <c r="CD460" s="228"/>
      <c r="CE460" s="228"/>
      <c r="CF460" s="228"/>
      <c r="CG460" s="228"/>
      <c r="CH460" s="228"/>
      <c r="CI460" s="228"/>
      <c r="CJ460" s="228"/>
      <c r="CK460" s="228"/>
      <c r="CL460" s="228"/>
      <c r="CM460" s="228"/>
      <c r="CN460" s="228"/>
      <c r="CO460" s="228"/>
      <c r="CP460" s="228"/>
      <c r="CQ460" s="228"/>
      <c r="CR460" s="228"/>
      <c r="CS460" s="228"/>
      <c r="CT460" s="228"/>
      <c r="CU460" s="228"/>
      <c r="CV460" s="228"/>
      <c r="CW460" s="228"/>
      <c r="CX460" s="228"/>
      <c r="CY460" s="228"/>
      <c r="CZ460" s="228"/>
      <c r="DA460" s="228"/>
      <c r="DB460" s="228"/>
    </row>
    <row r="461" ht="12.0" customHeight="1">
      <c r="A461" s="228"/>
      <c r="B461" s="228"/>
      <c r="C461" s="228"/>
      <c r="D461" s="228"/>
      <c r="E461" s="228"/>
      <c r="F461" s="228"/>
      <c r="G461" s="228"/>
      <c r="H461" s="228"/>
      <c r="I461" s="228"/>
      <c r="J461" s="228"/>
      <c r="K461" s="228"/>
      <c r="L461" s="228"/>
      <c r="M461" s="228"/>
      <c r="N461" s="228"/>
      <c r="O461" s="228"/>
      <c r="P461" s="228"/>
      <c r="Q461" s="228"/>
      <c r="R461" s="228"/>
      <c r="S461" s="228"/>
      <c r="T461" s="228"/>
      <c r="U461" s="228"/>
      <c r="V461" s="228"/>
      <c r="W461" s="228"/>
      <c r="X461" s="228"/>
      <c r="Y461" s="228"/>
      <c r="Z461" s="228"/>
      <c r="AA461" s="228"/>
      <c r="AB461" s="228"/>
      <c r="AC461" s="228"/>
      <c r="AD461" s="228"/>
      <c r="AE461" s="228"/>
      <c r="AF461" s="228"/>
      <c r="AG461" s="228"/>
      <c r="AH461" s="228"/>
      <c r="AI461" s="228"/>
      <c r="AJ461" s="228"/>
      <c r="AK461" s="228"/>
      <c r="AL461" s="228"/>
      <c r="AM461" s="228"/>
      <c r="AN461" s="228"/>
      <c r="AO461" s="228"/>
      <c r="AP461" s="228"/>
      <c r="AQ461" s="228"/>
      <c r="AR461" s="228"/>
      <c r="AS461" s="228"/>
      <c r="AT461" s="228"/>
      <c r="AU461" s="228"/>
      <c r="AV461" s="228"/>
      <c r="AW461" s="228"/>
      <c r="AX461" s="228"/>
      <c r="AY461" s="228"/>
      <c r="AZ461" s="228"/>
      <c r="BA461" s="228"/>
      <c r="BB461" s="228"/>
      <c r="BC461" s="228"/>
      <c r="BD461" s="228"/>
      <c r="BE461" s="228"/>
      <c r="BF461" s="228"/>
      <c r="BG461" s="228"/>
      <c r="BH461" s="228"/>
      <c r="BI461" s="228"/>
      <c r="BJ461" s="228"/>
      <c r="BK461" s="228"/>
      <c r="BL461" s="228"/>
      <c r="BM461" s="228"/>
      <c r="BN461" s="228"/>
      <c r="BO461" s="228"/>
      <c r="BP461" s="228"/>
      <c r="BQ461" s="228"/>
      <c r="BR461" s="228"/>
      <c r="BS461" s="228"/>
      <c r="BT461" s="228"/>
      <c r="BU461" s="228"/>
      <c r="BV461" s="228"/>
      <c r="BW461" s="228"/>
      <c r="BX461" s="228"/>
      <c r="BY461" s="228"/>
      <c r="BZ461" s="228"/>
      <c r="CA461" s="228"/>
      <c r="CB461" s="228"/>
      <c r="CC461" s="228"/>
      <c r="CD461" s="228"/>
      <c r="CE461" s="228"/>
      <c r="CF461" s="228"/>
      <c r="CG461" s="228"/>
      <c r="CH461" s="228"/>
      <c r="CI461" s="228"/>
      <c r="CJ461" s="228"/>
      <c r="CK461" s="228"/>
      <c r="CL461" s="228"/>
      <c r="CM461" s="228"/>
      <c r="CN461" s="228"/>
      <c r="CO461" s="228"/>
      <c r="CP461" s="228"/>
      <c r="CQ461" s="228"/>
      <c r="CR461" s="228"/>
      <c r="CS461" s="228"/>
      <c r="CT461" s="228"/>
      <c r="CU461" s="228"/>
      <c r="CV461" s="228"/>
      <c r="CW461" s="228"/>
      <c r="CX461" s="228"/>
      <c r="CY461" s="228"/>
      <c r="CZ461" s="228"/>
      <c r="DA461" s="228"/>
      <c r="DB461" s="228"/>
    </row>
    <row r="462" ht="12.0" customHeight="1">
      <c r="A462" s="228"/>
      <c r="B462" s="228"/>
      <c r="C462" s="228"/>
      <c r="D462" s="228"/>
      <c r="E462" s="228"/>
      <c r="F462" s="228"/>
      <c r="G462" s="228"/>
      <c r="H462" s="228"/>
      <c r="I462" s="228"/>
      <c r="J462" s="228"/>
      <c r="K462" s="228"/>
      <c r="L462" s="228"/>
      <c r="M462" s="228"/>
      <c r="N462" s="228"/>
      <c r="O462" s="228"/>
      <c r="P462" s="228"/>
      <c r="Q462" s="228"/>
      <c r="R462" s="228"/>
      <c r="S462" s="228"/>
      <c r="T462" s="228"/>
      <c r="U462" s="228"/>
      <c r="V462" s="228"/>
      <c r="W462" s="228"/>
      <c r="X462" s="228"/>
      <c r="Y462" s="228"/>
      <c r="Z462" s="228"/>
      <c r="AA462" s="228"/>
      <c r="AB462" s="228"/>
      <c r="AC462" s="228"/>
      <c r="AD462" s="228"/>
      <c r="AE462" s="228"/>
      <c r="AF462" s="228"/>
      <c r="AG462" s="228"/>
      <c r="AH462" s="228"/>
      <c r="AI462" s="228"/>
      <c r="AJ462" s="228"/>
      <c r="AK462" s="228"/>
      <c r="AL462" s="228"/>
      <c r="AM462" s="228"/>
      <c r="AN462" s="228"/>
      <c r="AO462" s="228"/>
      <c r="AP462" s="228"/>
      <c r="AQ462" s="228"/>
      <c r="AR462" s="228"/>
      <c r="AS462" s="228"/>
      <c r="AT462" s="228"/>
      <c r="AU462" s="228"/>
      <c r="AV462" s="228"/>
      <c r="AW462" s="228"/>
      <c r="AX462" s="228"/>
      <c r="AY462" s="228"/>
      <c r="AZ462" s="228"/>
      <c r="BA462" s="228"/>
      <c r="BB462" s="228"/>
      <c r="BC462" s="228"/>
      <c r="BD462" s="228"/>
      <c r="BE462" s="228"/>
      <c r="BF462" s="228"/>
      <c r="BG462" s="228"/>
      <c r="BH462" s="228"/>
      <c r="BI462" s="228"/>
      <c r="BJ462" s="228"/>
      <c r="BK462" s="228"/>
      <c r="BL462" s="228"/>
      <c r="BM462" s="228"/>
      <c r="BN462" s="228"/>
      <c r="BO462" s="228"/>
      <c r="BP462" s="228"/>
      <c r="BQ462" s="228"/>
      <c r="BR462" s="228"/>
      <c r="BS462" s="228"/>
      <c r="BT462" s="228"/>
      <c r="BU462" s="228"/>
      <c r="BV462" s="228"/>
      <c r="BW462" s="228"/>
      <c r="BX462" s="228"/>
      <c r="BY462" s="228"/>
      <c r="BZ462" s="228"/>
      <c r="CA462" s="228"/>
      <c r="CB462" s="228"/>
      <c r="CC462" s="228"/>
      <c r="CD462" s="228"/>
      <c r="CE462" s="228"/>
      <c r="CF462" s="228"/>
      <c r="CG462" s="228"/>
      <c r="CH462" s="228"/>
      <c r="CI462" s="228"/>
      <c r="CJ462" s="228"/>
      <c r="CK462" s="228"/>
      <c r="CL462" s="228"/>
      <c r="CM462" s="228"/>
      <c r="CN462" s="228"/>
      <c r="CO462" s="228"/>
      <c r="CP462" s="228"/>
      <c r="CQ462" s="228"/>
      <c r="CR462" s="228"/>
      <c r="CS462" s="228"/>
      <c r="CT462" s="228"/>
      <c r="CU462" s="228"/>
      <c r="CV462" s="228"/>
      <c r="CW462" s="228"/>
      <c r="CX462" s="228"/>
      <c r="CY462" s="228"/>
      <c r="CZ462" s="228"/>
      <c r="DA462" s="228"/>
      <c r="DB462" s="228"/>
    </row>
    <row r="463" ht="12.0" customHeight="1">
      <c r="A463" s="228"/>
      <c r="B463" s="228"/>
      <c r="C463" s="228"/>
      <c r="D463" s="228"/>
      <c r="E463" s="228"/>
      <c r="F463" s="228"/>
      <c r="G463" s="228"/>
      <c r="H463" s="228"/>
      <c r="I463" s="228"/>
      <c r="J463" s="228"/>
      <c r="K463" s="228"/>
      <c r="L463" s="228"/>
      <c r="M463" s="228"/>
      <c r="N463" s="228"/>
      <c r="O463" s="228"/>
      <c r="P463" s="228"/>
      <c r="Q463" s="228"/>
      <c r="R463" s="228"/>
      <c r="S463" s="228"/>
      <c r="T463" s="228"/>
      <c r="U463" s="228"/>
      <c r="V463" s="228"/>
      <c r="W463" s="228"/>
      <c r="X463" s="228"/>
      <c r="Y463" s="228"/>
      <c r="Z463" s="228"/>
      <c r="AA463" s="228"/>
      <c r="AB463" s="228"/>
      <c r="AC463" s="228"/>
      <c r="AD463" s="228"/>
      <c r="AE463" s="228"/>
      <c r="AF463" s="228"/>
      <c r="AG463" s="228"/>
      <c r="AH463" s="228"/>
      <c r="AI463" s="228"/>
      <c r="AJ463" s="228"/>
      <c r="AK463" s="228"/>
      <c r="AL463" s="228"/>
      <c r="AM463" s="228"/>
      <c r="AN463" s="228"/>
      <c r="AO463" s="228"/>
      <c r="AP463" s="228"/>
      <c r="AQ463" s="228"/>
      <c r="AR463" s="228"/>
      <c r="AS463" s="228"/>
      <c r="AT463" s="228"/>
      <c r="AU463" s="228"/>
      <c r="AV463" s="228"/>
      <c r="AW463" s="228"/>
      <c r="AX463" s="228"/>
      <c r="AY463" s="228"/>
      <c r="AZ463" s="228"/>
      <c r="BA463" s="228"/>
      <c r="BB463" s="228"/>
      <c r="BC463" s="228"/>
      <c r="BD463" s="228"/>
      <c r="BE463" s="228"/>
      <c r="BF463" s="228"/>
      <c r="BG463" s="228"/>
      <c r="BH463" s="228"/>
      <c r="BI463" s="228"/>
      <c r="BJ463" s="228"/>
      <c r="BK463" s="228"/>
      <c r="BL463" s="228"/>
      <c r="BM463" s="228"/>
      <c r="BN463" s="228"/>
      <c r="BO463" s="228"/>
      <c r="BP463" s="228"/>
      <c r="BQ463" s="228"/>
      <c r="BR463" s="228"/>
      <c r="BS463" s="228"/>
      <c r="BT463" s="228"/>
      <c r="BU463" s="228"/>
      <c r="BV463" s="228"/>
      <c r="BW463" s="228"/>
      <c r="BX463" s="228"/>
      <c r="BY463" s="228"/>
      <c r="BZ463" s="228"/>
      <c r="CA463" s="228"/>
      <c r="CB463" s="228"/>
      <c r="CC463" s="228"/>
      <c r="CD463" s="228"/>
      <c r="CE463" s="228"/>
      <c r="CF463" s="228"/>
      <c r="CG463" s="228"/>
      <c r="CH463" s="228"/>
      <c r="CI463" s="228"/>
      <c r="CJ463" s="228"/>
      <c r="CK463" s="228"/>
      <c r="CL463" s="228"/>
      <c r="CM463" s="228"/>
      <c r="CN463" s="228"/>
      <c r="CO463" s="228"/>
      <c r="CP463" s="228"/>
      <c r="CQ463" s="228"/>
      <c r="CR463" s="228"/>
      <c r="CS463" s="228"/>
      <c r="CT463" s="228"/>
      <c r="CU463" s="228"/>
      <c r="CV463" s="228"/>
      <c r="CW463" s="228"/>
      <c r="CX463" s="228"/>
      <c r="CY463" s="228"/>
      <c r="CZ463" s="228"/>
      <c r="DA463" s="228"/>
      <c r="DB463" s="228"/>
    </row>
    <row r="464" ht="12.0" customHeight="1">
      <c r="A464" s="228"/>
      <c r="B464" s="228"/>
      <c r="C464" s="228"/>
      <c r="D464" s="228"/>
      <c r="E464" s="228"/>
      <c r="F464" s="228"/>
      <c r="G464" s="228"/>
      <c r="H464" s="228"/>
      <c r="I464" s="228"/>
      <c r="J464" s="228"/>
      <c r="K464" s="228"/>
      <c r="L464" s="228"/>
      <c r="M464" s="228"/>
      <c r="N464" s="228"/>
      <c r="O464" s="228"/>
      <c r="P464" s="228"/>
      <c r="Q464" s="228"/>
      <c r="R464" s="228"/>
      <c r="S464" s="228"/>
      <c r="T464" s="228"/>
      <c r="U464" s="228"/>
      <c r="V464" s="228"/>
      <c r="W464" s="228"/>
      <c r="X464" s="228"/>
      <c r="Y464" s="228"/>
      <c r="Z464" s="228"/>
      <c r="AA464" s="228"/>
      <c r="AB464" s="228"/>
      <c r="AC464" s="228"/>
      <c r="AD464" s="228"/>
      <c r="AE464" s="228"/>
      <c r="AF464" s="228"/>
      <c r="AG464" s="228"/>
      <c r="AH464" s="228"/>
      <c r="AI464" s="228"/>
      <c r="AJ464" s="228"/>
      <c r="AK464" s="228"/>
      <c r="AL464" s="228"/>
      <c r="AM464" s="228"/>
      <c r="AN464" s="228"/>
      <c r="AO464" s="228"/>
      <c r="AP464" s="228"/>
      <c r="AQ464" s="228"/>
      <c r="AR464" s="228"/>
      <c r="AS464" s="228"/>
      <c r="AT464" s="228"/>
      <c r="AU464" s="228"/>
      <c r="AV464" s="228"/>
      <c r="AW464" s="228"/>
      <c r="AX464" s="228"/>
      <c r="AY464" s="228"/>
      <c r="AZ464" s="228"/>
      <c r="BA464" s="228"/>
      <c r="BB464" s="228"/>
      <c r="BC464" s="228"/>
      <c r="BD464" s="228"/>
      <c r="BE464" s="228"/>
      <c r="BF464" s="228"/>
      <c r="BG464" s="228"/>
      <c r="BH464" s="228"/>
      <c r="BI464" s="228"/>
      <c r="BJ464" s="228"/>
      <c r="BK464" s="228"/>
      <c r="BL464" s="228"/>
      <c r="BM464" s="228"/>
      <c r="BN464" s="228"/>
      <c r="BO464" s="228"/>
      <c r="BP464" s="228"/>
      <c r="BQ464" s="228"/>
      <c r="BR464" s="228"/>
      <c r="BS464" s="228"/>
      <c r="BT464" s="228"/>
      <c r="BU464" s="228"/>
      <c r="BV464" s="228"/>
      <c r="BW464" s="228"/>
      <c r="BX464" s="228"/>
      <c r="BY464" s="228"/>
      <c r="BZ464" s="228"/>
      <c r="CA464" s="228"/>
      <c r="CB464" s="228"/>
      <c r="CC464" s="228"/>
      <c r="CD464" s="228"/>
      <c r="CE464" s="228"/>
      <c r="CF464" s="228"/>
      <c r="CG464" s="228"/>
      <c r="CH464" s="228"/>
      <c r="CI464" s="228"/>
      <c r="CJ464" s="228"/>
      <c r="CK464" s="228"/>
      <c r="CL464" s="228"/>
      <c r="CM464" s="228"/>
      <c r="CN464" s="228"/>
      <c r="CO464" s="228"/>
      <c r="CP464" s="228"/>
      <c r="CQ464" s="228"/>
      <c r="CR464" s="228"/>
      <c r="CS464" s="228"/>
      <c r="CT464" s="228"/>
      <c r="CU464" s="228"/>
      <c r="CV464" s="228"/>
      <c r="CW464" s="228"/>
      <c r="CX464" s="228"/>
      <c r="CY464" s="228"/>
      <c r="CZ464" s="228"/>
      <c r="DA464" s="228"/>
      <c r="DB464" s="228"/>
    </row>
    <row r="465" ht="12.0" customHeight="1">
      <c r="A465" s="228"/>
      <c r="B465" s="228"/>
      <c r="C465" s="228"/>
      <c r="D465" s="228"/>
      <c r="E465" s="228"/>
      <c r="F465" s="228"/>
      <c r="G465" s="228"/>
      <c r="H465" s="228"/>
      <c r="I465" s="228"/>
      <c r="J465" s="228"/>
      <c r="K465" s="228"/>
      <c r="L465" s="228"/>
      <c r="M465" s="228"/>
      <c r="N465" s="228"/>
      <c r="O465" s="228"/>
      <c r="P465" s="228"/>
      <c r="Q465" s="228"/>
      <c r="R465" s="228"/>
      <c r="S465" s="228"/>
      <c r="T465" s="228"/>
      <c r="U465" s="228"/>
      <c r="V465" s="228"/>
      <c r="W465" s="228"/>
      <c r="X465" s="228"/>
      <c r="Y465" s="228"/>
      <c r="Z465" s="228"/>
      <c r="AA465" s="228"/>
      <c r="AB465" s="228"/>
      <c r="AC465" s="228"/>
      <c r="AD465" s="228"/>
      <c r="AE465" s="228"/>
      <c r="AF465" s="228"/>
      <c r="AG465" s="228"/>
      <c r="AH465" s="228"/>
      <c r="AI465" s="228"/>
      <c r="AJ465" s="228"/>
      <c r="AK465" s="228"/>
      <c r="AL465" s="228"/>
      <c r="AM465" s="228"/>
      <c r="AN465" s="228"/>
      <c r="AO465" s="228"/>
      <c r="AP465" s="228"/>
      <c r="AQ465" s="228"/>
      <c r="AR465" s="228"/>
      <c r="AS465" s="228"/>
      <c r="AT465" s="228"/>
      <c r="AU465" s="228"/>
      <c r="AV465" s="228"/>
      <c r="AW465" s="228"/>
      <c r="AX465" s="228"/>
      <c r="AY465" s="228"/>
      <c r="AZ465" s="228"/>
      <c r="BA465" s="228"/>
      <c r="BB465" s="228"/>
      <c r="BC465" s="228"/>
      <c r="BD465" s="228"/>
      <c r="BE465" s="228"/>
      <c r="BF465" s="228"/>
      <c r="BG465" s="228"/>
      <c r="BH465" s="228"/>
      <c r="BI465" s="228"/>
      <c r="BJ465" s="228"/>
      <c r="BK465" s="228"/>
      <c r="BL465" s="228"/>
      <c r="BM465" s="228"/>
      <c r="BN465" s="228"/>
      <c r="BO465" s="228"/>
      <c r="BP465" s="228"/>
      <c r="BQ465" s="228"/>
      <c r="BR465" s="228"/>
      <c r="BS465" s="228"/>
      <c r="BT465" s="228"/>
      <c r="BU465" s="228"/>
      <c r="BV465" s="228"/>
      <c r="BW465" s="228"/>
      <c r="BX465" s="228"/>
      <c r="BY465" s="228"/>
      <c r="BZ465" s="228"/>
      <c r="CA465" s="228"/>
      <c r="CB465" s="228"/>
      <c r="CC465" s="228"/>
      <c r="CD465" s="228"/>
      <c r="CE465" s="228"/>
      <c r="CF465" s="228"/>
      <c r="CG465" s="228"/>
      <c r="CH465" s="228"/>
      <c r="CI465" s="228"/>
      <c r="CJ465" s="228"/>
      <c r="CK465" s="228"/>
      <c r="CL465" s="228"/>
      <c r="CM465" s="228"/>
      <c r="CN465" s="228"/>
      <c r="CO465" s="228"/>
      <c r="CP465" s="228"/>
      <c r="CQ465" s="228"/>
      <c r="CR465" s="228"/>
      <c r="CS465" s="228"/>
      <c r="CT465" s="228"/>
      <c r="CU465" s="228"/>
      <c r="CV465" s="228"/>
      <c r="CW465" s="228"/>
      <c r="CX465" s="228"/>
      <c r="CY465" s="228"/>
      <c r="CZ465" s="228"/>
      <c r="DA465" s="228"/>
      <c r="DB465" s="228"/>
    </row>
    <row r="466" ht="12.0" customHeight="1">
      <c r="A466" s="228"/>
      <c r="B466" s="228"/>
      <c r="C466" s="228"/>
      <c r="D466" s="228"/>
      <c r="E466" s="228"/>
      <c r="F466" s="228"/>
      <c r="G466" s="228"/>
      <c r="H466" s="228"/>
      <c r="I466" s="228"/>
      <c r="J466" s="228"/>
      <c r="K466" s="228"/>
      <c r="L466" s="228"/>
      <c r="M466" s="228"/>
      <c r="N466" s="228"/>
      <c r="O466" s="228"/>
      <c r="P466" s="228"/>
      <c r="Q466" s="228"/>
      <c r="R466" s="228"/>
      <c r="S466" s="228"/>
      <c r="T466" s="228"/>
      <c r="U466" s="228"/>
      <c r="V466" s="228"/>
      <c r="W466" s="228"/>
      <c r="X466" s="228"/>
      <c r="Y466" s="228"/>
      <c r="Z466" s="228"/>
      <c r="AA466" s="228"/>
      <c r="AB466" s="228"/>
      <c r="AC466" s="228"/>
      <c r="AD466" s="228"/>
      <c r="AE466" s="228"/>
      <c r="AF466" s="228"/>
      <c r="AG466" s="228"/>
      <c r="AH466" s="228"/>
      <c r="AI466" s="228"/>
      <c r="AJ466" s="228"/>
      <c r="AK466" s="228"/>
      <c r="AL466" s="228"/>
      <c r="AM466" s="228"/>
      <c r="AN466" s="228"/>
      <c r="AO466" s="228"/>
      <c r="AP466" s="228"/>
      <c r="AQ466" s="228"/>
      <c r="AR466" s="228"/>
      <c r="AS466" s="228"/>
      <c r="AT466" s="228"/>
      <c r="AU466" s="228"/>
      <c r="AV466" s="228"/>
      <c r="AW466" s="228"/>
      <c r="AX466" s="228"/>
      <c r="AY466" s="228"/>
      <c r="AZ466" s="228"/>
      <c r="BA466" s="228"/>
      <c r="BB466" s="228"/>
      <c r="BC466" s="228"/>
      <c r="BD466" s="228"/>
      <c r="BE466" s="228"/>
      <c r="BF466" s="228"/>
      <c r="BG466" s="228"/>
      <c r="BH466" s="228"/>
      <c r="BI466" s="228"/>
      <c r="BJ466" s="228"/>
      <c r="BK466" s="228"/>
      <c r="BL466" s="228"/>
      <c r="BM466" s="228"/>
      <c r="BN466" s="228"/>
      <c r="BO466" s="228"/>
      <c r="BP466" s="228"/>
      <c r="BQ466" s="228"/>
      <c r="BR466" s="228"/>
      <c r="BS466" s="228"/>
      <c r="BT466" s="228"/>
      <c r="BU466" s="228"/>
      <c r="BV466" s="228"/>
      <c r="BW466" s="228"/>
      <c r="BX466" s="228"/>
      <c r="BY466" s="228"/>
      <c r="BZ466" s="228"/>
      <c r="CA466" s="228"/>
      <c r="CB466" s="228"/>
      <c r="CC466" s="228"/>
      <c r="CD466" s="228"/>
      <c r="CE466" s="228"/>
      <c r="CF466" s="228"/>
      <c r="CG466" s="228"/>
      <c r="CH466" s="228"/>
      <c r="CI466" s="228"/>
      <c r="CJ466" s="228"/>
      <c r="CK466" s="228"/>
      <c r="CL466" s="228"/>
      <c r="CM466" s="228"/>
      <c r="CN466" s="228"/>
      <c r="CO466" s="228"/>
      <c r="CP466" s="228"/>
      <c r="CQ466" s="228"/>
      <c r="CR466" s="228"/>
      <c r="CS466" s="228"/>
      <c r="CT466" s="228"/>
      <c r="CU466" s="228"/>
      <c r="CV466" s="228"/>
      <c r="CW466" s="228"/>
      <c r="CX466" s="228"/>
      <c r="CY466" s="228"/>
      <c r="CZ466" s="228"/>
      <c r="DA466" s="228"/>
      <c r="DB466" s="228"/>
    </row>
    <row r="467" ht="12.0" customHeight="1">
      <c r="A467" s="228"/>
      <c r="B467" s="228"/>
      <c r="C467" s="228"/>
      <c r="D467" s="228"/>
      <c r="E467" s="228"/>
      <c r="F467" s="228"/>
      <c r="G467" s="228"/>
      <c r="H467" s="228"/>
      <c r="I467" s="228"/>
      <c r="J467" s="228"/>
      <c r="K467" s="228"/>
      <c r="L467" s="228"/>
      <c r="M467" s="228"/>
      <c r="N467" s="228"/>
      <c r="O467" s="228"/>
      <c r="P467" s="228"/>
      <c r="Q467" s="228"/>
      <c r="R467" s="228"/>
      <c r="S467" s="228"/>
      <c r="T467" s="228"/>
      <c r="U467" s="228"/>
      <c r="V467" s="228"/>
      <c r="W467" s="228"/>
      <c r="X467" s="228"/>
      <c r="Y467" s="228"/>
      <c r="Z467" s="228"/>
      <c r="AA467" s="228"/>
      <c r="AB467" s="228"/>
      <c r="AC467" s="228"/>
      <c r="AD467" s="228"/>
      <c r="AE467" s="228"/>
      <c r="AF467" s="228"/>
      <c r="AG467" s="228"/>
      <c r="AH467" s="228"/>
      <c r="AI467" s="228"/>
      <c r="AJ467" s="228"/>
      <c r="AK467" s="228"/>
      <c r="AL467" s="228"/>
      <c r="AM467" s="228"/>
      <c r="AN467" s="228"/>
      <c r="AO467" s="228"/>
      <c r="AP467" s="228"/>
      <c r="AQ467" s="228"/>
      <c r="AR467" s="228"/>
      <c r="AS467" s="228"/>
      <c r="AT467" s="228"/>
      <c r="AU467" s="228"/>
      <c r="AV467" s="228"/>
      <c r="AW467" s="228"/>
      <c r="AX467" s="228"/>
      <c r="AY467" s="228"/>
      <c r="AZ467" s="228"/>
      <c r="BA467" s="228"/>
      <c r="BB467" s="228"/>
      <c r="BC467" s="228"/>
      <c r="BD467" s="228"/>
      <c r="BE467" s="228"/>
      <c r="BF467" s="228"/>
      <c r="BG467" s="228"/>
      <c r="BH467" s="228"/>
      <c r="BI467" s="228"/>
      <c r="BJ467" s="228"/>
      <c r="BK467" s="228"/>
      <c r="BL467" s="228"/>
      <c r="BM467" s="228"/>
      <c r="BN467" s="228"/>
      <c r="BO467" s="228"/>
      <c r="BP467" s="228"/>
      <c r="BQ467" s="228"/>
      <c r="BR467" s="228"/>
      <c r="BS467" s="228"/>
      <c r="BT467" s="228"/>
      <c r="BU467" s="228"/>
      <c r="BV467" s="228"/>
      <c r="BW467" s="228"/>
      <c r="BX467" s="228"/>
      <c r="BY467" s="228"/>
      <c r="BZ467" s="228"/>
      <c r="CA467" s="228"/>
      <c r="CB467" s="228"/>
      <c r="CC467" s="228"/>
      <c r="CD467" s="228"/>
      <c r="CE467" s="228"/>
      <c r="CF467" s="228"/>
      <c r="CG467" s="228"/>
      <c r="CH467" s="228"/>
      <c r="CI467" s="228"/>
      <c r="CJ467" s="228"/>
      <c r="CK467" s="228"/>
      <c r="CL467" s="228"/>
      <c r="CM467" s="228"/>
      <c r="CN467" s="228"/>
      <c r="CO467" s="228"/>
      <c r="CP467" s="228"/>
      <c r="CQ467" s="228"/>
      <c r="CR467" s="228"/>
      <c r="CS467" s="228"/>
      <c r="CT467" s="228"/>
      <c r="CU467" s="228"/>
      <c r="CV467" s="228"/>
      <c r="CW467" s="228"/>
      <c r="CX467" s="228"/>
      <c r="CY467" s="228"/>
      <c r="CZ467" s="228"/>
      <c r="DA467" s="228"/>
      <c r="DB467" s="228"/>
    </row>
    <row r="468" ht="12.0" customHeight="1">
      <c r="A468" s="228"/>
      <c r="B468" s="228"/>
      <c r="C468" s="228"/>
      <c r="D468" s="228"/>
      <c r="E468" s="228"/>
      <c r="F468" s="228"/>
      <c r="G468" s="228"/>
      <c r="H468" s="228"/>
      <c r="I468" s="228"/>
      <c r="J468" s="228"/>
      <c r="K468" s="228"/>
      <c r="L468" s="228"/>
      <c r="M468" s="228"/>
      <c r="N468" s="228"/>
      <c r="O468" s="228"/>
      <c r="P468" s="228"/>
      <c r="Q468" s="228"/>
      <c r="R468" s="228"/>
      <c r="S468" s="228"/>
      <c r="T468" s="228"/>
      <c r="U468" s="228"/>
      <c r="V468" s="228"/>
      <c r="W468" s="228"/>
      <c r="X468" s="228"/>
      <c r="Y468" s="228"/>
      <c r="Z468" s="228"/>
      <c r="AA468" s="228"/>
      <c r="AB468" s="228"/>
      <c r="AC468" s="228"/>
      <c r="AD468" s="228"/>
      <c r="AE468" s="228"/>
      <c r="AF468" s="228"/>
      <c r="AG468" s="228"/>
      <c r="AH468" s="228"/>
      <c r="AI468" s="228"/>
      <c r="AJ468" s="228"/>
      <c r="AK468" s="228"/>
      <c r="AL468" s="228"/>
      <c r="AM468" s="228"/>
      <c r="AN468" s="228"/>
      <c r="AO468" s="228"/>
      <c r="AP468" s="228"/>
      <c r="AQ468" s="228"/>
      <c r="AR468" s="228"/>
      <c r="AS468" s="228"/>
      <c r="AT468" s="228"/>
      <c r="AU468" s="228"/>
      <c r="AV468" s="228"/>
      <c r="AW468" s="228"/>
      <c r="AX468" s="228"/>
      <c r="AY468" s="228"/>
      <c r="AZ468" s="228"/>
      <c r="BA468" s="228"/>
      <c r="BB468" s="228"/>
      <c r="BC468" s="228"/>
      <c r="BD468" s="228"/>
      <c r="BE468" s="228"/>
      <c r="BF468" s="228"/>
      <c r="BG468" s="228"/>
      <c r="BH468" s="228"/>
      <c r="BI468" s="228"/>
      <c r="BJ468" s="228"/>
      <c r="BK468" s="228"/>
      <c r="BL468" s="228"/>
      <c r="BM468" s="228"/>
      <c r="BN468" s="228"/>
      <c r="BO468" s="228"/>
      <c r="BP468" s="228"/>
      <c r="BQ468" s="228"/>
      <c r="BR468" s="228"/>
      <c r="BS468" s="228"/>
      <c r="BT468" s="228"/>
      <c r="BU468" s="228"/>
      <c r="BV468" s="228"/>
      <c r="BW468" s="228"/>
      <c r="BX468" s="228"/>
      <c r="BY468" s="228"/>
      <c r="BZ468" s="228"/>
      <c r="CA468" s="228"/>
      <c r="CB468" s="228"/>
      <c r="CC468" s="228"/>
      <c r="CD468" s="228"/>
      <c r="CE468" s="228"/>
      <c r="CF468" s="228"/>
      <c r="CG468" s="228"/>
      <c r="CH468" s="228"/>
      <c r="CI468" s="228"/>
      <c r="CJ468" s="228"/>
      <c r="CK468" s="228"/>
      <c r="CL468" s="228"/>
      <c r="CM468" s="228"/>
      <c r="CN468" s="228"/>
      <c r="CO468" s="228"/>
      <c r="CP468" s="228"/>
      <c r="CQ468" s="228"/>
      <c r="CR468" s="228"/>
      <c r="CS468" s="228"/>
      <c r="CT468" s="228"/>
      <c r="CU468" s="228"/>
      <c r="CV468" s="228"/>
      <c r="CW468" s="228"/>
      <c r="CX468" s="228"/>
      <c r="CY468" s="228"/>
      <c r="CZ468" s="228"/>
      <c r="DA468" s="228"/>
      <c r="DB468" s="228"/>
    </row>
    <row r="469" ht="12.0" customHeight="1">
      <c r="A469" s="228"/>
      <c r="B469" s="228"/>
      <c r="C469" s="228"/>
      <c r="D469" s="228"/>
      <c r="E469" s="228"/>
      <c r="F469" s="228"/>
      <c r="G469" s="228"/>
      <c r="H469" s="228"/>
      <c r="I469" s="228"/>
      <c r="J469" s="228"/>
      <c r="K469" s="228"/>
      <c r="L469" s="228"/>
      <c r="M469" s="228"/>
      <c r="N469" s="228"/>
      <c r="O469" s="228"/>
      <c r="P469" s="228"/>
      <c r="Q469" s="228"/>
      <c r="R469" s="228"/>
      <c r="S469" s="228"/>
      <c r="T469" s="228"/>
      <c r="U469" s="228"/>
      <c r="V469" s="228"/>
      <c r="W469" s="228"/>
      <c r="X469" s="228"/>
      <c r="Y469" s="228"/>
      <c r="Z469" s="228"/>
      <c r="AA469" s="228"/>
      <c r="AB469" s="228"/>
      <c r="AC469" s="228"/>
      <c r="AD469" s="228"/>
      <c r="AE469" s="228"/>
      <c r="AF469" s="228"/>
      <c r="AG469" s="228"/>
      <c r="AH469" s="228"/>
      <c r="AI469" s="228"/>
      <c r="AJ469" s="228"/>
      <c r="AK469" s="228"/>
      <c r="AL469" s="228"/>
      <c r="AM469" s="228"/>
      <c r="AN469" s="228"/>
      <c r="AO469" s="228"/>
      <c r="AP469" s="228"/>
      <c r="AQ469" s="228"/>
      <c r="AR469" s="228"/>
      <c r="AS469" s="228"/>
      <c r="AT469" s="228"/>
      <c r="AU469" s="228"/>
      <c r="AV469" s="228"/>
      <c r="AW469" s="228"/>
      <c r="AX469" s="228"/>
      <c r="AY469" s="228"/>
      <c r="AZ469" s="228"/>
      <c r="BA469" s="228"/>
      <c r="BB469" s="228"/>
      <c r="BC469" s="228"/>
      <c r="BD469" s="228"/>
      <c r="BE469" s="228"/>
      <c r="BF469" s="228"/>
      <c r="BG469" s="228"/>
      <c r="BH469" s="228"/>
      <c r="BI469" s="228"/>
      <c r="BJ469" s="228"/>
      <c r="BK469" s="228"/>
      <c r="BL469" s="228"/>
      <c r="BM469" s="228"/>
      <c r="BN469" s="228"/>
      <c r="BO469" s="228"/>
      <c r="BP469" s="228"/>
      <c r="BQ469" s="228"/>
      <c r="BR469" s="228"/>
      <c r="BS469" s="228"/>
      <c r="BT469" s="228"/>
      <c r="BU469" s="228"/>
      <c r="BV469" s="228"/>
      <c r="BW469" s="228"/>
      <c r="BX469" s="228"/>
      <c r="BY469" s="228"/>
      <c r="BZ469" s="228"/>
      <c r="CA469" s="228"/>
      <c r="CB469" s="228"/>
      <c r="CC469" s="228"/>
      <c r="CD469" s="228"/>
      <c r="CE469" s="228"/>
      <c r="CF469" s="228"/>
      <c r="CG469" s="228"/>
      <c r="CH469" s="228"/>
      <c r="CI469" s="228"/>
      <c r="CJ469" s="228"/>
      <c r="CK469" s="228"/>
      <c r="CL469" s="228"/>
      <c r="CM469" s="228"/>
      <c r="CN469" s="228"/>
      <c r="CO469" s="228"/>
      <c r="CP469" s="228"/>
      <c r="CQ469" s="228"/>
      <c r="CR469" s="228"/>
      <c r="CS469" s="228"/>
      <c r="CT469" s="228"/>
      <c r="CU469" s="228"/>
      <c r="CV469" s="228"/>
      <c r="CW469" s="228"/>
      <c r="CX469" s="228"/>
      <c r="CY469" s="228"/>
      <c r="CZ469" s="228"/>
      <c r="DA469" s="228"/>
      <c r="DB469" s="228"/>
    </row>
    <row r="470" ht="12.0" customHeight="1">
      <c r="A470" s="228"/>
      <c r="B470" s="228"/>
      <c r="C470" s="228"/>
      <c r="D470" s="228"/>
      <c r="E470" s="228"/>
      <c r="F470" s="228"/>
      <c r="G470" s="228"/>
      <c r="H470" s="228"/>
      <c r="I470" s="228"/>
      <c r="J470" s="228"/>
      <c r="K470" s="228"/>
      <c r="L470" s="228"/>
      <c r="M470" s="228"/>
      <c r="N470" s="228"/>
      <c r="O470" s="228"/>
      <c r="P470" s="228"/>
      <c r="Q470" s="228"/>
      <c r="R470" s="228"/>
      <c r="S470" s="228"/>
      <c r="T470" s="228"/>
      <c r="U470" s="228"/>
      <c r="V470" s="228"/>
      <c r="W470" s="228"/>
      <c r="X470" s="228"/>
      <c r="Y470" s="228"/>
      <c r="Z470" s="228"/>
      <c r="AA470" s="228"/>
      <c r="AB470" s="228"/>
      <c r="AC470" s="228"/>
      <c r="AD470" s="228"/>
      <c r="AE470" s="228"/>
      <c r="AF470" s="228"/>
      <c r="AG470" s="228"/>
      <c r="AH470" s="228"/>
      <c r="AI470" s="228"/>
      <c r="AJ470" s="228"/>
      <c r="AK470" s="228"/>
      <c r="AL470" s="228"/>
      <c r="AM470" s="228"/>
      <c r="AN470" s="228"/>
      <c r="AO470" s="228"/>
      <c r="AP470" s="228"/>
      <c r="AQ470" s="228"/>
      <c r="AR470" s="228"/>
      <c r="AS470" s="228"/>
      <c r="AT470" s="228"/>
      <c r="AU470" s="228"/>
      <c r="AV470" s="228"/>
      <c r="AW470" s="228"/>
      <c r="AX470" s="228"/>
      <c r="AY470" s="228"/>
      <c r="AZ470" s="228"/>
      <c r="BA470" s="228"/>
      <c r="BB470" s="228"/>
      <c r="BC470" s="228"/>
      <c r="BD470" s="228"/>
      <c r="BE470" s="228"/>
      <c r="BF470" s="228"/>
      <c r="BG470" s="228"/>
      <c r="BH470" s="228"/>
      <c r="BI470" s="228"/>
      <c r="BJ470" s="228"/>
      <c r="BK470" s="228"/>
      <c r="BL470" s="228"/>
      <c r="BM470" s="228"/>
      <c r="BN470" s="228"/>
      <c r="BO470" s="228"/>
      <c r="BP470" s="228"/>
      <c r="BQ470" s="228"/>
      <c r="BR470" s="228"/>
      <c r="BS470" s="228"/>
      <c r="BT470" s="228"/>
      <c r="BU470" s="228"/>
      <c r="BV470" s="228"/>
      <c r="BW470" s="228"/>
      <c r="BX470" s="228"/>
      <c r="BY470" s="228"/>
      <c r="BZ470" s="228"/>
      <c r="CA470" s="228"/>
      <c r="CB470" s="228"/>
      <c r="CC470" s="228"/>
      <c r="CD470" s="228"/>
      <c r="CE470" s="228"/>
      <c r="CF470" s="228"/>
      <c r="CG470" s="228"/>
      <c r="CH470" s="228"/>
      <c r="CI470" s="228"/>
      <c r="CJ470" s="228"/>
      <c r="CK470" s="228"/>
      <c r="CL470" s="228"/>
      <c r="CM470" s="228"/>
      <c r="CN470" s="228"/>
      <c r="CO470" s="228"/>
      <c r="CP470" s="228"/>
      <c r="CQ470" s="228"/>
      <c r="CR470" s="228"/>
      <c r="CS470" s="228"/>
      <c r="CT470" s="228"/>
      <c r="CU470" s="228"/>
      <c r="CV470" s="228"/>
      <c r="CW470" s="228"/>
      <c r="CX470" s="228"/>
      <c r="CY470" s="228"/>
      <c r="CZ470" s="228"/>
      <c r="DA470" s="228"/>
      <c r="DB470" s="228"/>
    </row>
    <row r="471" ht="12.0" customHeight="1">
      <c r="A471" s="228"/>
      <c r="B471" s="228"/>
      <c r="C471" s="228"/>
      <c r="D471" s="228"/>
      <c r="E471" s="228"/>
      <c r="F471" s="228"/>
      <c r="G471" s="228"/>
      <c r="H471" s="228"/>
      <c r="I471" s="228"/>
      <c r="J471" s="228"/>
      <c r="K471" s="228"/>
      <c r="L471" s="228"/>
      <c r="M471" s="228"/>
      <c r="N471" s="228"/>
      <c r="O471" s="228"/>
      <c r="P471" s="228"/>
      <c r="Q471" s="228"/>
      <c r="R471" s="228"/>
      <c r="S471" s="228"/>
      <c r="T471" s="228"/>
      <c r="U471" s="228"/>
      <c r="V471" s="228"/>
      <c r="W471" s="228"/>
      <c r="X471" s="228"/>
      <c r="Y471" s="228"/>
      <c r="Z471" s="228"/>
      <c r="AA471" s="228"/>
      <c r="AB471" s="228"/>
      <c r="AC471" s="228"/>
      <c r="AD471" s="228"/>
      <c r="AE471" s="228"/>
      <c r="AF471" s="228"/>
      <c r="AG471" s="228"/>
      <c r="AH471" s="228"/>
      <c r="AI471" s="228"/>
      <c r="AJ471" s="228"/>
      <c r="AK471" s="228"/>
      <c r="AL471" s="228"/>
      <c r="AM471" s="228"/>
      <c r="AN471" s="228"/>
      <c r="AO471" s="228"/>
      <c r="AP471" s="228"/>
      <c r="AQ471" s="228"/>
      <c r="AR471" s="228"/>
      <c r="AS471" s="228"/>
      <c r="AT471" s="228"/>
      <c r="AU471" s="228"/>
      <c r="AV471" s="228"/>
      <c r="AW471" s="228"/>
      <c r="AX471" s="228"/>
      <c r="AY471" s="228"/>
      <c r="AZ471" s="228"/>
      <c r="BA471" s="228"/>
      <c r="BB471" s="228"/>
      <c r="BC471" s="228"/>
      <c r="BD471" s="228"/>
      <c r="BE471" s="228"/>
      <c r="BF471" s="228"/>
      <c r="BG471" s="228"/>
      <c r="BH471" s="228"/>
      <c r="BI471" s="228"/>
      <c r="BJ471" s="228"/>
      <c r="BK471" s="228"/>
      <c r="BL471" s="228"/>
      <c r="BM471" s="228"/>
      <c r="BN471" s="228"/>
      <c r="BO471" s="228"/>
      <c r="BP471" s="228"/>
      <c r="BQ471" s="228"/>
      <c r="BR471" s="228"/>
      <c r="BS471" s="228"/>
      <c r="BT471" s="228"/>
      <c r="BU471" s="228"/>
      <c r="BV471" s="228"/>
      <c r="BW471" s="228"/>
      <c r="BX471" s="228"/>
      <c r="BY471" s="228"/>
      <c r="BZ471" s="228"/>
      <c r="CA471" s="228"/>
      <c r="CB471" s="228"/>
      <c r="CC471" s="228"/>
      <c r="CD471" s="228"/>
      <c r="CE471" s="228"/>
      <c r="CF471" s="228"/>
      <c r="CG471" s="228"/>
      <c r="CH471" s="228"/>
      <c r="CI471" s="228"/>
      <c r="CJ471" s="228"/>
      <c r="CK471" s="228"/>
      <c r="CL471" s="228"/>
      <c r="CM471" s="228"/>
      <c r="CN471" s="228"/>
      <c r="CO471" s="228"/>
      <c r="CP471" s="228"/>
      <c r="CQ471" s="228"/>
      <c r="CR471" s="228"/>
      <c r="CS471" s="228"/>
      <c r="CT471" s="228"/>
      <c r="CU471" s="228"/>
      <c r="CV471" s="228"/>
      <c r="CW471" s="228"/>
      <c r="CX471" s="228"/>
      <c r="CY471" s="228"/>
      <c r="CZ471" s="228"/>
      <c r="DA471" s="228"/>
      <c r="DB471" s="228"/>
    </row>
    <row r="472" ht="12.0" customHeight="1">
      <c r="A472" s="228"/>
      <c r="B472" s="228"/>
      <c r="C472" s="228"/>
      <c r="D472" s="228"/>
      <c r="E472" s="228"/>
      <c r="F472" s="228"/>
      <c r="G472" s="228"/>
      <c r="H472" s="228"/>
      <c r="I472" s="228"/>
      <c r="J472" s="228"/>
      <c r="K472" s="228"/>
      <c r="L472" s="228"/>
      <c r="M472" s="228"/>
      <c r="N472" s="228"/>
      <c r="O472" s="228"/>
      <c r="P472" s="228"/>
      <c r="Q472" s="228"/>
      <c r="R472" s="228"/>
      <c r="S472" s="228"/>
      <c r="T472" s="228"/>
      <c r="U472" s="228"/>
      <c r="V472" s="228"/>
      <c r="W472" s="228"/>
      <c r="X472" s="228"/>
      <c r="Y472" s="228"/>
      <c r="Z472" s="228"/>
      <c r="AA472" s="228"/>
      <c r="AB472" s="228"/>
      <c r="AC472" s="228"/>
      <c r="AD472" s="228"/>
      <c r="AE472" s="228"/>
      <c r="AF472" s="228"/>
      <c r="AG472" s="228"/>
      <c r="AH472" s="228"/>
      <c r="AI472" s="228"/>
      <c r="AJ472" s="228"/>
      <c r="AK472" s="228"/>
      <c r="AL472" s="228"/>
      <c r="AM472" s="228"/>
      <c r="AN472" s="228"/>
      <c r="AO472" s="228"/>
      <c r="AP472" s="228"/>
      <c r="AQ472" s="228"/>
      <c r="AR472" s="228"/>
      <c r="AS472" s="228"/>
      <c r="AT472" s="228"/>
      <c r="AU472" s="228"/>
      <c r="AV472" s="228"/>
      <c r="AW472" s="228"/>
      <c r="AX472" s="228"/>
      <c r="AY472" s="228"/>
      <c r="AZ472" s="228"/>
      <c r="BA472" s="228"/>
      <c r="BB472" s="228"/>
      <c r="BC472" s="228"/>
      <c r="BD472" s="228"/>
      <c r="BE472" s="228"/>
      <c r="BF472" s="228"/>
      <c r="BG472" s="228"/>
      <c r="BH472" s="228"/>
      <c r="BI472" s="228"/>
      <c r="BJ472" s="228"/>
      <c r="BK472" s="228"/>
      <c r="BL472" s="228"/>
      <c r="BM472" s="228"/>
      <c r="BN472" s="228"/>
      <c r="BO472" s="228"/>
      <c r="BP472" s="228"/>
      <c r="BQ472" s="228"/>
      <c r="BR472" s="228"/>
      <c r="BS472" s="228"/>
      <c r="BT472" s="228"/>
      <c r="BU472" s="228"/>
      <c r="BV472" s="228"/>
      <c r="BW472" s="228"/>
      <c r="BX472" s="228"/>
      <c r="BY472" s="228"/>
      <c r="BZ472" s="228"/>
      <c r="CA472" s="228"/>
      <c r="CB472" s="228"/>
      <c r="CC472" s="228"/>
      <c r="CD472" s="228"/>
      <c r="CE472" s="228"/>
      <c r="CF472" s="228"/>
      <c r="CG472" s="228"/>
      <c r="CH472" s="228"/>
      <c r="CI472" s="228"/>
      <c r="CJ472" s="228"/>
      <c r="CK472" s="228"/>
      <c r="CL472" s="228"/>
      <c r="CM472" s="228"/>
      <c r="CN472" s="228"/>
      <c r="CO472" s="228"/>
      <c r="CP472" s="228"/>
      <c r="CQ472" s="228"/>
      <c r="CR472" s="228"/>
      <c r="CS472" s="228"/>
      <c r="CT472" s="228"/>
      <c r="CU472" s="228"/>
      <c r="CV472" s="228"/>
      <c r="CW472" s="228"/>
      <c r="CX472" s="228"/>
      <c r="CY472" s="228"/>
      <c r="CZ472" s="228"/>
      <c r="DA472" s="228"/>
      <c r="DB472" s="228"/>
    </row>
    <row r="473" ht="12.0" customHeight="1">
      <c r="A473" s="228"/>
      <c r="B473" s="228"/>
      <c r="C473" s="228"/>
      <c r="D473" s="228"/>
      <c r="E473" s="228"/>
      <c r="F473" s="228"/>
      <c r="G473" s="228"/>
      <c r="H473" s="228"/>
      <c r="I473" s="228"/>
      <c r="J473" s="228"/>
      <c r="K473" s="228"/>
      <c r="L473" s="228"/>
      <c r="M473" s="228"/>
      <c r="N473" s="228"/>
      <c r="O473" s="228"/>
      <c r="P473" s="228"/>
      <c r="Q473" s="228"/>
      <c r="R473" s="228"/>
      <c r="S473" s="228"/>
      <c r="T473" s="228"/>
      <c r="U473" s="228"/>
      <c r="V473" s="228"/>
      <c r="W473" s="228"/>
      <c r="X473" s="228"/>
      <c r="Y473" s="228"/>
      <c r="Z473" s="228"/>
      <c r="AA473" s="228"/>
      <c r="AB473" s="228"/>
      <c r="AC473" s="228"/>
      <c r="AD473" s="228"/>
      <c r="AE473" s="228"/>
      <c r="AF473" s="228"/>
      <c r="AG473" s="228"/>
      <c r="AH473" s="228"/>
      <c r="AI473" s="228"/>
      <c r="AJ473" s="228"/>
      <c r="AK473" s="228"/>
      <c r="AL473" s="228"/>
      <c r="AM473" s="228"/>
      <c r="AN473" s="228"/>
      <c r="AO473" s="228"/>
      <c r="AP473" s="228"/>
      <c r="AQ473" s="228"/>
      <c r="AR473" s="228"/>
      <c r="AS473" s="228"/>
      <c r="AT473" s="228"/>
      <c r="AU473" s="228"/>
      <c r="AV473" s="228"/>
      <c r="AW473" s="228"/>
      <c r="AX473" s="228"/>
      <c r="AY473" s="228"/>
      <c r="AZ473" s="228"/>
      <c r="BA473" s="228"/>
      <c r="BB473" s="228"/>
      <c r="BC473" s="228"/>
      <c r="BD473" s="228"/>
      <c r="BE473" s="228"/>
      <c r="BF473" s="228"/>
      <c r="BG473" s="228"/>
      <c r="BH473" s="228"/>
      <c r="BI473" s="228"/>
      <c r="BJ473" s="228"/>
      <c r="BK473" s="228"/>
      <c r="BL473" s="228"/>
      <c r="BM473" s="228"/>
      <c r="BN473" s="228"/>
      <c r="BO473" s="228"/>
      <c r="BP473" s="228"/>
      <c r="BQ473" s="228"/>
      <c r="BR473" s="228"/>
      <c r="BS473" s="228"/>
      <c r="BT473" s="228"/>
      <c r="BU473" s="228"/>
      <c r="BV473" s="228"/>
      <c r="BW473" s="228"/>
      <c r="BX473" s="228"/>
      <c r="BY473" s="228"/>
      <c r="BZ473" s="228"/>
      <c r="CA473" s="228"/>
      <c r="CB473" s="228"/>
      <c r="CC473" s="228"/>
      <c r="CD473" s="228"/>
      <c r="CE473" s="228"/>
      <c r="CF473" s="228"/>
      <c r="CG473" s="228"/>
      <c r="CH473" s="228"/>
      <c r="CI473" s="228"/>
      <c r="CJ473" s="228"/>
      <c r="CK473" s="228"/>
      <c r="CL473" s="228"/>
      <c r="CM473" s="228"/>
      <c r="CN473" s="228"/>
      <c r="CO473" s="228"/>
      <c r="CP473" s="228"/>
      <c r="CQ473" s="228"/>
      <c r="CR473" s="228"/>
      <c r="CS473" s="228"/>
      <c r="CT473" s="228"/>
      <c r="CU473" s="228"/>
      <c r="CV473" s="228"/>
      <c r="CW473" s="228"/>
      <c r="CX473" s="228"/>
      <c r="CY473" s="228"/>
      <c r="CZ473" s="228"/>
      <c r="DA473" s="228"/>
      <c r="DB473" s="228"/>
    </row>
    <row r="474" ht="12.0" customHeight="1">
      <c r="A474" s="228"/>
      <c r="B474" s="228"/>
      <c r="C474" s="228"/>
      <c r="D474" s="228"/>
      <c r="E474" s="228"/>
      <c r="F474" s="228"/>
      <c r="G474" s="228"/>
      <c r="H474" s="228"/>
      <c r="I474" s="228"/>
      <c r="J474" s="228"/>
      <c r="K474" s="228"/>
      <c r="L474" s="228"/>
      <c r="M474" s="228"/>
      <c r="N474" s="228"/>
      <c r="O474" s="228"/>
      <c r="P474" s="228"/>
      <c r="Q474" s="228"/>
      <c r="R474" s="228"/>
      <c r="S474" s="228"/>
      <c r="T474" s="228"/>
      <c r="U474" s="228"/>
      <c r="V474" s="228"/>
      <c r="W474" s="228"/>
      <c r="X474" s="228"/>
      <c r="Y474" s="228"/>
      <c r="Z474" s="228"/>
      <c r="AA474" s="228"/>
      <c r="AB474" s="228"/>
      <c r="AC474" s="228"/>
      <c r="AD474" s="228"/>
      <c r="AE474" s="228"/>
      <c r="AF474" s="228"/>
      <c r="AG474" s="228"/>
      <c r="AH474" s="228"/>
      <c r="AI474" s="228"/>
      <c r="AJ474" s="228"/>
      <c r="AK474" s="228"/>
      <c r="AL474" s="228"/>
      <c r="AM474" s="228"/>
      <c r="AN474" s="228"/>
      <c r="AO474" s="228"/>
      <c r="AP474" s="228"/>
      <c r="AQ474" s="228"/>
      <c r="AR474" s="228"/>
      <c r="AS474" s="228"/>
      <c r="AT474" s="228"/>
      <c r="AU474" s="228"/>
      <c r="AV474" s="228"/>
      <c r="AW474" s="228"/>
      <c r="AX474" s="228"/>
      <c r="AY474" s="228"/>
      <c r="AZ474" s="228"/>
      <c r="BA474" s="228"/>
      <c r="BB474" s="228"/>
      <c r="BC474" s="228"/>
      <c r="BD474" s="228"/>
      <c r="BE474" s="228"/>
      <c r="BF474" s="228"/>
      <c r="BG474" s="228"/>
      <c r="BH474" s="228"/>
      <c r="BI474" s="228"/>
      <c r="BJ474" s="228"/>
      <c r="BK474" s="228"/>
      <c r="BL474" s="228"/>
      <c r="BM474" s="228"/>
      <c r="BN474" s="228"/>
      <c r="BO474" s="228"/>
      <c r="BP474" s="228"/>
      <c r="BQ474" s="228"/>
      <c r="BR474" s="228"/>
      <c r="BS474" s="228"/>
      <c r="BT474" s="228"/>
      <c r="BU474" s="228"/>
      <c r="BV474" s="228"/>
      <c r="BW474" s="228"/>
      <c r="BX474" s="228"/>
      <c r="BY474" s="228"/>
      <c r="BZ474" s="228"/>
      <c r="CA474" s="228"/>
      <c r="CB474" s="228"/>
      <c r="CC474" s="228"/>
      <c r="CD474" s="228"/>
      <c r="CE474" s="228"/>
      <c r="CF474" s="228"/>
      <c r="CG474" s="228"/>
      <c r="CH474" s="228"/>
      <c r="CI474" s="228"/>
      <c r="CJ474" s="228"/>
      <c r="CK474" s="228"/>
      <c r="CL474" s="228"/>
      <c r="CM474" s="228"/>
      <c r="CN474" s="228"/>
      <c r="CO474" s="228"/>
      <c r="CP474" s="228"/>
      <c r="CQ474" s="228"/>
      <c r="CR474" s="228"/>
      <c r="CS474" s="228"/>
      <c r="CT474" s="228"/>
      <c r="CU474" s="228"/>
      <c r="CV474" s="228"/>
      <c r="CW474" s="228"/>
      <c r="CX474" s="228"/>
      <c r="CY474" s="228"/>
      <c r="CZ474" s="228"/>
      <c r="DA474" s="228"/>
      <c r="DB474" s="228"/>
    </row>
    <row r="475" ht="12.0" customHeight="1">
      <c r="A475" s="228"/>
      <c r="B475" s="228"/>
      <c r="C475" s="228"/>
      <c r="D475" s="228"/>
      <c r="E475" s="228"/>
      <c r="F475" s="228"/>
      <c r="G475" s="228"/>
      <c r="H475" s="228"/>
      <c r="I475" s="228"/>
      <c r="J475" s="228"/>
      <c r="K475" s="228"/>
      <c r="L475" s="228"/>
      <c r="M475" s="228"/>
      <c r="N475" s="228"/>
      <c r="O475" s="228"/>
      <c r="P475" s="228"/>
      <c r="Q475" s="228"/>
      <c r="R475" s="228"/>
      <c r="S475" s="228"/>
      <c r="T475" s="228"/>
      <c r="U475" s="228"/>
      <c r="V475" s="228"/>
      <c r="W475" s="228"/>
      <c r="X475" s="228"/>
      <c r="Y475" s="228"/>
      <c r="Z475" s="228"/>
      <c r="AA475" s="228"/>
      <c r="AB475" s="228"/>
      <c r="AC475" s="228"/>
      <c r="AD475" s="228"/>
      <c r="AE475" s="228"/>
      <c r="AF475" s="228"/>
      <c r="AG475" s="228"/>
      <c r="AH475" s="228"/>
      <c r="AI475" s="228"/>
      <c r="AJ475" s="228"/>
      <c r="AK475" s="228"/>
      <c r="AL475" s="228"/>
      <c r="AM475" s="228"/>
      <c r="AN475" s="228"/>
      <c r="AO475" s="228"/>
      <c r="AP475" s="228"/>
      <c r="AQ475" s="228"/>
      <c r="AR475" s="228"/>
      <c r="AS475" s="228"/>
      <c r="AT475" s="228"/>
      <c r="AU475" s="228"/>
      <c r="AV475" s="228"/>
      <c r="AW475" s="228"/>
      <c r="AX475" s="228"/>
      <c r="AY475" s="228"/>
      <c r="AZ475" s="228"/>
      <c r="BA475" s="228"/>
      <c r="BB475" s="228"/>
      <c r="BC475" s="228"/>
      <c r="BD475" s="228"/>
      <c r="BE475" s="228"/>
      <c r="BF475" s="228"/>
      <c r="BG475" s="228"/>
      <c r="BH475" s="228"/>
      <c r="BI475" s="228"/>
      <c r="BJ475" s="228"/>
      <c r="BK475" s="228"/>
      <c r="BL475" s="228"/>
      <c r="BM475" s="228"/>
      <c r="BN475" s="228"/>
      <c r="BO475" s="228"/>
      <c r="BP475" s="228"/>
      <c r="BQ475" s="228"/>
      <c r="BR475" s="228"/>
      <c r="BS475" s="228"/>
      <c r="BT475" s="228"/>
      <c r="BU475" s="228"/>
      <c r="BV475" s="228"/>
      <c r="BW475" s="228"/>
      <c r="BX475" s="228"/>
      <c r="BY475" s="228"/>
      <c r="BZ475" s="228"/>
      <c r="CA475" s="228"/>
      <c r="CB475" s="228"/>
      <c r="CC475" s="228"/>
      <c r="CD475" s="228"/>
      <c r="CE475" s="228"/>
      <c r="CF475" s="228"/>
      <c r="CG475" s="228"/>
      <c r="CH475" s="228"/>
      <c r="CI475" s="228"/>
      <c r="CJ475" s="228"/>
      <c r="CK475" s="228"/>
      <c r="CL475" s="228"/>
      <c r="CM475" s="228"/>
      <c r="CN475" s="228"/>
      <c r="CO475" s="228"/>
      <c r="CP475" s="228"/>
      <c r="CQ475" s="228"/>
      <c r="CR475" s="228"/>
      <c r="CS475" s="228"/>
      <c r="CT475" s="228"/>
      <c r="CU475" s="228"/>
      <c r="CV475" s="228"/>
      <c r="CW475" s="228"/>
      <c r="CX475" s="228"/>
      <c r="CY475" s="228"/>
      <c r="CZ475" s="228"/>
      <c r="DA475" s="228"/>
      <c r="DB475" s="228"/>
    </row>
    <row r="476" ht="12.0" customHeight="1">
      <c r="A476" s="228"/>
      <c r="B476" s="228"/>
      <c r="C476" s="228"/>
      <c r="D476" s="228"/>
      <c r="E476" s="228"/>
      <c r="F476" s="228"/>
      <c r="G476" s="228"/>
      <c r="H476" s="228"/>
      <c r="I476" s="228"/>
      <c r="J476" s="228"/>
      <c r="K476" s="228"/>
      <c r="L476" s="228"/>
      <c r="M476" s="228"/>
      <c r="N476" s="228"/>
      <c r="O476" s="228"/>
      <c r="P476" s="228"/>
      <c r="Q476" s="228"/>
      <c r="R476" s="228"/>
      <c r="S476" s="228"/>
      <c r="T476" s="228"/>
      <c r="U476" s="228"/>
      <c r="V476" s="228"/>
      <c r="W476" s="228"/>
      <c r="X476" s="228"/>
      <c r="Y476" s="228"/>
      <c r="Z476" s="228"/>
      <c r="AA476" s="228"/>
      <c r="AB476" s="228"/>
      <c r="AC476" s="228"/>
      <c r="AD476" s="228"/>
      <c r="AE476" s="228"/>
      <c r="AF476" s="228"/>
      <c r="AG476" s="228"/>
      <c r="AH476" s="228"/>
      <c r="AI476" s="228"/>
      <c r="AJ476" s="228"/>
      <c r="AK476" s="228"/>
      <c r="AL476" s="228"/>
      <c r="AM476" s="228"/>
      <c r="AN476" s="228"/>
      <c r="AO476" s="228"/>
      <c r="AP476" s="228"/>
      <c r="AQ476" s="228"/>
      <c r="AR476" s="228"/>
      <c r="AS476" s="228"/>
      <c r="AT476" s="228"/>
      <c r="AU476" s="228"/>
      <c r="AV476" s="228"/>
      <c r="AW476" s="228"/>
      <c r="AX476" s="228"/>
      <c r="AY476" s="228"/>
      <c r="AZ476" s="228"/>
      <c r="BA476" s="228"/>
      <c r="BB476" s="228"/>
      <c r="BC476" s="228"/>
      <c r="BD476" s="228"/>
      <c r="BE476" s="228"/>
      <c r="BF476" s="228"/>
      <c r="BG476" s="228"/>
      <c r="BH476" s="228"/>
      <c r="BI476" s="228"/>
      <c r="BJ476" s="228"/>
      <c r="BK476" s="228"/>
      <c r="BL476" s="228"/>
      <c r="BM476" s="228"/>
      <c r="BN476" s="228"/>
      <c r="BO476" s="228"/>
      <c r="BP476" s="228"/>
      <c r="BQ476" s="228"/>
      <c r="BR476" s="228"/>
      <c r="BS476" s="228"/>
      <c r="BT476" s="228"/>
      <c r="BU476" s="228"/>
      <c r="BV476" s="228"/>
      <c r="BW476" s="228"/>
      <c r="BX476" s="228"/>
      <c r="BY476" s="228"/>
      <c r="BZ476" s="228"/>
      <c r="CA476" s="228"/>
      <c r="CB476" s="228"/>
      <c r="CC476" s="228"/>
      <c r="CD476" s="228"/>
      <c r="CE476" s="228"/>
      <c r="CF476" s="228"/>
      <c r="CG476" s="228"/>
      <c r="CH476" s="228"/>
      <c r="CI476" s="228"/>
      <c r="CJ476" s="228"/>
      <c r="CK476" s="228"/>
      <c r="CL476" s="228"/>
      <c r="CM476" s="228"/>
      <c r="CN476" s="228"/>
      <c r="CO476" s="228"/>
      <c r="CP476" s="228"/>
      <c r="CQ476" s="228"/>
      <c r="CR476" s="228"/>
      <c r="CS476" s="228"/>
      <c r="CT476" s="228"/>
      <c r="CU476" s="228"/>
      <c r="CV476" s="228"/>
      <c r="CW476" s="228"/>
      <c r="CX476" s="228"/>
      <c r="CY476" s="228"/>
      <c r="CZ476" s="228"/>
      <c r="DA476" s="228"/>
      <c r="DB476" s="228"/>
    </row>
    <row r="477" ht="12.0" customHeight="1">
      <c r="A477" s="228"/>
      <c r="B477" s="228"/>
      <c r="C477" s="228"/>
      <c r="D477" s="228"/>
      <c r="E477" s="228"/>
      <c r="F477" s="228"/>
      <c r="G477" s="228"/>
      <c r="H477" s="228"/>
      <c r="I477" s="228"/>
      <c r="J477" s="228"/>
      <c r="K477" s="228"/>
      <c r="L477" s="228"/>
      <c r="M477" s="228"/>
      <c r="N477" s="228"/>
      <c r="O477" s="228"/>
      <c r="P477" s="228"/>
      <c r="Q477" s="228"/>
      <c r="R477" s="228"/>
      <c r="S477" s="228"/>
      <c r="T477" s="228"/>
      <c r="U477" s="228"/>
      <c r="V477" s="228"/>
      <c r="W477" s="228"/>
      <c r="X477" s="228"/>
      <c r="Y477" s="228"/>
      <c r="Z477" s="228"/>
      <c r="AA477" s="228"/>
      <c r="AB477" s="228"/>
      <c r="AC477" s="228"/>
      <c r="AD477" s="228"/>
      <c r="AE477" s="228"/>
      <c r="AF477" s="228"/>
      <c r="AG477" s="228"/>
      <c r="AH477" s="228"/>
      <c r="AI477" s="228"/>
      <c r="AJ477" s="228"/>
      <c r="AK477" s="228"/>
      <c r="AL477" s="228"/>
      <c r="AM477" s="228"/>
      <c r="AN477" s="228"/>
      <c r="AO477" s="228"/>
      <c r="AP477" s="228"/>
      <c r="AQ477" s="228"/>
      <c r="AR477" s="228"/>
      <c r="AS477" s="228"/>
      <c r="AT477" s="228"/>
      <c r="AU477" s="228"/>
      <c r="AV477" s="228"/>
      <c r="AW477" s="228"/>
      <c r="AX477" s="228"/>
      <c r="AY477" s="228"/>
      <c r="AZ477" s="228"/>
      <c r="BA477" s="228"/>
      <c r="BB477" s="228"/>
      <c r="BC477" s="228"/>
      <c r="BD477" s="228"/>
      <c r="BE477" s="228"/>
      <c r="BF477" s="228"/>
      <c r="BG477" s="228"/>
      <c r="BH477" s="228"/>
      <c r="BI477" s="228"/>
      <c r="BJ477" s="228"/>
      <c r="BK477" s="228"/>
      <c r="BL477" s="228"/>
      <c r="BM477" s="228"/>
      <c r="BN477" s="228"/>
      <c r="BO477" s="228"/>
      <c r="BP477" s="228"/>
      <c r="BQ477" s="228"/>
      <c r="BR477" s="228"/>
      <c r="BS477" s="228"/>
      <c r="BT477" s="228"/>
      <c r="BU477" s="228"/>
      <c r="BV477" s="228"/>
      <c r="BW477" s="228"/>
      <c r="BX477" s="228"/>
      <c r="BY477" s="228"/>
      <c r="BZ477" s="228"/>
      <c r="CA477" s="228"/>
      <c r="CB477" s="228"/>
      <c r="CC477" s="228"/>
      <c r="CD477" s="228"/>
      <c r="CE477" s="228"/>
      <c r="CF477" s="228"/>
      <c r="CG477" s="228"/>
      <c r="CH477" s="228"/>
      <c r="CI477" s="228"/>
      <c r="CJ477" s="228"/>
      <c r="CK477" s="228"/>
      <c r="CL477" s="228"/>
      <c r="CM477" s="228"/>
      <c r="CN477" s="228"/>
      <c r="CO477" s="228"/>
      <c r="CP477" s="228"/>
      <c r="CQ477" s="228"/>
      <c r="CR477" s="228"/>
      <c r="CS477" s="228"/>
      <c r="CT477" s="228"/>
      <c r="CU477" s="228"/>
      <c r="CV477" s="228"/>
      <c r="CW477" s="228"/>
      <c r="CX477" s="228"/>
      <c r="CY477" s="228"/>
      <c r="CZ477" s="228"/>
      <c r="DA477" s="228"/>
      <c r="DB477" s="228"/>
    </row>
    <row r="478" ht="12.0" customHeight="1">
      <c r="A478" s="228"/>
      <c r="B478" s="228"/>
      <c r="C478" s="228"/>
      <c r="D478" s="228"/>
      <c r="E478" s="228"/>
      <c r="F478" s="228"/>
      <c r="G478" s="228"/>
      <c r="H478" s="228"/>
      <c r="I478" s="228"/>
      <c r="J478" s="228"/>
      <c r="K478" s="228"/>
      <c r="L478" s="228"/>
      <c r="M478" s="228"/>
      <c r="N478" s="228"/>
      <c r="O478" s="228"/>
      <c r="P478" s="228"/>
      <c r="Q478" s="228"/>
      <c r="R478" s="228"/>
      <c r="S478" s="228"/>
      <c r="T478" s="228"/>
      <c r="U478" s="228"/>
      <c r="V478" s="228"/>
      <c r="W478" s="228"/>
      <c r="X478" s="228"/>
      <c r="Y478" s="228"/>
      <c r="Z478" s="228"/>
      <c r="AA478" s="228"/>
      <c r="AB478" s="228"/>
      <c r="AC478" s="228"/>
      <c r="AD478" s="228"/>
      <c r="AE478" s="228"/>
      <c r="AF478" s="228"/>
      <c r="AG478" s="228"/>
      <c r="AH478" s="228"/>
      <c r="AI478" s="228"/>
      <c r="AJ478" s="228"/>
      <c r="AK478" s="228"/>
      <c r="AL478" s="228"/>
      <c r="AM478" s="228"/>
      <c r="AN478" s="228"/>
      <c r="AO478" s="228"/>
      <c r="AP478" s="228"/>
      <c r="AQ478" s="228"/>
      <c r="AR478" s="228"/>
      <c r="AS478" s="228"/>
      <c r="AT478" s="228"/>
      <c r="AU478" s="228"/>
      <c r="AV478" s="228"/>
      <c r="AW478" s="228"/>
      <c r="AX478" s="228"/>
      <c r="AY478" s="228"/>
      <c r="AZ478" s="228"/>
      <c r="BA478" s="228"/>
      <c r="BB478" s="228"/>
      <c r="BC478" s="228"/>
      <c r="BD478" s="228"/>
      <c r="BE478" s="228"/>
      <c r="BF478" s="228"/>
      <c r="BG478" s="228"/>
      <c r="BH478" s="228"/>
      <c r="BI478" s="228"/>
      <c r="BJ478" s="228"/>
      <c r="BK478" s="228"/>
      <c r="BL478" s="228"/>
      <c r="BM478" s="228"/>
      <c r="BN478" s="228"/>
      <c r="BO478" s="228"/>
      <c r="BP478" s="228"/>
      <c r="BQ478" s="228"/>
      <c r="BR478" s="228"/>
      <c r="BS478" s="228"/>
      <c r="BT478" s="228"/>
      <c r="BU478" s="228"/>
      <c r="BV478" s="228"/>
      <c r="BW478" s="228"/>
      <c r="BX478" s="228"/>
      <c r="BY478" s="228"/>
      <c r="BZ478" s="228"/>
      <c r="CA478" s="228"/>
      <c r="CB478" s="228"/>
      <c r="CC478" s="228"/>
      <c r="CD478" s="228"/>
      <c r="CE478" s="228"/>
      <c r="CF478" s="228"/>
      <c r="CG478" s="228"/>
      <c r="CH478" s="228"/>
      <c r="CI478" s="228"/>
      <c r="CJ478" s="228"/>
      <c r="CK478" s="228"/>
      <c r="CL478" s="228"/>
      <c r="CM478" s="228"/>
      <c r="CN478" s="228"/>
      <c r="CO478" s="228"/>
      <c r="CP478" s="228"/>
      <c r="CQ478" s="228"/>
      <c r="CR478" s="228"/>
      <c r="CS478" s="228"/>
      <c r="CT478" s="228"/>
      <c r="CU478" s="228"/>
      <c r="CV478" s="228"/>
      <c r="CW478" s="228"/>
      <c r="CX478" s="228"/>
      <c r="CY478" s="228"/>
      <c r="CZ478" s="228"/>
      <c r="DA478" s="228"/>
      <c r="DB478" s="228"/>
    </row>
    <row r="479" ht="12.0" customHeight="1">
      <c r="A479" s="228"/>
      <c r="B479" s="228"/>
      <c r="C479" s="228"/>
      <c r="D479" s="228"/>
      <c r="E479" s="228"/>
      <c r="F479" s="228"/>
      <c r="G479" s="228"/>
      <c r="H479" s="228"/>
      <c r="I479" s="228"/>
      <c r="J479" s="228"/>
      <c r="K479" s="228"/>
      <c r="L479" s="228"/>
      <c r="M479" s="228"/>
      <c r="N479" s="228"/>
      <c r="O479" s="228"/>
      <c r="P479" s="228"/>
      <c r="Q479" s="228"/>
      <c r="R479" s="228"/>
      <c r="S479" s="228"/>
      <c r="T479" s="228"/>
      <c r="U479" s="228"/>
      <c r="V479" s="228"/>
      <c r="W479" s="228"/>
      <c r="X479" s="228"/>
      <c r="Y479" s="228"/>
      <c r="Z479" s="228"/>
      <c r="AA479" s="228"/>
      <c r="AB479" s="228"/>
      <c r="AC479" s="228"/>
      <c r="AD479" s="228"/>
      <c r="AE479" s="228"/>
      <c r="AF479" s="228"/>
      <c r="AG479" s="228"/>
      <c r="AH479" s="228"/>
      <c r="AI479" s="228"/>
      <c r="AJ479" s="228"/>
      <c r="AK479" s="228"/>
      <c r="AL479" s="228"/>
      <c r="AM479" s="228"/>
      <c r="AN479" s="228"/>
      <c r="AO479" s="228"/>
      <c r="AP479" s="228"/>
      <c r="AQ479" s="228"/>
      <c r="AR479" s="228"/>
      <c r="AS479" s="228"/>
      <c r="AT479" s="228"/>
      <c r="AU479" s="228"/>
      <c r="AV479" s="228"/>
      <c r="AW479" s="228"/>
      <c r="AX479" s="228"/>
      <c r="AY479" s="228"/>
      <c r="AZ479" s="228"/>
      <c r="BA479" s="228"/>
      <c r="BB479" s="228"/>
      <c r="BC479" s="228"/>
      <c r="BD479" s="228"/>
      <c r="BE479" s="228"/>
      <c r="BF479" s="228"/>
      <c r="BG479" s="228"/>
      <c r="BH479" s="228"/>
      <c r="BI479" s="228"/>
      <c r="BJ479" s="228"/>
      <c r="BK479" s="228"/>
      <c r="BL479" s="228"/>
      <c r="BM479" s="228"/>
      <c r="BN479" s="228"/>
      <c r="BO479" s="228"/>
      <c r="BP479" s="228"/>
      <c r="BQ479" s="228"/>
      <c r="BR479" s="228"/>
      <c r="BS479" s="228"/>
      <c r="BT479" s="228"/>
      <c r="BU479" s="228"/>
      <c r="BV479" s="228"/>
      <c r="BW479" s="228"/>
      <c r="BX479" s="228"/>
      <c r="BY479" s="228"/>
      <c r="BZ479" s="228"/>
      <c r="CA479" s="228"/>
      <c r="CB479" s="228"/>
      <c r="CC479" s="228"/>
      <c r="CD479" s="228"/>
      <c r="CE479" s="228"/>
      <c r="CF479" s="228"/>
      <c r="CG479" s="228"/>
      <c r="CH479" s="228"/>
      <c r="CI479" s="228"/>
      <c r="CJ479" s="228"/>
      <c r="CK479" s="228"/>
      <c r="CL479" s="228"/>
      <c r="CM479" s="228"/>
      <c r="CN479" s="228"/>
      <c r="CO479" s="228"/>
      <c r="CP479" s="228"/>
      <c r="CQ479" s="228"/>
      <c r="CR479" s="228"/>
      <c r="CS479" s="228"/>
      <c r="CT479" s="228"/>
      <c r="CU479" s="228"/>
      <c r="CV479" s="228"/>
      <c r="CW479" s="228"/>
      <c r="CX479" s="228"/>
      <c r="CY479" s="228"/>
      <c r="CZ479" s="228"/>
      <c r="DA479" s="228"/>
      <c r="DB479" s="228"/>
    </row>
    <row r="480" ht="12.0" customHeight="1">
      <c r="A480" s="228"/>
      <c r="B480" s="228"/>
      <c r="C480" s="228"/>
      <c r="D480" s="228"/>
      <c r="E480" s="228"/>
      <c r="F480" s="228"/>
      <c r="G480" s="228"/>
      <c r="H480" s="228"/>
      <c r="I480" s="228"/>
      <c r="J480" s="228"/>
      <c r="K480" s="228"/>
      <c r="L480" s="228"/>
      <c r="M480" s="228"/>
      <c r="N480" s="228"/>
      <c r="O480" s="228"/>
      <c r="P480" s="228"/>
      <c r="Q480" s="228"/>
      <c r="R480" s="228"/>
      <c r="S480" s="228"/>
      <c r="T480" s="228"/>
      <c r="U480" s="228"/>
      <c r="V480" s="228"/>
      <c r="W480" s="228"/>
      <c r="X480" s="228"/>
      <c r="Y480" s="228"/>
      <c r="Z480" s="228"/>
      <c r="AA480" s="228"/>
      <c r="AB480" s="228"/>
      <c r="AC480" s="228"/>
      <c r="AD480" s="228"/>
      <c r="AE480" s="228"/>
      <c r="AF480" s="228"/>
      <c r="AG480" s="228"/>
      <c r="AH480" s="228"/>
      <c r="AI480" s="228"/>
      <c r="AJ480" s="228"/>
      <c r="AK480" s="228"/>
      <c r="AL480" s="228"/>
      <c r="AM480" s="228"/>
      <c r="AN480" s="228"/>
      <c r="AO480" s="228"/>
      <c r="AP480" s="228"/>
      <c r="AQ480" s="228"/>
      <c r="AR480" s="228"/>
      <c r="AS480" s="228"/>
      <c r="AT480" s="228"/>
      <c r="AU480" s="228"/>
      <c r="AV480" s="228"/>
      <c r="AW480" s="228"/>
      <c r="AX480" s="228"/>
      <c r="AY480" s="228"/>
      <c r="AZ480" s="228"/>
      <c r="BA480" s="228"/>
      <c r="BB480" s="228"/>
      <c r="BC480" s="228"/>
      <c r="BD480" s="228"/>
      <c r="BE480" s="228"/>
      <c r="BF480" s="228"/>
      <c r="BG480" s="228"/>
      <c r="BH480" s="228"/>
      <c r="BI480" s="228"/>
      <c r="BJ480" s="228"/>
      <c r="BK480" s="228"/>
      <c r="BL480" s="228"/>
      <c r="BM480" s="228"/>
      <c r="BN480" s="228"/>
      <c r="BO480" s="228"/>
      <c r="BP480" s="228"/>
      <c r="BQ480" s="228"/>
      <c r="BR480" s="228"/>
      <c r="BS480" s="228"/>
      <c r="BT480" s="228"/>
      <c r="BU480" s="228"/>
      <c r="BV480" s="228"/>
      <c r="BW480" s="228"/>
      <c r="BX480" s="228"/>
      <c r="BY480" s="228"/>
      <c r="BZ480" s="228"/>
      <c r="CA480" s="228"/>
      <c r="CB480" s="228"/>
      <c r="CC480" s="228"/>
      <c r="CD480" s="228"/>
      <c r="CE480" s="228"/>
      <c r="CF480" s="228"/>
      <c r="CG480" s="228"/>
      <c r="CH480" s="228"/>
      <c r="CI480" s="228"/>
      <c r="CJ480" s="228"/>
      <c r="CK480" s="228"/>
      <c r="CL480" s="228"/>
      <c r="CM480" s="228"/>
      <c r="CN480" s="228"/>
      <c r="CO480" s="228"/>
      <c r="CP480" s="228"/>
      <c r="CQ480" s="228"/>
      <c r="CR480" s="228"/>
      <c r="CS480" s="228"/>
      <c r="CT480" s="228"/>
      <c r="CU480" s="228"/>
      <c r="CV480" s="228"/>
      <c r="CW480" s="228"/>
      <c r="CX480" s="228"/>
      <c r="CY480" s="228"/>
      <c r="CZ480" s="228"/>
      <c r="DA480" s="228"/>
      <c r="DB480" s="228"/>
    </row>
    <row r="481" ht="12.0" customHeight="1">
      <c r="A481" s="228"/>
      <c r="B481" s="228"/>
      <c r="C481" s="228"/>
      <c r="D481" s="228"/>
      <c r="E481" s="228"/>
      <c r="F481" s="228"/>
      <c r="G481" s="228"/>
      <c r="H481" s="228"/>
      <c r="I481" s="228"/>
      <c r="J481" s="228"/>
      <c r="K481" s="228"/>
      <c r="L481" s="228"/>
      <c r="M481" s="228"/>
      <c r="N481" s="228"/>
      <c r="O481" s="228"/>
      <c r="P481" s="228"/>
      <c r="Q481" s="228"/>
      <c r="R481" s="228"/>
      <c r="S481" s="228"/>
      <c r="T481" s="228"/>
      <c r="U481" s="228"/>
      <c r="V481" s="228"/>
      <c r="W481" s="228"/>
      <c r="X481" s="228"/>
      <c r="Y481" s="228"/>
      <c r="Z481" s="228"/>
      <c r="AA481" s="228"/>
      <c r="AB481" s="228"/>
      <c r="AC481" s="228"/>
      <c r="AD481" s="228"/>
      <c r="AE481" s="228"/>
      <c r="AF481" s="228"/>
      <c r="AG481" s="228"/>
      <c r="AH481" s="228"/>
      <c r="AI481" s="228"/>
      <c r="AJ481" s="228"/>
      <c r="AK481" s="228"/>
      <c r="AL481" s="228"/>
      <c r="AM481" s="228"/>
      <c r="AN481" s="228"/>
      <c r="AO481" s="228"/>
      <c r="AP481" s="228"/>
      <c r="AQ481" s="228"/>
      <c r="AR481" s="228"/>
      <c r="AS481" s="228"/>
      <c r="AT481" s="228"/>
      <c r="AU481" s="228"/>
      <c r="AV481" s="228"/>
      <c r="AW481" s="228"/>
      <c r="AX481" s="228"/>
      <c r="AY481" s="228"/>
      <c r="AZ481" s="228"/>
      <c r="BA481" s="228"/>
      <c r="BB481" s="228"/>
      <c r="BC481" s="228"/>
      <c r="BD481" s="228"/>
      <c r="BE481" s="228"/>
      <c r="BF481" s="228"/>
      <c r="BG481" s="228"/>
      <c r="BH481" s="228"/>
      <c r="BI481" s="228"/>
      <c r="BJ481" s="228"/>
      <c r="BK481" s="228"/>
      <c r="BL481" s="228"/>
      <c r="BM481" s="228"/>
      <c r="BN481" s="228"/>
      <c r="BO481" s="228"/>
      <c r="BP481" s="228"/>
      <c r="BQ481" s="228"/>
      <c r="BR481" s="228"/>
      <c r="BS481" s="228"/>
      <c r="BT481" s="228"/>
      <c r="BU481" s="228"/>
      <c r="BV481" s="228"/>
      <c r="BW481" s="228"/>
      <c r="BX481" s="228"/>
      <c r="BY481" s="228"/>
      <c r="BZ481" s="228"/>
      <c r="CA481" s="228"/>
      <c r="CB481" s="228"/>
      <c r="CC481" s="228"/>
      <c r="CD481" s="228"/>
      <c r="CE481" s="228"/>
      <c r="CF481" s="228"/>
      <c r="CG481" s="228"/>
      <c r="CH481" s="228"/>
      <c r="CI481" s="228"/>
      <c r="CJ481" s="228"/>
      <c r="CK481" s="228"/>
      <c r="CL481" s="228"/>
      <c r="CM481" s="228"/>
      <c r="CN481" s="228"/>
      <c r="CO481" s="228"/>
      <c r="CP481" s="228"/>
      <c r="CQ481" s="228"/>
      <c r="CR481" s="228"/>
      <c r="CS481" s="228"/>
      <c r="CT481" s="228"/>
      <c r="CU481" s="228"/>
      <c r="CV481" s="228"/>
      <c r="CW481" s="228"/>
      <c r="CX481" s="228"/>
      <c r="CY481" s="228"/>
      <c r="CZ481" s="228"/>
      <c r="DA481" s="228"/>
      <c r="DB481" s="228"/>
    </row>
    <row r="482" ht="12.0" customHeight="1">
      <c r="A482" s="228"/>
      <c r="B482" s="228"/>
      <c r="C482" s="228"/>
      <c r="D482" s="228"/>
      <c r="E482" s="228"/>
      <c r="F482" s="228"/>
      <c r="G482" s="228"/>
      <c r="H482" s="228"/>
      <c r="I482" s="228"/>
      <c r="J482" s="228"/>
      <c r="K482" s="228"/>
      <c r="L482" s="228"/>
      <c r="M482" s="228"/>
      <c r="N482" s="228"/>
      <c r="O482" s="228"/>
      <c r="P482" s="228"/>
      <c r="Q482" s="228"/>
      <c r="R482" s="228"/>
      <c r="S482" s="228"/>
      <c r="T482" s="228"/>
      <c r="U482" s="228"/>
      <c r="V482" s="228"/>
      <c r="W482" s="228"/>
      <c r="X482" s="228"/>
      <c r="Y482" s="228"/>
      <c r="Z482" s="228"/>
      <c r="AA482" s="228"/>
      <c r="AB482" s="228"/>
      <c r="AC482" s="228"/>
      <c r="AD482" s="228"/>
      <c r="AE482" s="228"/>
      <c r="AF482" s="228"/>
      <c r="AG482" s="228"/>
      <c r="AH482" s="228"/>
      <c r="AI482" s="228"/>
      <c r="AJ482" s="228"/>
      <c r="AK482" s="228"/>
      <c r="AL482" s="228"/>
      <c r="AM482" s="228"/>
      <c r="AN482" s="228"/>
      <c r="AO482" s="228"/>
      <c r="AP482" s="228"/>
      <c r="AQ482" s="228"/>
      <c r="AR482" s="228"/>
      <c r="AS482" s="228"/>
      <c r="AT482" s="228"/>
      <c r="AU482" s="228"/>
      <c r="AV482" s="228"/>
      <c r="AW482" s="228"/>
      <c r="AX482" s="228"/>
      <c r="AY482" s="228"/>
      <c r="AZ482" s="228"/>
      <c r="BA482" s="228"/>
      <c r="BB482" s="228"/>
      <c r="BC482" s="228"/>
      <c r="BD482" s="228"/>
      <c r="BE482" s="228"/>
      <c r="BF482" s="228"/>
      <c r="BG482" s="228"/>
      <c r="BH482" s="228"/>
      <c r="BI482" s="228"/>
      <c r="BJ482" s="228"/>
      <c r="BK482" s="228"/>
      <c r="BL482" s="228"/>
      <c r="BM482" s="228"/>
      <c r="BN482" s="228"/>
      <c r="BO482" s="228"/>
      <c r="BP482" s="228"/>
      <c r="BQ482" s="228"/>
      <c r="BR482" s="228"/>
      <c r="BS482" s="228"/>
      <c r="BT482" s="228"/>
      <c r="BU482" s="228"/>
      <c r="BV482" s="228"/>
      <c r="BW482" s="228"/>
      <c r="BX482" s="228"/>
      <c r="BY482" s="228"/>
      <c r="BZ482" s="228"/>
      <c r="CA482" s="228"/>
      <c r="CB482" s="228"/>
      <c r="CC482" s="228"/>
      <c r="CD482" s="228"/>
      <c r="CE482" s="228"/>
      <c r="CF482" s="228"/>
      <c r="CG482" s="228"/>
      <c r="CH482" s="228"/>
      <c r="CI482" s="228"/>
      <c r="CJ482" s="228"/>
      <c r="CK482" s="228"/>
      <c r="CL482" s="228"/>
      <c r="CM482" s="228"/>
      <c r="CN482" s="228"/>
      <c r="CO482" s="228"/>
      <c r="CP482" s="228"/>
      <c r="CQ482" s="228"/>
      <c r="CR482" s="228"/>
      <c r="CS482" s="228"/>
      <c r="CT482" s="228"/>
      <c r="CU482" s="228"/>
      <c r="CV482" s="228"/>
      <c r="CW482" s="228"/>
      <c r="CX482" s="228"/>
      <c r="CY482" s="228"/>
      <c r="CZ482" s="228"/>
      <c r="DA482" s="228"/>
      <c r="DB482" s="228"/>
    </row>
    <row r="483" ht="12.0" customHeight="1">
      <c r="A483" s="228"/>
      <c r="B483" s="228"/>
      <c r="C483" s="228"/>
      <c r="D483" s="228"/>
      <c r="E483" s="228"/>
      <c r="F483" s="228"/>
      <c r="G483" s="228"/>
      <c r="H483" s="228"/>
      <c r="I483" s="228"/>
      <c r="J483" s="228"/>
      <c r="K483" s="228"/>
      <c r="L483" s="228"/>
      <c r="M483" s="228"/>
      <c r="N483" s="228"/>
      <c r="O483" s="228"/>
      <c r="P483" s="228"/>
      <c r="Q483" s="228"/>
      <c r="R483" s="228"/>
      <c r="S483" s="228"/>
      <c r="T483" s="228"/>
      <c r="U483" s="228"/>
      <c r="V483" s="228"/>
      <c r="W483" s="228"/>
      <c r="X483" s="228"/>
      <c r="Y483" s="228"/>
      <c r="Z483" s="228"/>
      <c r="AA483" s="228"/>
      <c r="AB483" s="228"/>
      <c r="AC483" s="228"/>
      <c r="AD483" s="228"/>
      <c r="AE483" s="228"/>
      <c r="AF483" s="228"/>
      <c r="AG483" s="228"/>
      <c r="AH483" s="228"/>
      <c r="AI483" s="228"/>
      <c r="AJ483" s="228"/>
      <c r="AK483" s="228"/>
      <c r="AL483" s="228"/>
      <c r="AM483" s="228"/>
      <c r="AN483" s="228"/>
      <c r="AO483" s="228"/>
      <c r="AP483" s="228"/>
      <c r="AQ483" s="228"/>
      <c r="AR483" s="228"/>
      <c r="AS483" s="228"/>
      <c r="AT483" s="228"/>
      <c r="AU483" s="228"/>
      <c r="AV483" s="228"/>
      <c r="AW483" s="228"/>
      <c r="AX483" s="228"/>
      <c r="AY483" s="228"/>
      <c r="AZ483" s="228"/>
      <c r="BA483" s="228"/>
      <c r="BB483" s="228"/>
      <c r="BC483" s="228"/>
      <c r="BD483" s="228"/>
      <c r="BE483" s="228"/>
      <c r="BF483" s="228"/>
      <c r="BG483" s="228"/>
      <c r="BH483" s="228"/>
      <c r="BI483" s="228"/>
      <c r="BJ483" s="228"/>
      <c r="BK483" s="228"/>
      <c r="BL483" s="228"/>
      <c r="BM483" s="228"/>
      <c r="BN483" s="228"/>
      <c r="BO483" s="228"/>
      <c r="BP483" s="228"/>
      <c r="BQ483" s="228"/>
      <c r="BR483" s="228"/>
      <c r="BS483" s="228"/>
      <c r="BT483" s="228"/>
      <c r="BU483" s="228"/>
      <c r="BV483" s="228"/>
      <c r="BW483" s="228"/>
      <c r="BX483" s="228"/>
      <c r="BY483" s="228"/>
      <c r="BZ483" s="228"/>
      <c r="CA483" s="228"/>
      <c r="CB483" s="228"/>
      <c r="CC483" s="228"/>
      <c r="CD483" s="228"/>
      <c r="CE483" s="228"/>
      <c r="CF483" s="228"/>
      <c r="CG483" s="228"/>
      <c r="CH483" s="228"/>
      <c r="CI483" s="228"/>
      <c r="CJ483" s="228"/>
      <c r="CK483" s="228"/>
      <c r="CL483" s="228"/>
      <c r="CM483" s="228"/>
      <c r="CN483" s="228"/>
      <c r="CO483" s="228"/>
      <c r="CP483" s="228"/>
      <c r="CQ483" s="228"/>
      <c r="CR483" s="228"/>
      <c r="CS483" s="228"/>
      <c r="CT483" s="228"/>
      <c r="CU483" s="228"/>
      <c r="CV483" s="228"/>
      <c r="CW483" s="228"/>
      <c r="CX483" s="228"/>
      <c r="CY483" s="228"/>
      <c r="CZ483" s="228"/>
      <c r="DA483" s="228"/>
      <c r="DB483" s="228"/>
    </row>
    <row r="484" ht="12.0" customHeight="1">
      <c r="A484" s="228"/>
      <c r="B484" s="228"/>
      <c r="C484" s="228"/>
      <c r="D484" s="228"/>
      <c r="E484" s="228"/>
      <c r="F484" s="228"/>
      <c r="G484" s="228"/>
      <c r="H484" s="228"/>
      <c r="I484" s="228"/>
      <c r="J484" s="228"/>
      <c r="K484" s="228"/>
      <c r="L484" s="228"/>
      <c r="M484" s="228"/>
      <c r="N484" s="228"/>
      <c r="O484" s="228"/>
      <c r="P484" s="228"/>
      <c r="Q484" s="228"/>
      <c r="R484" s="228"/>
      <c r="S484" s="228"/>
      <c r="T484" s="228"/>
      <c r="U484" s="228"/>
      <c r="V484" s="228"/>
      <c r="W484" s="228"/>
      <c r="X484" s="228"/>
      <c r="Y484" s="228"/>
      <c r="Z484" s="228"/>
      <c r="AA484" s="228"/>
      <c r="AB484" s="228"/>
      <c r="AC484" s="228"/>
      <c r="AD484" s="228"/>
      <c r="AE484" s="228"/>
      <c r="AF484" s="228"/>
      <c r="AG484" s="228"/>
      <c r="AH484" s="228"/>
      <c r="AI484" s="228"/>
      <c r="AJ484" s="228"/>
      <c r="AK484" s="228"/>
      <c r="AL484" s="228"/>
      <c r="AM484" s="228"/>
      <c r="AN484" s="228"/>
      <c r="AO484" s="228"/>
      <c r="AP484" s="228"/>
      <c r="AQ484" s="228"/>
      <c r="AR484" s="228"/>
      <c r="AS484" s="228"/>
      <c r="AT484" s="228"/>
      <c r="AU484" s="228"/>
      <c r="AV484" s="228"/>
      <c r="AW484" s="228"/>
      <c r="AX484" s="228"/>
      <c r="AY484" s="228"/>
      <c r="AZ484" s="228"/>
      <c r="BA484" s="228"/>
      <c r="BB484" s="228"/>
      <c r="BC484" s="228"/>
      <c r="BD484" s="228"/>
      <c r="BE484" s="228"/>
      <c r="BF484" s="228"/>
      <c r="BG484" s="228"/>
      <c r="BH484" s="228"/>
      <c r="BI484" s="228"/>
      <c r="BJ484" s="228"/>
      <c r="BK484" s="228"/>
      <c r="BL484" s="228"/>
      <c r="BM484" s="228"/>
      <c r="BN484" s="228"/>
      <c r="BO484" s="228"/>
      <c r="BP484" s="228"/>
      <c r="BQ484" s="228"/>
      <c r="BR484" s="228"/>
      <c r="BS484" s="228"/>
      <c r="BT484" s="228"/>
      <c r="BU484" s="228"/>
      <c r="BV484" s="228"/>
      <c r="BW484" s="228"/>
      <c r="BX484" s="228"/>
      <c r="BY484" s="228"/>
      <c r="BZ484" s="228"/>
      <c r="CA484" s="228"/>
      <c r="CB484" s="228"/>
      <c r="CC484" s="228"/>
      <c r="CD484" s="228"/>
      <c r="CE484" s="228"/>
      <c r="CF484" s="228"/>
      <c r="CG484" s="228"/>
      <c r="CH484" s="228"/>
      <c r="CI484" s="228"/>
      <c r="CJ484" s="228"/>
      <c r="CK484" s="228"/>
      <c r="CL484" s="228"/>
      <c r="CM484" s="228"/>
      <c r="CN484" s="228"/>
      <c r="CO484" s="228"/>
      <c r="CP484" s="228"/>
      <c r="CQ484" s="228"/>
      <c r="CR484" s="228"/>
      <c r="CS484" s="228"/>
      <c r="CT484" s="228"/>
      <c r="CU484" s="228"/>
      <c r="CV484" s="228"/>
      <c r="CW484" s="228"/>
      <c r="CX484" s="228"/>
      <c r="CY484" s="228"/>
      <c r="CZ484" s="228"/>
      <c r="DA484" s="228"/>
      <c r="DB484" s="228"/>
    </row>
    <row r="485" ht="12.0" customHeight="1">
      <c r="A485" s="228"/>
      <c r="B485" s="228"/>
      <c r="C485" s="228"/>
      <c r="D485" s="228"/>
      <c r="E485" s="228"/>
      <c r="F485" s="228"/>
      <c r="G485" s="228"/>
      <c r="H485" s="228"/>
      <c r="I485" s="228"/>
      <c r="J485" s="228"/>
      <c r="K485" s="228"/>
      <c r="L485" s="228"/>
      <c r="M485" s="228"/>
      <c r="N485" s="228"/>
      <c r="O485" s="228"/>
      <c r="P485" s="228"/>
      <c r="Q485" s="228"/>
      <c r="R485" s="228"/>
      <c r="S485" s="228"/>
      <c r="T485" s="228"/>
      <c r="U485" s="228"/>
      <c r="V485" s="228"/>
      <c r="W485" s="228"/>
      <c r="X485" s="228"/>
      <c r="Y485" s="228"/>
      <c r="Z485" s="228"/>
      <c r="AA485" s="228"/>
      <c r="AB485" s="228"/>
      <c r="AC485" s="228"/>
      <c r="AD485" s="228"/>
      <c r="AE485" s="228"/>
      <c r="AF485" s="228"/>
      <c r="AG485" s="228"/>
      <c r="AH485" s="228"/>
      <c r="AI485" s="228"/>
      <c r="AJ485" s="228"/>
      <c r="AK485" s="228"/>
      <c r="AL485" s="228"/>
      <c r="AM485" s="228"/>
      <c r="AN485" s="228"/>
      <c r="AO485" s="228"/>
      <c r="AP485" s="228"/>
      <c r="AQ485" s="228"/>
      <c r="AR485" s="228"/>
      <c r="AS485" s="228"/>
      <c r="AT485" s="228"/>
      <c r="AU485" s="228"/>
      <c r="AV485" s="228"/>
      <c r="AW485" s="228"/>
      <c r="AX485" s="228"/>
      <c r="AY485" s="228"/>
      <c r="AZ485" s="228"/>
      <c r="BA485" s="228"/>
      <c r="BB485" s="228"/>
      <c r="BC485" s="228"/>
      <c r="BD485" s="228"/>
      <c r="BE485" s="228"/>
      <c r="BF485" s="228"/>
      <c r="BG485" s="228"/>
      <c r="BH485" s="228"/>
      <c r="BI485" s="228"/>
      <c r="BJ485" s="228"/>
      <c r="BK485" s="228"/>
      <c r="BL485" s="228"/>
      <c r="BM485" s="228"/>
      <c r="BN485" s="228"/>
      <c r="BO485" s="228"/>
      <c r="BP485" s="228"/>
      <c r="BQ485" s="228"/>
      <c r="BR485" s="228"/>
      <c r="BS485" s="228"/>
      <c r="BT485" s="228"/>
      <c r="BU485" s="228"/>
      <c r="BV485" s="228"/>
      <c r="BW485" s="228"/>
      <c r="BX485" s="228"/>
      <c r="BY485" s="228"/>
      <c r="BZ485" s="228"/>
      <c r="CA485" s="228"/>
      <c r="CB485" s="228"/>
      <c r="CC485" s="228"/>
      <c r="CD485" s="228"/>
      <c r="CE485" s="228"/>
      <c r="CF485" s="228"/>
      <c r="CG485" s="228"/>
      <c r="CH485" s="228"/>
      <c r="CI485" s="228"/>
      <c r="CJ485" s="228"/>
      <c r="CK485" s="228"/>
      <c r="CL485" s="228"/>
      <c r="CM485" s="228"/>
      <c r="CN485" s="228"/>
      <c r="CO485" s="228"/>
      <c r="CP485" s="228"/>
      <c r="CQ485" s="228"/>
      <c r="CR485" s="228"/>
      <c r="CS485" s="228"/>
      <c r="CT485" s="228"/>
      <c r="CU485" s="228"/>
      <c r="CV485" s="228"/>
      <c r="CW485" s="228"/>
      <c r="CX485" s="228"/>
      <c r="CY485" s="228"/>
      <c r="CZ485" s="228"/>
      <c r="DA485" s="228"/>
      <c r="DB485" s="228"/>
    </row>
    <row r="486" ht="12.0" customHeight="1">
      <c r="A486" s="228"/>
      <c r="B486" s="228"/>
      <c r="C486" s="228"/>
      <c r="D486" s="228"/>
      <c r="E486" s="228"/>
      <c r="F486" s="228"/>
      <c r="G486" s="228"/>
      <c r="H486" s="228"/>
      <c r="I486" s="228"/>
      <c r="J486" s="228"/>
      <c r="K486" s="228"/>
      <c r="L486" s="228"/>
      <c r="M486" s="228"/>
      <c r="N486" s="228"/>
      <c r="O486" s="228"/>
      <c r="P486" s="228"/>
      <c r="Q486" s="228"/>
      <c r="R486" s="228"/>
      <c r="S486" s="228"/>
      <c r="T486" s="228"/>
      <c r="U486" s="228"/>
      <c r="V486" s="228"/>
      <c r="W486" s="228"/>
      <c r="X486" s="228"/>
      <c r="Y486" s="228"/>
      <c r="Z486" s="228"/>
      <c r="AA486" s="228"/>
      <c r="AB486" s="228"/>
      <c r="AC486" s="228"/>
      <c r="AD486" s="228"/>
      <c r="AE486" s="228"/>
      <c r="AF486" s="228"/>
      <c r="AG486" s="228"/>
      <c r="AH486" s="228"/>
      <c r="AI486" s="228"/>
      <c r="AJ486" s="228"/>
      <c r="AK486" s="228"/>
      <c r="AL486" s="228"/>
      <c r="AM486" s="228"/>
      <c r="AN486" s="228"/>
      <c r="AO486" s="228"/>
      <c r="AP486" s="228"/>
      <c r="AQ486" s="228"/>
      <c r="AR486" s="228"/>
      <c r="AS486" s="228"/>
      <c r="AT486" s="228"/>
      <c r="AU486" s="228"/>
      <c r="AV486" s="228"/>
      <c r="AW486" s="228"/>
      <c r="AX486" s="228"/>
      <c r="AY486" s="228"/>
      <c r="AZ486" s="228"/>
      <c r="BA486" s="228"/>
      <c r="BB486" s="228"/>
      <c r="BC486" s="228"/>
      <c r="BD486" s="228"/>
      <c r="BE486" s="228"/>
      <c r="BF486" s="228"/>
      <c r="BG486" s="228"/>
      <c r="BH486" s="228"/>
      <c r="BI486" s="228"/>
      <c r="BJ486" s="228"/>
      <c r="BK486" s="228"/>
      <c r="BL486" s="228"/>
      <c r="BM486" s="228"/>
      <c r="BN486" s="228"/>
      <c r="BO486" s="228"/>
      <c r="BP486" s="228"/>
      <c r="BQ486" s="228"/>
      <c r="BR486" s="228"/>
      <c r="BS486" s="228"/>
      <c r="BT486" s="228"/>
      <c r="BU486" s="228"/>
      <c r="BV486" s="228"/>
      <c r="BW486" s="228"/>
      <c r="BX486" s="228"/>
      <c r="BY486" s="228"/>
      <c r="BZ486" s="228"/>
      <c r="CA486" s="228"/>
      <c r="CB486" s="228"/>
      <c r="CC486" s="228"/>
      <c r="CD486" s="228"/>
      <c r="CE486" s="228"/>
      <c r="CF486" s="228"/>
      <c r="CG486" s="228"/>
      <c r="CH486" s="228"/>
      <c r="CI486" s="228"/>
      <c r="CJ486" s="228"/>
      <c r="CK486" s="228"/>
      <c r="CL486" s="228"/>
      <c r="CM486" s="228"/>
      <c r="CN486" s="228"/>
      <c r="CO486" s="228"/>
      <c r="CP486" s="228"/>
      <c r="CQ486" s="228"/>
      <c r="CR486" s="228"/>
      <c r="CS486" s="228"/>
      <c r="CT486" s="228"/>
      <c r="CU486" s="228"/>
      <c r="CV486" s="228"/>
      <c r="CW486" s="228"/>
      <c r="CX486" s="228"/>
      <c r="CY486" s="228"/>
      <c r="CZ486" s="228"/>
      <c r="DA486" s="228"/>
      <c r="DB486" s="228"/>
    </row>
    <row r="487" ht="12.0" customHeight="1">
      <c r="A487" s="228"/>
      <c r="B487" s="228"/>
      <c r="C487" s="228"/>
      <c r="D487" s="228"/>
      <c r="E487" s="228"/>
      <c r="F487" s="228"/>
      <c r="G487" s="228"/>
      <c r="H487" s="228"/>
      <c r="I487" s="228"/>
      <c r="J487" s="228"/>
      <c r="K487" s="228"/>
      <c r="L487" s="228"/>
      <c r="M487" s="228"/>
      <c r="N487" s="228"/>
      <c r="O487" s="228"/>
      <c r="P487" s="228"/>
      <c r="Q487" s="228"/>
      <c r="R487" s="228"/>
      <c r="S487" s="228"/>
      <c r="T487" s="228"/>
      <c r="U487" s="228"/>
      <c r="V487" s="228"/>
      <c r="W487" s="228"/>
      <c r="X487" s="228"/>
      <c r="Y487" s="228"/>
      <c r="Z487" s="228"/>
      <c r="AA487" s="228"/>
      <c r="AB487" s="228"/>
      <c r="AC487" s="228"/>
      <c r="AD487" s="228"/>
      <c r="AE487" s="228"/>
      <c r="AF487" s="228"/>
      <c r="AG487" s="228"/>
      <c r="AH487" s="228"/>
      <c r="AI487" s="228"/>
      <c r="AJ487" s="228"/>
      <c r="AK487" s="228"/>
      <c r="AL487" s="228"/>
      <c r="AM487" s="228"/>
      <c r="AN487" s="228"/>
      <c r="AO487" s="228"/>
      <c r="AP487" s="228"/>
      <c r="AQ487" s="228"/>
      <c r="AR487" s="228"/>
      <c r="AS487" s="228"/>
      <c r="AT487" s="228"/>
      <c r="AU487" s="228"/>
      <c r="AV487" s="228"/>
      <c r="AW487" s="228"/>
      <c r="AX487" s="228"/>
      <c r="AY487" s="228"/>
      <c r="AZ487" s="228"/>
      <c r="BA487" s="228"/>
      <c r="BB487" s="228"/>
      <c r="BC487" s="228"/>
      <c r="BD487" s="228"/>
      <c r="BE487" s="228"/>
      <c r="BF487" s="228"/>
      <c r="BG487" s="228"/>
      <c r="BH487" s="228"/>
      <c r="BI487" s="228"/>
      <c r="BJ487" s="228"/>
      <c r="BK487" s="228"/>
      <c r="BL487" s="228"/>
      <c r="BM487" s="228"/>
      <c r="BN487" s="228"/>
      <c r="BO487" s="228"/>
      <c r="BP487" s="228"/>
      <c r="BQ487" s="228"/>
      <c r="BR487" s="228"/>
      <c r="BS487" s="228"/>
      <c r="BT487" s="228"/>
      <c r="BU487" s="228"/>
      <c r="BV487" s="228"/>
      <c r="BW487" s="228"/>
      <c r="BX487" s="228"/>
      <c r="BY487" s="228"/>
      <c r="BZ487" s="228"/>
      <c r="CA487" s="228"/>
      <c r="CB487" s="228"/>
      <c r="CC487" s="228"/>
      <c r="CD487" s="228"/>
      <c r="CE487" s="228"/>
      <c r="CF487" s="228"/>
      <c r="CG487" s="228"/>
      <c r="CH487" s="228"/>
      <c r="CI487" s="228"/>
      <c r="CJ487" s="228"/>
      <c r="CK487" s="228"/>
      <c r="CL487" s="228"/>
      <c r="CM487" s="228"/>
      <c r="CN487" s="228"/>
      <c r="CO487" s="228"/>
      <c r="CP487" s="228"/>
      <c r="CQ487" s="228"/>
      <c r="CR487" s="228"/>
      <c r="CS487" s="228"/>
      <c r="CT487" s="228"/>
      <c r="CU487" s="228"/>
      <c r="CV487" s="228"/>
      <c r="CW487" s="228"/>
      <c r="CX487" s="228"/>
      <c r="CY487" s="228"/>
      <c r="CZ487" s="228"/>
      <c r="DA487" s="228"/>
      <c r="DB487" s="228"/>
    </row>
    <row r="488" ht="12.0" customHeight="1">
      <c r="A488" s="228"/>
      <c r="B488" s="228"/>
      <c r="C488" s="228"/>
      <c r="D488" s="228"/>
      <c r="E488" s="228"/>
      <c r="F488" s="228"/>
      <c r="G488" s="228"/>
      <c r="H488" s="228"/>
      <c r="I488" s="228"/>
      <c r="J488" s="228"/>
      <c r="K488" s="228"/>
      <c r="L488" s="228"/>
      <c r="M488" s="228"/>
      <c r="N488" s="228"/>
      <c r="O488" s="228"/>
      <c r="P488" s="228"/>
      <c r="Q488" s="228"/>
      <c r="R488" s="228"/>
      <c r="S488" s="228"/>
      <c r="T488" s="228"/>
      <c r="U488" s="228"/>
      <c r="V488" s="228"/>
      <c r="W488" s="228"/>
      <c r="X488" s="228"/>
      <c r="Y488" s="228"/>
      <c r="Z488" s="228"/>
      <c r="AA488" s="228"/>
      <c r="AB488" s="228"/>
      <c r="AC488" s="228"/>
      <c r="AD488" s="228"/>
      <c r="AE488" s="228"/>
      <c r="AF488" s="228"/>
      <c r="AG488" s="228"/>
      <c r="AH488" s="228"/>
      <c r="AI488" s="228"/>
      <c r="AJ488" s="228"/>
      <c r="AK488" s="228"/>
      <c r="AL488" s="228"/>
      <c r="AM488" s="228"/>
      <c r="AN488" s="228"/>
      <c r="AO488" s="228"/>
      <c r="AP488" s="228"/>
      <c r="AQ488" s="228"/>
      <c r="AR488" s="228"/>
      <c r="AS488" s="228"/>
      <c r="AT488" s="228"/>
      <c r="AU488" s="228"/>
      <c r="AV488" s="228"/>
      <c r="AW488" s="228"/>
      <c r="AX488" s="228"/>
      <c r="AY488" s="228"/>
      <c r="AZ488" s="228"/>
      <c r="BA488" s="228"/>
      <c r="BB488" s="228"/>
      <c r="BC488" s="228"/>
      <c r="BD488" s="228"/>
      <c r="BE488" s="228"/>
      <c r="BF488" s="228"/>
      <c r="BG488" s="228"/>
      <c r="BH488" s="228"/>
      <c r="BI488" s="228"/>
      <c r="BJ488" s="228"/>
      <c r="BK488" s="228"/>
      <c r="BL488" s="228"/>
      <c r="BM488" s="228"/>
      <c r="BN488" s="228"/>
      <c r="BO488" s="228"/>
      <c r="BP488" s="228"/>
      <c r="BQ488" s="228"/>
      <c r="BR488" s="228"/>
      <c r="BS488" s="228"/>
      <c r="BT488" s="228"/>
      <c r="BU488" s="228"/>
      <c r="BV488" s="228"/>
      <c r="BW488" s="228"/>
      <c r="BX488" s="228"/>
      <c r="BY488" s="228"/>
      <c r="BZ488" s="228"/>
      <c r="CA488" s="228"/>
      <c r="CB488" s="228"/>
      <c r="CC488" s="228"/>
      <c r="CD488" s="228"/>
      <c r="CE488" s="228"/>
      <c r="CF488" s="228"/>
      <c r="CG488" s="228"/>
      <c r="CH488" s="228"/>
      <c r="CI488" s="228"/>
      <c r="CJ488" s="228"/>
      <c r="CK488" s="228"/>
      <c r="CL488" s="228"/>
      <c r="CM488" s="228"/>
      <c r="CN488" s="228"/>
      <c r="CO488" s="228"/>
      <c r="CP488" s="228"/>
      <c r="CQ488" s="228"/>
      <c r="CR488" s="228"/>
      <c r="CS488" s="228"/>
      <c r="CT488" s="228"/>
      <c r="CU488" s="228"/>
      <c r="CV488" s="228"/>
      <c r="CW488" s="228"/>
      <c r="CX488" s="228"/>
      <c r="CY488" s="228"/>
      <c r="CZ488" s="228"/>
      <c r="DA488" s="228"/>
      <c r="DB488" s="228"/>
    </row>
    <row r="489" ht="12.0" customHeight="1">
      <c r="A489" s="228"/>
      <c r="B489" s="228"/>
      <c r="C489" s="228"/>
      <c r="D489" s="228"/>
      <c r="E489" s="228"/>
      <c r="F489" s="228"/>
      <c r="G489" s="228"/>
      <c r="H489" s="228"/>
      <c r="I489" s="228"/>
      <c r="J489" s="228"/>
      <c r="K489" s="228"/>
      <c r="L489" s="228"/>
      <c r="M489" s="228"/>
      <c r="N489" s="228"/>
      <c r="O489" s="228"/>
      <c r="P489" s="228"/>
      <c r="Q489" s="228"/>
      <c r="R489" s="228"/>
      <c r="S489" s="228"/>
      <c r="T489" s="228"/>
      <c r="U489" s="228"/>
      <c r="V489" s="228"/>
      <c r="W489" s="228"/>
      <c r="X489" s="228"/>
      <c r="Y489" s="228"/>
      <c r="Z489" s="228"/>
      <c r="AA489" s="228"/>
      <c r="AB489" s="228"/>
      <c r="AC489" s="228"/>
      <c r="AD489" s="228"/>
      <c r="AE489" s="228"/>
      <c r="AF489" s="228"/>
      <c r="AG489" s="228"/>
      <c r="AH489" s="228"/>
      <c r="AI489" s="228"/>
      <c r="AJ489" s="228"/>
      <c r="AK489" s="228"/>
      <c r="AL489" s="228"/>
      <c r="AM489" s="228"/>
      <c r="AN489" s="228"/>
      <c r="AO489" s="228"/>
      <c r="AP489" s="228"/>
      <c r="AQ489" s="228"/>
      <c r="AR489" s="228"/>
      <c r="AS489" s="228"/>
      <c r="AT489" s="228"/>
      <c r="AU489" s="228"/>
      <c r="AV489" s="228"/>
      <c r="AW489" s="228"/>
      <c r="AX489" s="228"/>
      <c r="AY489" s="228"/>
      <c r="AZ489" s="228"/>
      <c r="BA489" s="228"/>
      <c r="BB489" s="228"/>
      <c r="BC489" s="228"/>
      <c r="BD489" s="228"/>
      <c r="BE489" s="228"/>
      <c r="BF489" s="228"/>
      <c r="BG489" s="228"/>
      <c r="BH489" s="228"/>
      <c r="BI489" s="228"/>
      <c r="BJ489" s="228"/>
      <c r="BK489" s="228"/>
      <c r="BL489" s="228"/>
      <c r="BM489" s="228"/>
      <c r="BN489" s="228"/>
      <c r="BO489" s="228"/>
      <c r="BP489" s="228"/>
      <c r="BQ489" s="228"/>
      <c r="BR489" s="228"/>
      <c r="BS489" s="228"/>
      <c r="BT489" s="228"/>
      <c r="BU489" s="228"/>
      <c r="BV489" s="228"/>
      <c r="BW489" s="228"/>
      <c r="BX489" s="228"/>
      <c r="BY489" s="228"/>
      <c r="BZ489" s="228"/>
      <c r="CA489" s="228"/>
      <c r="CB489" s="228"/>
      <c r="CC489" s="228"/>
      <c r="CD489" s="228"/>
      <c r="CE489" s="228"/>
      <c r="CF489" s="228"/>
      <c r="CG489" s="228"/>
      <c r="CH489" s="228"/>
      <c r="CI489" s="228"/>
      <c r="CJ489" s="228"/>
      <c r="CK489" s="228"/>
      <c r="CL489" s="228"/>
      <c r="CM489" s="228"/>
      <c r="CN489" s="228"/>
      <c r="CO489" s="228"/>
      <c r="CP489" s="228"/>
      <c r="CQ489" s="228"/>
      <c r="CR489" s="228"/>
      <c r="CS489" s="228"/>
      <c r="CT489" s="228"/>
      <c r="CU489" s="228"/>
      <c r="CV489" s="228"/>
      <c r="CW489" s="228"/>
      <c r="CX489" s="228"/>
      <c r="CY489" s="228"/>
      <c r="CZ489" s="228"/>
      <c r="DA489" s="228"/>
      <c r="DB489" s="228"/>
    </row>
    <row r="490" ht="12.0" customHeight="1">
      <c r="A490" s="228"/>
      <c r="B490" s="228"/>
      <c r="C490" s="228"/>
      <c r="D490" s="228"/>
      <c r="E490" s="228"/>
      <c r="F490" s="228"/>
      <c r="G490" s="228"/>
      <c r="H490" s="228"/>
      <c r="I490" s="228"/>
      <c r="J490" s="228"/>
      <c r="K490" s="228"/>
      <c r="L490" s="228"/>
      <c r="M490" s="228"/>
      <c r="N490" s="228"/>
      <c r="O490" s="228"/>
      <c r="P490" s="228"/>
      <c r="Q490" s="228"/>
      <c r="R490" s="228"/>
      <c r="S490" s="228"/>
      <c r="T490" s="228"/>
      <c r="U490" s="228"/>
      <c r="V490" s="228"/>
      <c r="W490" s="228"/>
      <c r="X490" s="228"/>
      <c r="Y490" s="228"/>
      <c r="Z490" s="228"/>
      <c r="AA490" s="228"/>
      <c r="AB490" s="228"/>
      <c r="AC490" s="228"/>
      <c r="AD490" s="228"/>
      <c r="AE490" s="228"/>
      <c r="AF490" s="228"/>
      <c r="AG490" s="228"/>
      <c r="AH490" s="228"/>
      <c r="AI490" s="228"/>
      <c r="AJ490" s="228"/>
      <c r="AK490" s="228"/>
      <c r="AL490" s="228"/>
      <c r="AM490" s="228"/>
      <c r="AN490" s="228"/>
      <c r="AO490" s="228"/>
      <c r="AP490" s="228"/>
      <c r="AQ490" s="228"/>
      <c r="AR490" s="228"/>
      <c r="AS490" s="228"/>
      <c r="AT490" s="228"/>
      <c r="AU490" s="228"/>
      <c r="AV490" s="228"/>
      <c r="AW490" s="228"/>
      <c r="AX490" s="228"/>
      <c r="AY490" s="228"/>
      <c r="AZ490" s="228"/>
      <c r="BA490" s="228"/>
      <c r="BB490" s="228"/>
      <c r="BC490" s="228"/>
      <c r="BD490" s="228"/>
      <c r="BE490" s="228"/>
      <c r="BF490" s="228"/>
      <c r="BG490" s="228"/>
      <c r="BH490" s="228"/>
      <c r="BI490" s="228"/>
      <c r="BJ490" s="228"/>
      <c r="BK490" s="228"/>
      <c r="BL490" s="228"/>
      <c r="BM490" s="228"/>
      <c r="BN490" s="228"/>
      <c r="BO490" s="228"/>
      <c r="BP490" s="228"/>
      <c r="BQ490" s="228"/>
      <c r="BR490" s="228"/>
      <c r="BS490" s="228"/>
      <c r="BT490" s="228"/>
      <c r="BU490" s="228"/>
      <c r="BV490" s="228"/>
      <c r="BW490" s="228"/>
      <c r="BX490" s="228"/>
      <c r="BY490" s="228"/>
      <c r="BZ490" s="228"/>
      <c r="CA490" s="228"/>
      <c r="CB490" s="228"/>
      <c r="CC490" s="228"/>
      <c r="CD490" s="228"/>
      <c r="CE490" s="228"/>
      <c r="CF490" s="228"/>
      <c r="CG490" s="228"/>
      <c r="CH490" s="228"/>
      <c r="CI490" s="228"/>
      <c r="CJ490" s="228"/>
      <c r="CK490" s="228"/>
      <c r="CL490" s="228"/>
      <c r="CM490" s="228"/>
      <c r="CN490" s="228"/>
      <c r="CO490" s="228"/>
      <c r="CP490" s="228"/>
      <c r="CQ490" s="228"/>
      <c r="CR490" s="228"/>
      <c r="CS490" s="228"/>
      <c r="CT490" s="228"/>
      <c r="CU490" s="228"/>
      <c r="CV490" s="228"/>
      <c r="CW490" s="228"/>
      <c r="CX490" s="228"/>
      <c r="CY490" s="228"/>
      <c r="CZ490" s="228"/>
      <c r="DA490" s="228"/>
      <c r="DB490" s="228"/>
    </row>
    <row r="491" ht="12.0" customHeight="1">
      <c r="A491" s="228"/>
      <c r="B491" s="228"/>
      <c r="C491" s="228"/>
      <c r="D491" s="228"/>
      <c r="E491" s="228"/>
      <c r="F491" s="228"/>
      <c r="G491" s="228"/>
      <c r="H491" s="228"/>
      <c r="I491" s="228"/>
      <c r="J491" s="228"/>
      <c r="K491" s="228"/>
      <c r="L491" s="228"/>
      <c r="M491" s="228"/>
      <c r="N491" s="228"/>
      <c r="O491" s="228"/>
      <c r="P491" s="228"/>
      <c r="Q491" s="228"/>
      <c r="R491" s="228"/>
      <c r="S491" s="228"/>
      <c r="T491" s="228"/>
      <c r="U491" s="228"/>
      <c r="V491" s="228"/>
      <c r="W491" s="228"/>
      <c r="X491" s="228"/>
      <c r="Y491" s="228"/>
      <c r="Z491" s="228"/>
      <c r="AA491" s="228"/>
      <c r="AB491" s="228"/>
      <c r="AC491" s="228"/>
      <c r="AD491" s="228"/>
      <c r="AE491" s="228"/>
      <c r="AF491" s="228"/>
      <c r="AG491" s="228"/>
      <c r="AH491" s="228"/>
      <c r="AI491" s="228"/>
      <c r="AJ491" s="228"/>
      <c r="AK491" s="228"/>
      <c r="AL491" s="228"/>
      <c r="AM491" s="228"/>
      <c r="AN491" s="228"/>
      <c r="AO491" s="228"/>
      <c r="AP491" s="228"/>
      <c r="AQ491" s="228"/>
      <c r="AR491" s="228"/>
      <c r="AS491" s="228"/>
      <c r="AT491" s="228"/>
      <c r="AU491" s="228"/>
      <c r="AV491" s="228"/>
      <c r="AW491" s="228"/>
      <c r="AX491" s="228"/>
      <c r="AY491" s="228"/>
      <c r="AZ491" s="228"/>
      <c r="BA491" s="228"/>
      <c r="BB491" s="228"/>
      <c r="BC491" s="228"/>
      <c r="BD491" s="228"/>
      <c r="BE491" s="228"/>
      <c r="BF491" s="228"/>
      <c r="BG491" s="228"/>
      <c r="BH491" s="228"/>
      <c r="BI491" s="228"/>
      <c r="BJ491" s="228"/>
      <c r="BK491" s="228"/>
      <c r="BL491" s="228"/>
      <c r="BM491" s="228"/>
      <c r="BN491" s="228"/>
      <c r="BO491" s="228"/>
      <c r="BP491" s="228"/>
      <c r="BQ491" s="228"/>
      <c r="BR491" s="228"/>
      <c r="BS491" s="228"/>
      <c r="BT491" s="228"/>
      <c r="BU491" s="228"/>
      <c r="BV491" s="228"/>
      <c r="BW491" s="228"/>
      <c r="BX491" s="228"/>
      <c r="BY491" s="228"/>
      <c r="BZ491" s="228"/>
      <c r="CA491" s="228"/>
      <c r="CB491" s="228"/>
      <c r="CC491" s="228"/>
      <c r="CD491" s="228"/>
      <c r="CE491" s="228"/>
      <c r="CF491" s="228"/>
      <c r="CG491" s="228"/>
      <c r="CH491" s="228"/>
      <c r="CI491" s="228"/>
      <c r="CJ491" s="228"/>
      <c r="CK491" s="228"/>
      <c r="CL491" s="228"/>
      <c r="CM491" s="228"/>
      <c r="CN491" s="228"/>
      <c r="CO491" s="228"/>
      <c r="CP491" s="228"/>
      <c r="CQ491" s="228"/>
      <c r="CR491" s="228"/>
      <c r="CS491" s="228"/>
      <c r="CT491" s="228"/>
      <c r="CU491" s="228"/>
      <c r="CV491" s="228"/>
      <c r="CW491" s="228"/>
      <c r="CX491" s="228"/>
      <c r="CY491" s="228"/>
      <c r="CZ491" s="228"/>
      <c r="DA491" s="228"/>
      <c r="DB491" s="228"/>
    </row>
    <row r="492" ht="12.0" customHeight="1">
      <c r="A492" s="228"/>
      <c r="B492" s="228"/>
      <c r="C492" s="228"/>
      <c r="D492" s="228"/>
      <c r="E492" s="228"/>
      <c r="F492" s="228"/>
      <c r="G492" s="228"/>
      <c r="H492" s="228"/>
      <c r="I492" s="228"/>
      <c r="J492" s="228"/>
      <c r="K492" s="228"/>
      <c r="L492" s="228"/>
      <c r="M492" s="228"/>
      <c r="N492" s="228"/>
      <c r="O492" s="228"/>
      <c r="P492" s="228"/>
      <c r="Q492" s="228"/>
      <c r="R492" s="228"/>
      <c r="S492" s="228"/>
      <c r="T492" s="228"/>
      <c r="U492" s="228"/>
      <c r="V492" s="228"/>
      <c r="W492" s="228"/>
      <c r="X492" s="228"/>
      <c r="Y492" s="228"/>
      <c r="Z492" s="228"/>
      <c r="AA492" s="228"/>
      <c r="AB492" s="228"/>
      <c r="AC492" s="228"/>
      <c r="AD492" s="228"/>
      <c r="AE492" s="228"/>
      <c r="AF492" s="228"/>
      <c r="AG492" s="228"/>
      <c r="AH492" s="228"/>
      <c r="AI492" s="228"/>
      <c r="AJ492" s="228"/>
      <c r="AK492" s="228"/>
      <c r="AL492" s="228"/>
      <c r="AM492" s="228"/>
      <c r="AN492" s="228"/>
      <c r="AO492" s="228"/>
      <c r="AP492" s="228"/>
      <c r="AQ492" s="228"/>
      <c r="AR492" s="228"/>
      <c r="AS492" s="228"/>
      <c r="AT492" s="228"/>
      <c r="AU492" s="228"/>
      <c r="AV492" s="228"/>
      <c r="AW492" s="228"/>
      <c r="AX492" s="228"/>
      <c r="AY492" s="228"/>
      <c r="AZ492" s="228"/>
      <c r="BA492" s="228"/>
      <c r="BB492" s="228"/>
      <c r="BC492" s="228"/>
      <c r="BD492" s="228"/>
      <c r="BE492" s="228"/>
      <c r="BF492" s="228"/>
      <c r="BG492" s="228"/>
      <c r="BH492" s="228"/>
      <c r="BI492" s="228"/>
      <c r="BJ492" s="228"/>
      <c r="BK492" s="228"/>
      <c r="BL492" s="228"/>
      <c r="BM492" s="228"/>
      <c r="BN492" s="228"/>
      <c r="BO492" s="228"/>
      <c r="BP492" s="228"/>
      <c r="BQ492" s="228"/>
      <c r="BR492" s="228"/>
      <c r="BS492" s="228"/>
      <c r="BT492" s="228"/>
      <c r="BU492" s="228"/>
      <c r="BV492" s="228"/>
      <c r="BW492" s="228"/>
      <c r="BX492" s="228"/>
      <c r="BY492" s="228"/>
      <c r="BZ492" s="228"/>
      <c r="CA492" s="228"/>
      <c r="CB492" s="228"/>
      <c r="CC492" s="228"/>
      <c r="CD492" s="228"/>
      <c r="CE492" s="228"/>
      <c r="CF492" s="228"/>
      <c r="CG492" s="228"/>
      <c r="CH492" s="228"/>
      <c r="CI492" s="228"/>
      <c r="CJ492" s="228"/>
      <c r="CK492" s="228"/>
      <c r="CL492" s="228"/>
      <c r="CM492" s="228"/>
      <c r="CN492" s="228"/>
      <c r="CO492" s="228"/>
      <c r="CP492" s="228"/>
      <c r="CQ492" s="228"/>
      <c r="CR492" s="228"/>
      <c r="CS492" s="228"/>
      <c r="CT492" s="228"/>
      <c r="CU492" s="228"/>
      <c r="CV492" s="228"/>
      <c r="CW492" s="228"/>
      <c r="CX492" s="228"/>
      <c r="CY492" s="228"/>
      <c r="CZ492" s="228"/>
      <c r="DA492" s="228"/>
      <c r="DB492" s="228"/>
    </row>
    <row r="493" ht="12.0" customHeight="1">
      <c r="A493" s="228"/>
      <c r="B493" s="228"/>
      <c r="C493" s="228"/>
      <c r="D493" s="228"/>
      <c r="E493" s="228"/>
      <c r="F493" s="228"/>
      <c r="G493" s="228"/>
      <c r="H493" s="228"/>
      <c r="I493" s="228"/>
      <c r="J493" s="228"/>
      <c r="K493" s="228"/>
      <c r="L493" s="228"/>
      <c r="M493" s="228"/>
      <c r="N493" s="228"/>
      <c r="O493" s="228"/>
      <c r="P493" s="228"/>
      <c r="Q493" s="228"/>
      <c r="R493" s="228"/>
      <c r="S493" s="228"/>
      <c r="T493" s="228"/>
      <c r="U493" s="228"/>
      <c r="V493" s="228"/>
      <c r="W493" s="228"/>
      <c r="X493" s="228"/>
      <c r="Y493" s="228"/>
      <c r="Z493" s="228"/>
      <c r="AA493" s="228"/>
      <c r="AB493" s="228"/>
      <c r="AC493" s="228"/>
      <c r="AD493" s="228"/>
      <c r="AE493" s="228"/>
      <c r="AF493" s="228"/>
      <c r="AG493" s="228"/>
      <c r="AH493" s="228"/>
      <c r="AI493" s="228"/>
      <c r="AJ493" s="228"/>
      <c r="AK493" s="228"/>
      <c r="AL493" s="228"/>
      <c r="AM493" s="228"/>
      <c r="AN493" s="228"/>
      <c r="AO493" s="228"/>
      <c r="AP493" s="228"/>
      <c r="AQ493" s="228"/>
      <c r="AR493" s="228"/>
      <c r="AS493" s="228"/>
      <c r="AT493" s="228"/>
      <c r="AU493" s="228"/>
      <c r="AV493" s="228"/>
      <c r="AW493" s="228"/>
      <c r="AX493" s="228"/>
      <c r="AY493" s="228"/>
      <c r="AZ493" s="228"/>
      <c r="BA493" s="228"/>
      <c r="BB493" s="228"/>
      <c r="BC493" s="228"/>
      <c r="BD493" s="228"/>
      <c r="BE493" s="228"/>
      <c r="BF493" s="228"/>
      <c r="BG493" s="228"/>
      <c r="BH493" s="228"/>
      <c r="BI493" s="228"/>
      <c r="BJ493" s="228"/>
      <c r="BK493" s="228"/>
      <c r="BL493" s="228"/>
      <c r="BM493" s="228"/>
      <c r="BN493" s="228"/>
      <c r="BO493" s="228"/>
      <c r="BP493" s="228"/>
      <c r="BQ493" s="228"/>
      <c r="BR493" s="228"/>
      <c r="BS493" s="228"/>
      <c r="BT493" s="228"/>
      <c r="BU493" s="228"/>
      <c r="BV493" s="228"/>
      <c r="BW493" s="228"/>
      <c r="BX493" s="228"/>
      <c r="BY493" s="228"/>
      <c r="BZ493" s="228"/>
      <c r="CA493" s="228"/>
      <c r="CB493" s="228"/>
      <c r="CC493" s="228"/>
      <c r="CD493" s="228"/>
      <c r="CE493" s="228"/>
      <c r="CF493" s="228"/>
      <c r="CG493" s="228"/>
      <c r="CH493" s="228"/>
      <c r="CI493" s="228"/>
      <c r="CJ493" s="228"/>
      <c r="CK493" s="228"/>
      <c r="CL493" s="228"/>
      <c r="CM493" s="228"/>
      <c r="CN493" s="228"/>
      <c r="CO493" s="228"/>
      <c r="CP493" s="228"/>
      <c r="CQ493" s="228"/>
      <c r="CR493" s="228"/>
      <c r="CS493" s="228"/>
      <c r="CT493" s="228"/>
      <c r="CU493" s="228"/>
      <c r="CV493" s="228"/>
      <c r="CW493" s="228"/>
      <c r="CX493" s="228"/>
      <c r="CY493" s="228"/>
      <c r="CZ493" s="228"/>
      <c r="DA493" s="228"/>
      <c r="DB493" s="228"/>
    </row>
    <row r="494" ht="12.0" customHeight="1">
      <c r="A494" s="228"/>
      <c r="B494" s="228"/>
      <c r="C494" s="228"/>
      <c r="D494" s="228"/>
      <c r="E494" s="228"/>
      <c r="F494" s="228"/>
      <c r="G494" s="228"/>
      <c r="H494" s="228"/>
      <c r="I494" s="228"/>
      <c r="J494" s="228"/>
      <c r="K494" s="228"/>
      <c r="L494" s="228"/>
      <c r="M494" s="228"/>
      <c r="N494" s="228"/>
      <c r="O494" s="228"/>
      <c r="P494" s="228"/>
      <c r="Q494" s="228"/>
      <c r="R494" s="228"/>
      <c r="S494" s="228"/>
      <c r="T494" s="228"/>
      <c r="U494" s="228"/>
      <c r="V494" s="228"/>
      <c r="W494" s="228"/>
      <c r="X494" s="228"/>
      <c r="Y494" s="228"/>
      <c r="Z494" s="228"/>
      <c r="AA494" s="228"/>
      <c r="AB494" s="228"/>
      <c r="AC494" s="228"/>
      <c r="AD494" s="228"/>
      <c r="AE494" s="228"/>
      <c r="AF494" s="228"/>
      <c r="AG494" s="228"/>
      <c r="AH494" s="228"/>
      <c r="AI494" s="228"/>
      <c r="AJ494" s="228"/>
      <c r="AK494" s="228"/>
      <c r="AL494" s="228"/>
      <c r="AM494" s="228"/>
      <c r="AN494" s="228"/>
      <c r="AO494" s="228"/>
      <c r="AP494" s="228"/>
      <c r="AQ494" s="228"/>
      <c r="AR494" s="228"/>
      <c r="AS494" s="228"/>
      <c r="AT494" s="228"/>
      <c r="AU494" s="228"/>
      <c r="AV494" s="228"/>
      <c r="AW494" s="228"/>
      <c r="AX494" s="228"/>
      <c r="AY494" s="228"/>
      <c r="AZ494" s="228"/>
      <c r="BA494" s="228"/>
      <c r="BB494" s="228"/>
      <c r="BC494" s="228"/>
      <c r="BD494" s="228"/>
      <c r="BE494" s="228"/>
      <c r="BF494" s="228"/>
      <c r="BG494" s="228"/>
      <c r="BH494" s="228"/>
      <c r="BI494" s="228"/>
      <c r="BJ494" s="228"/>
      <c r="BK494" s="228"/>
      <c r="BL494" s="228"/>
      <c r="BM494" s="228"/>
      <c r="BN494" s="228"/>
      <c r="BO494" s="228"/>
      <c r="BP494" s="228"/>
      <c r="BQ494" s="228"/>
      <c r="BR494" s="228"/>
      <c r="BS494" s="228"/>
      <c r="BT494" s="228"/>
      <c r="BU494" s="228"/>
      <c r="BV494" s="228"/>
      <c r="BW494" s="228"/>
      <c r="BX494" s="228"/>
      <c r="BY494" s="228"/>
      <c r="BZ494" s="228"/>
      <c r="CA494" s="228"/>
      <c r="CB494" s="228"/>
      <c r="CC494" s="228"/>
      <c r="CD494" s="228"/>
      <c r="CE494" s="228"/>
      <c r="CF494" s="228"/>
      <c r="CG494" s="228"/>
      <c r="CH494" s="228"/>
      <c r="CI494" s="228"/>
      <c r="CJ494" s="228"/>
      <c r="CK494" s="228"/>
      <c r="CL494" s="228"/>
      <c r="CM494" s="228"/>
      <c r="CN494" s="228"/>
      <c r="CO494" s="228"/>
      <c r="CP494" s="228"/>
      <c r="CQ494" s="228"/>
      <c r="CR494" s="228"/>
      <c r="CS494" s="228"/>
      <c r="CT494" s="228"/>
      <c r="CU494" s="228"/>
      <c r="CV494" s="228"/>
      <c r="CW494" s="228"/>
      <c r="CX494" s="228"/>
      <c r="CY494" s="228"/>
      <c r="CZ494" s="228"/>
      <c r="DA494" s="228"/>
      <c r="DB494" s="228"/>
    </row>
    <row r="495" ht="12.0" customHeight="1">
      <c r="A495" s="228"/>
      <c r="B495" s="228"/>
      <c r="C495" s="228"/>
      <c r="D495" s="228"/>
      <c r="E495" s="228"/>
      <c r="F495" s="228"/>
      <c r="G495" s="228"/>
      <c r="H495" s="228"/>
      <c r="I495" s="228"/>
      <c r="J495" s="228"/>
      <c r="K495" s="228"/>
      <c r="L495" s="228"/>
      <c r="M495" s="228"/>
      <c r="N495" s="228"/>
      <c r="O495" s="228"/>
      <c r="P495" s="228"/>
      <c r="Q495" s="228"/>
      <c r="R495" s="228"/>
      <c r="S495" s="228"/>
      <c r="T495" s="228"/>
      <c r="U495" s="228"/>
      <c r="V495" s="228"/>
      <c r="W495" s="228"/>
      <c r="X495" s="228"/>
      <c r="Y495" s="228"/>
      <c r="Z495" s="228"/>
      <c r="AA495" s="228"/>
      <c r="AB495" s="228"/>
      <c r="AC495" s="228"/>
      <c r="AD495" s="228"/>
      <c r="AE495" s="228"/>
      <c r="AF495" s="228"/>
      <c r="AG495" s="228"/>
      <c r="AH495" s="228"/>
      <c r="AI495" s="228"/>
      <c r="AJ495" s="228"/>
      <c r="AK495" s="228"/>
      <c r="AL495" s="228"/>
      <c r="AM495" s="228"/>
      <c r="AN495" s="228"/>
      <c r="AO495" s="228"/>
      <c r="AP495" s="228"/>
      <c r="AQ495" s="228"/>
      <c r="AR495" s="228"/>
      <c r="AS495" s="228"/>
      <c r="AT495" s="228"/>
      <c r="AU495" s="228"/>
      <c r="AV495" s="228"/>
      <c r="AW495" s="228"/>
      <c r="AX495" s="228"/>
      <c r="AY495" s="228"/>
      <c r="AZ495" s="228"/>
      <c r="BA495" s="228"/>
      <c r="BB495" s="228"/>
      <c r="BC495" s="228"/>
      <c r="BD495" s="228"/>
      <c r="BE495" s="228"/>
      <c r="BF495" s="228"/>
      <c r="BG495" s="228"/>
      <c r="BH495" s="228"/>
      <c r="BI495" s="228"/>
      <c r="BJ495" s="228"/>
      <c r="BK495" s="228"/>
      <c r="BL495" s="228"/>
      <c r="BM495" s="228"/>
      <c r="BN495" s="228"/>
      <c r="BO495" s="228"/>
      <c r="BP495" s="228"/>
      <c r="BQ495" s="228"/>
      <c r="BR495" s="228"/>
      <c r="BS495" s="228"/>
      <c r="BT495" s="228"/>
      <c r="BU495" s="228"/>
      <c r="BV495" s="228"/>
      <c r="BW495" s="228"/>
      <c r="BX495" s="228"/>
      <c r="BY495" s="228"/>
      <c r="BZ495" s="228"/>
      <c r="CA495" s="228"/>
      <c r="CB495" s="228"/>
      <c r="CC495" s="228"/>
      <c r="CD495" s="228"/>
      <c r="CE495" s="228"/>
      <c r="CF495" s="228"/>
      <c r="CG495" s="228"/>
      <c r="CH495" s="228"/>
      <c r="CI495" s="228"/>
      <c r="CJ495" s="228"/>
      <c r="CK495" s="228"/>
      <c r="CL495" s="228"/>
      <c r="CM495" s="228"/>
      <c r="CN495" s="228"/>
      <c r="CO495" s="228"/>
      <c r="CP495" s="228"/>
      <c r="CQ495" s="228"/>
      <c r="CR495" s="228"/>
      <c r="CS495" s="228"/>
      <c r="CT495" s="228"/>
      <c r="CU495" s="228"/>
      <c r="CV495" s="228"/>
      <c r="CW495" s="228"/>
      <c r="CX495" s="228"/>
      <c r="CY495" s="228"/>
      <c r="CZ495" s="228"/>
      <c r="DA495" s="228"/>
      <c r="DB495" s="228"/>
    </row>
    <row r="496" ht="12.0" customHeight="1">
      <c r="A496" s="228"/>
      <c r="B496" s="228"/>
      <c r="C496" s="228"/>
      <c r="D496" s="228"/>
      <c r="E496" s="228"/>
      <c r="F496" s="228"/>
      <c r="G496" s="228"/>
      <c r="H496" s="228"/>
      <c r="I496" s="228"/>
      <c r="J496" s="228"/>
      <c r="K496" s="228"/>
      <c r="L496" s="228"/>
      <c r="M496" s="228"/>
      <c r="N496" s="228"/>
      <c r="O496" s="228"/>
      <c r="P496" s="228"/>
      <c r="Q496" s="228"/>
      <c r="R496" s="228"/>
      <c r="S496" s="228"/>
      <c r="T496" s="228"/>
      <c r="U496" s="228"/>
      <c r="V496" s="228"/>
      <c r="W496" s="228"/>
      <c r="X496" s="228"/>
      <c r="Y496" s="228"/>
      <c r="Z496" s="228"/>
      <c r="AA496" s="228"/>
      <c r="AB496" s="228"/>
      <c r="AC496" s="228"/>
      <c r="AD496" s="228"/>
      <c r="AE496" s="228"/>
      <c r="AF496" s="228"/>
      <c r="AG496" s="228"/>
      <c r="AH496" s="228"/>
      <c r="AI496" s="228"/>
      <c r="AJ496" s="228"/>
      <c r="AK496" s="228"/>
      <c r="AL496" s="228"/>
      <c r="AM496" s="228"/>
      <c r="AN496" s="228"/>
      <c r="AO496" s="228"/>
      <c r="AP496" s="228"/>
      <c r="AQ496" s="228"/>
      <c r="AR496" s="228"/>
      <c r="AS496" s="228"/>
      <c r="AT496" s="228"/>
      <c r="AU496" s="228"/>
      <c r="AV496" s="228"/>
      <c r="AW496" s="228"/>
      <c r="AX496" s="228"/>
      <c r="AY496" s="228"/>
      <c r="AZ496" s="228"/>
      <c r="BA496" s="228"/>
      <c r="BB496" s="228"/>
      <c r="BC496" s="228"/>
      <c r="BD496" s="228"/>
      <c r="BE496" s="228"/>
      <c r="BF496" s="228"/>
      <c r="BG496" s="228"/>
      <c r="BH496" s="228"/>
      <c r="BI496" s="228"/>
      <c r="BJ496" s="228"/>
      <c r="BK496" s="228"/>
      <c r="BL496" s="228"/>
      <c r="BM496" s="228"/>
      <c r="BN496" s="228"/>
      <c r="BO496" s="228"/>
      <c r="BP496" s="228"/>
      <c r="BQ496" s="228"/>
      <c r="BR496" s="228"/>
      <c r="BS496" s="228"/>
      <c r="BT496" s="228"/>
      <c r="BU496" s="228"/>
      <c r="BV496" s="228"/>
      <c r="BW496" s="228"/>
      <c r="BX496" s="228"/>
      <c r="BY496" s="228"/>
      <c r="BZ496" s="228"/>
      <c r="CA496" s="228"/>
      <c r="CB496" s="228"/>
      <c r="CC496" s="228"/>
      <c r="CD496" s="228"/>
      <c r="CE496" s="228"/>
      <c r="CF496" s="228"/>
      <c r="CG496" s="228"/>
      <c r="CH496" s="228"/>
      <c r="CI496" s="228"/>
      <c r="CJ496" s="228"/>
      <c r="CK496" s="228"/>
      <c r="CL496" s="228"/>
      <c r="CM496" s="228"/>
      <c r="CN496" s="228"/>
      <c r="CO496" s="228"/>
      <c r="CP496" s="228"/>
      <c r="CQ496" s="228"/>
      <c r="CR496" s="228"/>
      <c r="CS496" s="228"/>
      <c r="CT496" s="228"/>
      <c r="CU496" s="228"/>
      <c r="CV496" s="228"/>
      <c r="CW496" s="228"/>
      <c r="CX496" s="228"/>
      <c r="CY496" s="228"/>
      <c r="CZ496" s="228"/>
      <c r="DA496" s="228"/>
      <c r="DB496" s="228"/>
    </row>
    <row r="497" ht="12.0" customHeight="1">
      <c r="A497" s="228"/>
      <c r="B497" s="228"/>
      <c r="C497" s="228"/>
      <c r="D497" s="228"/>
      <c r="E497" s="228"/>
      <c r="F497" s="228"/>
      <c r="G497" s="228"/>
      <c r="H497" s="228"/>
      <c r="I497" s="228"/>
      <c r="J497" s="228"/>
      <c r="K497" s="228"/>
      <c r="L497" s="228"/>
      <c r="M497" s="228"/>
      <c r="N497" s="228"/>
      <c r="O497" s="228"/>
      <c r="P497" s="228"/>
      <c r="Q497" s="228"/>
      <c r="R497" s="228"/>
      <c r="S497" s="228"/>
      <c r="T497" s="228"/>
      <c r="U497" s="228"/>
      <c r="V497" s="228"/>
      <c r="W497" s="228"/>
      <c r="X497" s="228"/>
      <c r="Y497" s="228"/>
      <c r="Z497" s="228"/>
      <c r="AA497" s="228"/>
      <c r="AB497" s="228"/>
      <c r="AC497" s="228"/>
      <c r="AD497" s="228"/>
      <c r="AE497" s="228"/>
      <c r="AF497" s="228"/>
      <c r="AG497" s="228"/>
      <c r="AH497" s="228"/>
      <c r="AI497" s="228"/>
      <c r="AJ497" s="228"/>
      <c r="AK497" s="228"/>
      <c r="AL497" s="228"/>
      <c r="AM497" s="228"/>
      <c r="AN497" s="228"/>
      <c r="AO497" s="228"/>
      <c r="AP497" s="228"/>
      <c r="AQ497" s="228"/>
      <c r="AR497" s="228"/>
      <c r="AS497" s="228"/>
      <c r="AT497" s="228"/>
      <c r="AU497" s="228"/>
      <c r="AV497" s="228"/>
      <c r="AW497" s="228"/>
      <c r="AX497" s="228"/>
      <c r="AY497" s="228"/>
      <c r="AZ497" s="228"/>
      <c r="BA497" s="228"/>
      <c r="BB497" s="228"/>
      <c r="BC497" s="228"/>
      <c r="BD497" s="228"/>
      <c r="BE497" s="228"/>
      <c r="BF497" s="228"/>
      <c r="BG497" s="228"/>
      <c r="BH497" s="228"/>
      <c r="BI497" s="228"/>
      <c r="BJ497" s="228"/>
      <c r="BK497" s="228"/>
      <c r="BL497" s="228"/>
      <c r="BM497" s="228"/>
      <c r="BN497" s="228"/>
      <c r="BO497" s="228"/>
      <c r="BP497" s="228"/>
      <c r="BQ497" s="228"/>
      <c r="BR497" s="228"/>
      <c r="BS497" s="228"/>
      <c r="BT497" s="228"/>
      <c r="BU497" s="228"/>
      <c r="BV497" s="228"/>
      <c r="BW497" s="228"/>
      <c r="BX497" s="228"/>
      <c r="BY497" s="228"/>
      <c r="BZ497" s="228"/>
      <c r="CA497" s="228"/>
      <c r="CB497" s="228"/>
      <c r="CC497" s="228"/>
      <c r="CD497" s="228"/>
      <c r="CE497" s="228"/>
      <c r="CF497" s="228"/>
      <c r="CG497" s="228"/>
      <c r="CH497" s="228"/>
      <c r="CI497" s="228"/>
      <c r="CJ497" s="228"/>
      <c r="CK497" s="228"/>
      <c r="CL497" s="228"/>
      <c r="CM497" s="228"/>
      <c r="CN497" s="228"/>
      <c r="CO497" s="228"/>
      <c r="CP497" s="228"/>
      <c r="CQ497" s="228"/>
      <c r="CR497" s="228"/>
      <c r="CS497" s="228"/>
      <c r="CT497" s="228"/>
      <c r="CU497" s="228"/>
      <c r="CV497" s="228"/>
      <c r="CW497" s="228"/>
      <c r="CX497" s="228"/>
      <c r="CY497" s="228"/>
      <c r="CZ497" s="228"/>
      <c r="DA497" s="228"/>
      <c r="DB497" s="228"/>
    </row>
    <row r="498" ht="12.0" customHeight="1">
      <c r="A498" s="228"/>
      <c r="B498" s="228"/>
      <c r="C498" s="228"/>
      <c r="D498" s="228"/>
      <c r="E498" s="228"/>
      <c r="F498" s="228"/>
      <c r="G498" s="228"/>
      <c r="H498" s="228"/>
      <c r="I498" s="228"/>
      <c r="J498" s="228"/>
      <c r="K498" s="228"/>
      <c r="L498" s="228"/>
      <c r="M498" s="228"/>
      <c r="N498" s="228"/>
      <c r="O498" s="228"/>
      <c r="P498" s="228"/>
      <c r="Q498" s="228"/>
      <c r="R498" s="228"/>
      <c r="S498" s="228"/>
      <c r="T498" s="228"/>
      <c r="U498" s="228"/>
      <c r="V498" s="228"/>
      <c r="W498" s="228"/>
      <c r="X498" s="228"/>
      <c r="Y498" s="228"/>
      <c r="Z498" s="228"/>
      <c r="AA498" s="228"/>
      <c r="AB498" s="228"/>
      <c r="AC498" s="228"/>
      <c r="AD498" s="228"/>
      <c r="AE498" s="228"/>
      <c r="AF498" s="228"/>
      <c r="AG498" s="228"/>
      <c r="AH498" s="228"/>
      <c r="AI498" s="228"/>
      <c r="AJ498" s="228"/>
      <c r="AK498" s="228"/>
      <c r="AL498" s="228"/>
      <c r="AM498" s="228"/>
      <c r="AN498" s="228"/>
      <c r="AO498" s="228"/>
      <c r="AP498" s="228"/>
      <c r="AQ498" s="228"/>
      <c r="AR498" s="228"/>
      <c r="AS498" s="228"/>
      <c r="AT498" s="228"/>
      <c r="AU498" s="228"/>
      <c r="AV498" s="228"/>
      <c r="AW498" s="228"/>
      <c r="AX498" s="228"/>
      <c r="AY498" s="228"/>
      <c r="AZ498" s="228"/>
      <c r="BA498" s="228"/>
      <c r="BB498" s="228"/>
      <c r="BC498" s="228"/>
      <c r="BD498" s="228"/>
      <c r="BE498" s="228"/>
      <c r="BF498" s="228"/>
      <c r="BG498" s="228"/>
      <c r="BH498" s="228"/>
      <c r="BI498" s="228"/>
      <c r="BJ498" s="228"/>
      <c r="BK498" s="228"/>
      <c r="BL498" s="228"/>
      <c r="BM498" s="228"/>
      <c r="BN498" s="228"/>
      <c r="BO498" s="228"/>
      <c r="BP498" s="228"/>
      <c r="BQ498" s="228"/>
      <c r="BR498" s="228"/>
      <c r="BS498" s="228"/>
      <c r="BT498" s="228"/>
      <c r="BU498" s="228"/>
      <c r="BV498" s="228"/>
      <c r="BW498" s="228"/>
      <c r="BX498" s="228"/>
      <c r="BY498" s="228"/>
      <c r="BZ498" s="228"/>
      <c r="CA498" s="228"/>
      <c r="CB498" s="228"/>
      <c r="CC498" s="228"/>
      <c r="CD498" s="228"/>
      <c r="CE498" s="228"/>
      <c r="CF498" s="228"/>
      <c r="CG498" s="228"/>
      <c r="CH498" s="228"/>
      <c r="CI498" s="228"/>
      <c r="CJ498" s="228"/>
      <c r="CK498" s="228"/>
      <c r="CL498" s="228"/>
      <c r="CM498" s="228"/>
      <c r="CN498" s="228"/>
      <c r="CO498" s="228"/>
      <c r="CP498" s="228"/>
      <c r="CQ498" s="228"/>
      <c r="CR498" s="228"/>
      <c r="CS498" s="228"/>
      <c r="CT498" s="228"/>
      <c r="CU498" s="228"/>
      <c r="CV498" s="228"/>
      <c r="CW498" s="228"/>
      <c r="CX498" s="228"/>
      <c r="CY498" s="228"/>
      <c r="CZ498" s="228"/>
      <c r="DA498" s="228"/>
      <c r="DB498" s="228"/>
    </row>
    <row r="499" ht="12.0" customHeight="1">
      <c r="A499" s="228"/>
      <c r="B499" s="228"/>
      <c r="C499" s="228"/>
      <c r="D499" s="228"/>
      <c r="E499" s="228"/>
      <c r="F499" s="228"/>
      <c r="G499" s="228"/>
      <c r="H499" s="228"/>
      <c r="I499" s="228"/>
      <c r="J499" s="228"/>
      <c r="K499" s="228"/>
      <c r="L499" s="228"/>
      <c r="M499" s="228"/>
      <c r="N499" s="228"/>
      <c r="O499" s="228"/>
      <c r="P499" s="228"/>
      <c r="Q499" s="228"/>
      <c r="R499" s="228"/>
      <c r="S499" s="228"/>
      <c r="T499" s="228"/>
      <c r="U499" s="228"/>
      <c r="V499" s="228"/>
      <c r="W499" s="228"/>
      <c r="X499" s="228"/>
      <c r="Y499" s="228"/>
      <c r="Z499" s="228"/>
      <c r="AA499" s="228"/>
      <c r="AB499" s="228"/>
      <c r="AC499" s="228"/>
      <c r="AD499" s="228"/>
      <c r="AE499" s="228"/>
      <c r="AF499" s="228"/>
      <c r="AG499" s="228"/>
      <c r="AH499" s="228"/>
      <c r="AI499" s="228"/>
      <c r="AJ499" s="228"/>
      <c r="AK499" s="228"/>
      <c r="AL499" s="228"/>
      <c r="AM499" s="228"/>
      <c r="AN499" s="228"/>
      <c r="AO499" s="228"/>
      <c r="AP499" s="228"/>
      <c r="AQ499" s="228"/>
      <c r="AR499" s="228"/>
      <c r="AS499" s="228"/>
      <c r="AT499" s="228"/>
      <c r="AU499" s="228"/>
      <c r="AV499" s="228"/>
      <c r="AW499" s="228"/>
      <c r="AX499" s="228"/>
      <c r="AY499" s="228"/>
      <c r="AZ499" s="228"/>
      <c r="BA499" s="228"/>
      <c r="BB499" s="228"/>
      <c r="BC499" s="228"/>
      <c r="BD499" s="228"/>
      <c r="BE499" s="228"/>
      <c r="BF499" s="228"/>
      <c r="BG499" s="228"/>
      <c r="BH499" s="228"/>
      <c r="BI499" s="228"/>
      <c r="BJ499" s="228"/>
      <c r="BK499" s="228"/>
      <c r="BL499" s="228"/>
      <c r="BM499" s="228"/>
      <c r="BN499" s="228"/>
      <c r="BO499" s="228"/>
      <c r="BP499" s="228"/>
      <c r="BQ499" s="228"/>
      <c r="BR499" s="228"/>
      <c r="BS499" s="228"/>
      <c r="BT499" s="228"/>
      <c r="BU499" s="228"/>
      <c r="BV499" s="228"/>
      <c r="BW499" s="228"/>
      <c r="BX499" s="228"/>
      <c r="BY499" s="228"/>
      <c r="BZ499" s="228"/>
      <c r="CA499" s="228"/>
      <c r="CB499" s="228"/>
      <c r="CC499" s="228"/>
      <c r="CD499" s="228"/>
      <c r="CE499" s="228"/>
      <c r="CF499" s="228"/>
      <c r="CG499" s="228"/>
      <c r="CH499" s="228"/>
      <c r="CI499" s="228"/>
      <c r="CJ499" s="228"/>
      <c r="CK499" s="228"/>
      <c r="CL499" s="228"/>
      <c r="CM499" s="228"/>
      <c r="CN499" s="228"/>
      <c r="CO499" s="228"/>
      <c r="CP499" s="228"/>
      <c r="CQ499" s="228"/>
      <c r="CR499" s="228"/>
      <c r="CS499" s="228"/>
      <c r="CT499" s="228"/>
      <c r="CU499" s="228"/>
      <c r="CV499" s="228"/>
      <c r="CW499" s="228"/>
      <c r="CX499" s="228"/>
      <c r="CY499" s="228"/>
      <c r="CZ499" s="228"/>
      <c r="DA499" s="228"/>
      <c r="DB499" s="228"/>
    </row>
    <row r="500" ht="12.0" customHeight="1">
      <c r="A500" s="228"/>
      <c r="B500" s="228"/>
      <c r="C500" s="228"/>
      <c r="D500" s="228"/>
      <c r="E500" s="228"/>
      <c r="F500" s="228"/>
      <c r="G500" s="228"/>
      <c r="H500" s="228"/>
      <c r="I500" s="228"/>
      <c r="J500" s="228"/>
      <c r="K500" s="228"/>
      <c r="L500" s="228"/>
      <c r="M500" s="228"/>
      <c r="N500" s="228"/>
      <c r="O500" s="228"/>
      <c r="P500" s="228"/>
      <c r="Q500" s="228"/>
      <c r="R500" s="228"/>
      <c r="S500" s="228"/>
      <c r="T500" s="228"/>
      <c r="U500" s="228"/>
      <c r="V500" s="228"/>
      <c r="W500" s="228"/>
      <c r="X500" s="228"/>
      <c r="Y500" s="228"/>
      <c r="Z500" s="228"/>
      <c r="AA500" s="228"/>
      <c r="AB500" s="228"/>
      <c r="AC500" s="228"/>
      <c r="AD500" s="228"/>
      <c r="AE500" s="228"/>
      <c r="AF500" s="228"/>
      <c r="AG500" s="228"/>
      <c r="AH500" s="228"/>
      <c r="AI500" s="228"/>
      <c r="AJ500" s="228"/>
      <c r="AK500" s="228"/>
      <c r="AL500" s="228"/>
      <c r="AM500" s="228"/>
      <c r="AN500" s="228"/>
      <c r="AO500" s="228"/>
      <c r="AP500" s="228"/>
      <c r="AQ500" s="228"/>
      <c r="AR500" s="228"/>
      <c r="AS500" s="228"/>
      <c r="AT500" s="228"/>
      <c r="AU500" s="228"/>
      <c r="AV500" s="228"/>
      <c r="AW500" s="228"/>
      <c r="AX500" s="228"/>
      <c r="AY500" s="228"/>
      <c r="AZ500" s="228"/>
      <c r="BA500" s="228"/>
      <c r="BB500" s="228"/>
      <c r="BC500" s="228"/>
      <c r="BD500" s="228"/>
      <c r="BE500" s="228"/>
      <c r="BF500" s="228"/>
      <c r="BG500" s="228"/>
      <c r="BH500" s="228"/>
      <c r="BI500" s="228"/>
      <c r="BJ500" s="228"/>
      <c r="BK500" s="228"/>
      <c r="BL500" s="228"/>
      <c r="BM500" s="228"/>
      <c r="BN500" s="228"/>
      <c r="BO500" s="228"/>
      <c r="BP500" s="228"/>
      <c r="BQ500" s="228"/>
      <c r="BR500" s="228"/>
      <c r="BS500" s="228"/>
      <c r="BT500" s="228"/>
      <c r="BU500" s="228"/>
      <c r="BV500" s="228"/>
      <c r="BW500" s="228"/>
      <c r="BX500" s="228"/>
      <c r="BY500" s="228"/>
      <c r="BZ500" s="228"/>
      <c r="CA500" s="228"/>
      <c r="CB500" s="228"/>
      <c r="CC500" s="228"/>
      <c r="CD500" s="228"/>
      <c r="CE500" s="228"/>
      <c r="CF500" s="228"/>
      <c r="CG500" s="228"/>
      <c r="CH500" s="228"/>
      <c r="CI500" s="228"/>
      <c r="CJ500" s="228"/>
      <c r="CK500" s="228"/>
      <c r="CL500" s="228"/>
      <c r="CM500" s="228"/>
      <c r="CN500" s="228"/>
      <c r="CO500" s="228"/>
      <c r="CP500" s="228"/>
      <c r="CQ500" s="228"/>
      <c r="CR500" s="228"/>
      <c r="CS500" s="228"/>
      <c r="CT500" s="228"/>
      <c r="CU500" s="228"/>
      <c r="CV500" s="228"/>
      <c r="CW500" s="228"/>
      <c r="CX500" s="228"/>
      <c r="CY500" s="228"/>
      <c r="CZ500" s="228"/>
      <c r="DA500" s="228"/>
      <c r="DB500" s="228"/>
    </row>
    <row r="501" ht="12.0" customHeight="1">
      <c r="A501" s="228"/>
      <c r="B501" s="228"/>
      <c r="C501" s="228"/>
      <c r="D501" s="228"/>
      <c r="E501" s="228"/>
      <c r="F501" s="228"/>
      <c r="G501" s="228"/>
      <c r="H501" s="228"/>
      <c r="I501" s="228"/>
      <c r="J501" s="228"/>
      <c r="K501" s="228"/>
      <c r="L501" s="228"/>
      <c r="M501" s="228"/>
      <c r="N501" s="228"/>
      <c r="O501" s="228"/>
      <c r="P501" s="228"/>
      <c r="Q501" s="228"/>
      <c r="R501" s="228"/>
      <c r="S501" s="228"/>
      <c r="T501" s="228"/>
      <c r="U501" s="228"/>
      <c r="V501" s="228"/>
      <c r="W501" s="228"/>
      <c r="X501" s="228"/>
      <c r="Y501" s="228"/>
      <c r="Z501" s="228"/>
      <c r="AA501" s="228"/>
      <c r="AB501" s="228"/>
      <c r="AC501" s="228"/>
      <c r="AD501" s="228"/>
      <c r="AE501" s="228"/>
      <c r="AF501" s="228"/>
      <c r="AG501" s="228"/>
      <c r="AH501" s="228"/>
      <c r="AI501" s="228"/>
      <c r="AJ501" s="228"/>
      <c r="AK501" s="228"/>
      <c r="AL501" s="228"/>
      <c r="AM501" s="228"/>
      <c r="AN501" s="228"/>
      <c r="AO501" s="228"/>
      <c r="AP501" s="228"/>
      <c r="AQ501" s="228"/>
      <c r="AR501" s="228"/>
      <c r="AS501" s="228"/>
      <c r="AT501" s="228"/>
      <c r="AU501" s="228"/>
      <c r="AV501" s="228"/>
      <c r="AW501" s="228"/>
      <c r="AX501" s="228"/>
      <c r="AY501" s="228"/>
      <c r="AZ501" s="228"/>
      <c r="BA501" s="228"/>
      <c r="BB501" s="228"/>
      <c r="BC501" s="228"/>
      <c r="BD501" s="228"/>
      <c r="BE501" s="228"/>
      <c r="BF501" s="228"/>
      <c r="BG501" s="228"/>
      <c r="BH501" s="228"/>
      <c r="BI501" s="228"/>
      <c r="BJ501" s="228"/>
      <c r="BK501" s="228"/>
      <c r="BL501" s="228"/>
      <c r="BM501" s="228"/>
      <c r="BN501" s="228"/>
      <c r="BO501" s="228"/>
      <c r="BP501" s="228"/>
      <c r="BQ501" s="228"/>
      <c r="BR501" s="228"/>
      <c r="BS501" s="228"/>
      <c r="BT501" s="228"/>
      <c r="BU501" s="228"/>
      <c r="BV501" s="228"/>
      <c r="BW501" s="228"/>
      <c r="BX501" s="228"/>
      <c r="BY501" s="228"/>
      <c r="BZ501" s="228"/>
      <c r="CA501" s="228"/>
      <c r="CB501" s="228"/>
      <c r="CC501" s="228"/>
      <c r="CD501" s="228"/>
      <c r="CE501" s="228"/>
      <c r="CF501" s="228"/>
      <c r="CG501" s="228"/>
      <c r="CH501" s="228"/>
      <c r="CI501" s="228"/>
      <c r="CJ501" s="228"/>
      <c r="CK501" s="228"/>
      <c r="CL501" s="228"/>
      <c r="CM501" s="228"/>
      <c r="CN501" s="228"/>
      <c r="CO501" s="228"/>
      <c r="CP501" s="228"/>
      <c r="CQ501" s="228"/>
      <c r="CR501" s="228"/>
      <c r="CS501" s="228"/>
      <c r="CT501" s="228"/>
      <c r="CU501" s="228"/>
      <c r="CV501" s="228"/>
      <c r="CW501" s="228"/>
      <c r="CX501" s="228"/>
      <c r="CY501" s="228"/>
      <c r="CZ501" s="228"/>
      <c r="DA501" s="228"/>
      <c r="DB501" s="228"/>
    </row>
    <row r="502" ht="12.0" customHeight="1">
      <c r="A502" s="228"/>
      <c r="B502" s="228"/>
      <c r="C502" s="228"/>
      <c r="D502" s="228"/>
      <c r="E502" s="228"/>
      <c r="F502" s="228"/>
      <c r="G502" s="228"/>
      <c r="H502" s="228"/>
      <c r="I502" s="228"/>
      <c r="J502" s="228"/>
      <c r="K502" s="228"/>
      <c r="L502" s="228"/>
      <c r="M502" s="228"/>
      <c r="N502" s="228"/>
      <c r="O502" s="228"/>
      <c r="P502" s="228"/>
      <c r="Q502" s="228"/>
      <c r="R502" s="228"/>
      <c r="S502" s="228"/>
      <c r="T502" s="228"/>
      <c r="U502" s="228"/>
      <c r="V502" s="228"/>
      <c r="W502" s="228"/>
      <c r="X502" s="228"/>
      <c r="Y502" s="228"/>
      <c r="Z502" s="228"/>
      <c r="AA502" s="228"/>
      <c r="AB502" s="228"/>
      <c r="AC502" s="228"/>
      <c r="AD502" s="228"/>
      <c r="AE502" s="228"/>
      <c r="AF502" s="228"/>
      <c r="AG502" s="228"/>
      <c r="AH502" s="228"/>
      <c r="AI502" s="228"/>
      <c r="AJ502" s="228"/>
      <c r="AK502" s="228"/>
      <c r="AL502" s="228"/>
      <c r="AM502" s="228"/>
      <c r="AN502" s="228"/>
      <c r="AO502" s="228"/>
      <c r="AP502" s="228"/>
      <c r="AQ502" s="228"/>
      <c r="AR502" s="228"/>
      <c r="AS502" s="228"/>
      <c r="AT502" s="228"/>
      <c r="AU502" s="228"/>
      <c r="AV502" s="228"/>
      <c r="AW502" s="228"/>
      <c r="AX502" s="228"/>
      <c r="AY502" s="228"/>
      <c r="AZ502" s="228"/>
      <c r="BA502" s="228"/>
      <c r="BB502" s="228"/>
      <c r="BC502" s="228"/>
      <c r="BD502" s="228"/>
      <c r="BE502" s="228"/>
      <c r="BF502" s="228"/>
      <c r="BG502" s="228"/>
      <c r="BH502" s="228"/>
      <c r="BI502" s="228"/>
      <c r="BJ502" s="228"/>
      <c r="BK502" s="228"/>
      <c r="BL502" s="228"/>
      <c r="BM502" s="228"/>
      <c r="BN502" s="228"/>
      <c r="BO502" s="228"/>
      <c r="BP502" s="228"/>
      <c r="BQ502" s="228"/>
      <c r="BR502" s="228"/>
      <c r="BS502" s="228"/>
      <c r="BT502" s="228"/>
      <c r="BU502" s="228"/>
      <c r="BV502" s="228"/>
      <c r="BW502" s="228"/>
      <c r="BX502" s="228"/>
      <c r="BY502" s="228"/>
      <c r="BZ502" s="228"/>
      <c r="CA502" s="228"/>
      <c r="CB502" s="228"/>
      <c r="CC502" s="228"/>
      <c r="CD502" s="228"/>
      <c r="CE502" s="228"/>
      <c r="CF502" s="228"/>
      <c r="CG502" s="228"/>
      <c r="CH502" s="228"/>
      <c r="CI502" s="228"/>
      <c r="CJ502" s="228"/>
      <c r="CK502" s="228"/>
      <c r="CL502" s="228"/>
      <c r="CM502" s="228"/>
      <c r="CN502" s="228"/>
      <c r="CO502" s="228"/>
      <c r="CP502" s="228"/>
      <c r="CQ502" s="228"/>
      <c r="CR502" s="228"/>
      <c r="CS502" s="228"/>
      <c r="CT502" s="228"/>
      <c r="CU502" s="228"/>
      <c r="CV502" s="228"/>
      <c r="CW502" s="228"/>
      <c r="CX502" s="228"/>
      <c r="CY502" s="228"/>
      <c r="CZ502" s="228"/>
      <c r="DA502" s="228"/>
      <c r="DB502" s="228"/>
    </row>
    <row r="503" ht="12.0" customHeight="1">
      <c r="A503" s="228"/>
      <c r="B503" s="228"/>
      <c r="C503" s="228"/>
      <c r="D503" s="228"/>
      <c r="E503" s="228"/>
      <c r="F503" s="228"/>
      <c r="G503" s="228"/>
      <c r="H503" s="228"/>
      <c r="I503" s="228"/>
      <c r="J503" s="228"/>
      <c r="K503" s="228"/>
      <c r="L503" s="228"/>
      <c r="M503" s="228"/>
      <c r="N503" s="228"/>
      <c r="O503" s="228"/>
      <c r="P503" s="228"/>
      <c r="Q503" s="228"/>
      <c r="R503" s="228"/>
      <c r="S503" s="228"/>
      <c r="T503" s="228"/>
      <c r="U503" s="228"/>
      <c r="V503" s="228"/>
      <c r="W503" s="228"/>
      <c r="X503" s="228"/>
      <c r="Y503" s="228"/>
      <c r="Z503" s="228"/>
      <c r="AA503" s="228"/>
      <c r="AB503" s="228"/>
      <c r="AC503" s="228"/>
      <c r="AD503" s="228"/>
      <c r="AE503" s="228"/>
      <c r="AF503" s="228"/>
      <c r="AG503" s="228"/>
      <c r="AH503" s="228"/>
      <c r="AI503" s="228"/>
      <c r="AJ503" s="228"/>
      <c r="AK503" s="228"/>
      <c r="AL503" s="228"/>
      <c r="AM503" s="228"/>
      <c r="AN503" s="228"/>
      <c r="AO503" s="228"/>
      <c r="AP503" s="228"/>
      <c r="AQ503" s="228"/>
      <c r="AR503" s="228"/>
      <c r="AS503" s="228"/>
      <c r="AT503" s="228"/>
      <c r="AU503" s="228"/>
      <c r="AV503" s="228"/>
      <c r="AW503" s="228"/>
      <c r="AX503" s="228"/>
      <c r="AY503" s="228"/>
      <c r="AZ503" s="228"/>
      <c r="BA503" s="228"/>
      <c r="BB503" s="228"/>
      <c r="BC503" s="228"/>
      <c r="BD503" s="228"/>
      <c r="BE503" s="228"/>
      <c r="BF503" s="228"/>
      <c r="BG503" s="228"/>
      <c r="BH503" s="228"/>
      <c r="BI503" s="228"/>
      <c r="BJ503" s="228"/>
      <c r="BK503" s="228"/>
      <c r="BL503" s="228"/>
      <c r="BM503" s="228"/>
      <c r="BN503" s="228"/>
      <c r="BO503" s="228"/>
      <c r="BP503" s="228"/>
      <c r="BQ503" s="228"/>
      <c r="BR503" s="228"/>
      <c r="BS503" s="228"/>
      <c r="BT503" s="228"/>
      <c r="BU503" s="228"/>
      <c r="BV503" s="228"/>
      <c r="BW503" s="228"/>
      <c r="BX503" s="228"/>
      <c r="BY503" s="228"/>
      <c r="BZ503" s="228"/>
      <c r="CA503" s="228"/>
      <c r="CB503" s="228"/>
      <c r="CC503" s="228"/>
      <c r="CD503" s="228"/>
      <c r="CE503" s="228"/>
      <c r="CF503" s="228"/>
      <c r="CG503" s="228"/>
      <c r="CH503" s="228"/>
      <c r="CI503" s="228"/>
      <c r="CJ503" s="228"/>
      <c r="CK503" s="228"/>
      <c r="CL503" s="228"/>
      <c r="CM503" s="228"/>
      <c r="CN503" s="228"/>
      <c r="CO503" s="228"/>
      <c r="CP503" s="228"/>
      <c r="CQ503" s="228"/>
      <c r="CR503" s="228"/>
      <c r="CS503" s="228"/>
      <c r="CT503" s="228"/>
      <c r="CU503" s="228"/>
      <c r="CV503" s="228"/>
      <c r="CW503" s="228"/>
      <c r="CX503" s="228"/>
      <c r="CY503" s="228"/>
      <c r="CZ503" s="228"/>
      <c r="DA503" s="228"/>
      <c r="DB503" s="228"/>
    </row>
    <row r="504" ht="12.0" customHeight="1">
      <c r="A504" s="228"/>
      <c r="B504" s="228"/>
      <c r="C504" s="228"/>
      <c r="D504" s="228"/>
      <c r="E504" s="228"/>
      <c r="F504" s="228"/>
      <c r="G504" s="228"/>
      <c r="H504" s="228"/>
      <c r="I504" s="228"/>
      <c r="J504" s="228"/>
      <c r="K504" s="228"/>
      <c r="L504" s="228"/>
      <c r="M504" s="228"/>
      <c r="N504" s="228"/>
      <c r="O504" s="228"/>
      <c r="P504" s="228"/>
      <c r="Q504" s="228"/>
      <c r="R504" s="228"/>
      <c r="S504" s="228"/>
      <c r="T504" s="228"/>
      <c r="U504" s="228"/>
      <c r="V504" s="228"/>
      <c r="W504" s="228"/>
      <c r="X504" s="228"/>
      <c r="Y504" s="228"/>
      <c r="Z504" s="228"/>
      <c r="AA504" s="228"/>
      <c r="AB504" s="228"/>
      <c r="AC504" s="228"/>
      <c r="AD504" s="228"/>
      <c r="AE504" s="228"/>
      <c r="AF504" s="228"/>
      <c r="AG504" s="228"/>
      <c r="AH504" s="228"/>
      <c r="AI504" s="228"/>
      <c r="AJ504" s="228"/>
      <c r="AK504" s="228"/>
      <c r="AL504" s="228"/>
      <c r="AM504" s="228"/>
      <c r="AN504" s="228"/>
      <c r="AO504" s="228"/>
      <c r="AP504" s="228"/>
      <c r="AQ504" s="228"/>
      <c r="AR504" s="228"/>
      <c r="AS504" s="228"/>
      <c r="AT504" s="228"/>
      <c r="AU504" s="228"/>
      <c r="AV504" s="228"/>
      <c r="AW504" s="228"/>
      <c r="AX504" s="228"/>
      <c r="AY504" s="228"/>
      <c r="AZ504" s="228"/>
      <c r="BA504" s="228"/>
      <c r="BB504" s="228"/>
      <c r="BC504" s="228"/>
      <c r="BD504" s="228"/>
      <c r="BE504" s="228"/>
      <c r="BF504" s="228"/>
      <c r="BG504" s="228"/>
      <c r="BH504" s="228"/>
      <c r="BI504" s="228"/>
      <c r="BJ504" s="228"/>
      <c r="BK504" s="228"/>
      <c r="BL504" s="228"/>
      <c r="BM504" s="228"/>
      <c r="BN504" s="228"/>
      <c r="BO504" s="228"/>
      <c r="BP504" s="228"/>
      <c r="BQ504" s="228"/>
      <c r="BR504" s="228"/>
      <c r="BS504" s="228"/>
      <c r="BT504" s="228"/>
      <c r="BU504" s="228"/>
      <c r="BV504" s="228"/>
      <c r="BW504" s="228"/>
      <c r="BX504" s="228"/>
      <c r="BY504" s="228"/>
      <c r="BZ504" s="228"/>
      <c r="CA504" s="228"/>
      <c r="CB504" s="228"/>
      <c r="CC504" s="228"/>
      <c r="CD504" s="228"/>
      <c r="CE504" s="228"/>
      <c r="CF504" s="228"/>
      <c r="CG504" s="228"/>
      <c r="CH504" s="228"/>
      <c r="CI504" s="228"/>
      <c r="CJ504" s="228"/>
      <c r="CK504" s="228"/>
      <c r="CL504" s="228"/>
      <c r="CM504" s="228"/>
      <c r="CN504" s="228"/>
      <c r="CO504" s="228"/>
      <c r="CP504" s="228"/>
      <c r="CQ504" s="228"/>
      <c r="CR504" s="228"/>
      <c r="CS504" s="228"/>
      <c r="CT504" s="228"/>
      <c r="CU504" s="228"/>
      <c r="CV504" s="228"/>
      <c r="CW504" s="228"/>
      <c r="CX504" s="228"/>
      <c r="CY504" s="228"/>
      <c r="CZ504" s="228"/>
      <c r="DA504" s="228"/>
      <c r="DB504" s="228"/>
    </row>
    <row r="505" ht="12.0" customHeight="1">
      <c r="A505" s="228"/>
      <c r="B505" s="228"/>
      <c r="C505" s="228"/>
      <c r="D505" s="228"/>
      <c r="E505" s="228"/>
      <c r="F505" s="228"/>
      <c r="G505" s="228"/>
      <c r="H505" s="228"/>
      <c r="I505" s="228"/>
      <c r="J505" s="228"/>
      <c r="K505" s="228"/>
      <c r="L505" s="228"/>
      <c r="M505" s="228"/>
      <c r="N505" s="228"/>
      <c r="O505" s="228"/>
      <c r="P505" s="228"/>
      <c r="Q505" s="228"/>
      <c r="R505" s="228"/>
      <c r="S505" s="228"/>
      <c r="T505" s="228"/>
      <c r="U505" s="228"/>
      <c r="V505" s="228"/>
      <c r="W505" s="228"/>
      <c r="X505" s="228"/>
      <c r="Y505" s="228"/>
      <c r="Z505" s="228"/>
      <c r="AA505" s="228"/>
      <c r="AB505" s="228"/>
      <c r="AC505" s="228"/>
      <c r="AD505" s="228"/>
      <c r="AE505" s="228"/>
      <c r="AF505" s="228"/>
      <c r="AG505" s="228"/>
      <c r="AH505" s="228"/>
      <c r="AI505" s="228"/>
      <c r="AJ505" s="228"/>
      <c r="AK505" s="228"/>
      <c r="AL505" s="228"/>
      <c r="AM505" s="228"/>
      <c r="AN505" s="228"/>
      <c r="AO505" s="228"/>
      <c r="AP505" s="228"/>
      <c r="AQ505" s="228"/>
      <c r="AR505" s="228"/>
      <c r="AS505" s="228"/>
      <c r="AT505" s="228"/>
      <c r="AU505" s="228"/>
      <c r="AV505" s="228"/>
      <c r="AW505" s="228"/>
      <c r="AX505" s="228"/>
      <c r="AY505" s="228"/>
      <c r="AZ505" s="228"/>
      <c r="BA505" s="228"/>
      <c r="BB505" s="228"/>
      <c r="BC505" s="228"/>
      <c r="BD505" s="228"/>
      <c r="BE505" s="228"/>
      <c r="BF505" s="228"/>
      <c r="BG505" s="228"/>
      <c r="BH505" s="228"/>
      <c r="BI505" s="228"/>
      <c r="BJ505" s="228"/>
      <c r="BK505" s="228"/>
      <c r="BL505" s="228"/>
      <c r="BM505" s="228"/>
      <c r="BN505" s="228"/>
      <c r="BO505" s="228"/>
      <c r="BP505" s="228"/>
      <c r="BQ505" s="228"/>
      <c r="BR505" s="228"/>
      <c r="BS505" s="228"/>
      <c r="BT505" s="228"/>
      <c r="BU505" s="228"/>
      <c r="BV505" s="228"/>
      <c r="BW505" s="228"/>
      <c r="BX505" s="228"/>
      <c r="BY505" s="228"/>
      <c r="BZ505" s="228"/>
      <c r="CA505" s="228"/>
      <c r="CB505" s="228"/>
      <c r="CC505" s="228"/>
      <c r="CD505" s="228"/>
      <c r="CE505" s="228"/>
      <c r="CF505" s="228"/>
      <c r="CG505" s="228"/>
      <c r="CH505" s="228"/>
      <c r="CI505" s="228"/>
      <c r="CJ505" s="228"/>
      <c r="CK505" s="228"/>
      <c r="CL505" s="228"/>
      <c r="CM505" s="228"/>
      <c r="CN505" s="228"/>
      <c r="CO505" s="228"/>
      <c r="CP505" s="228"/>
      <c r="CQ505" s="228"/>
      <c r="CR505" s="228"/>
      <c r="CS505" s="228"/>
      <c r="CT505" s="228"/>
      <c r="CU505" s="228"/>
      <c r="CV505" s="228"/>
      <c r="CW505" s="228"/>
      <c r="CX505" s="228"/>
      <c r="CY505" s="228"/>
      <c r="CZ505" s="228"/>
      <c r="DA505" s="228"/>
      <c r="DB505" s="228"/>
    </row>
    <row r="506" ht="12.0" customHeight="1">
      <c r="A506" s="228"/>
      <c r="B506" s="228"/>
      <c r="C506" s="228"/>
      <c r="D506" s="228"/>
      <c r="E506" s="228"/>
      <c r="F506" s="228"/>
      <c r="G506" s="228"/>
      <c r="H506" s="228"/>
      <c r="I506" s="228"/>
      <c r="J506" s="228"/>
      <c r="K506" s="228"/>
      <c r="L506" s="228"/>
      <c r="M506" s="228"/>
      <c r="N506" s="228"/>
      <c r="O506" s="228"/>
      <c r="P506" s="228"/>
      <c r="Q506" s="228"/>
      <c r="R506" s="228"/>
      <c r="S506" s="228"/>
      <c r="T506" s="228"/>
      <c r="U506" s="228"/>
      <c r="V506" s="228"/>
      <c r="W506" s="228"/>
      <c r="X506" s="228"/>
      <c r="Y506" s="228"/>
      <c r="Z506" s="228"/>
      <c r="AA506" s="228"/>
      <c r="AB506" s="228"/>
      <c r="AC506" s="228"/>
      <c r="AD506" s="228"/>
      <c r="AE506" s="228"/>
      <c r="AF506" s="228"/>
      <c r="AG506" s="228"/>
      <c r="AH506" s="228"/>
      <c r="AI506" s="228"/>
      <c r="AJ506" s="228"/>
      <c r="AK506" s="228"/>
      <c r="AL506" s="228"/>
      <c r="AM506" s="228"/>
      <c r="AN506" s="228"/>
      <c r="AO506" s="228"/>
      <c r="AP506" s="228"/>
      <c r="AQ506" s="228"/>
      <c r="AR506" s="228"/>
      <c r="AS506" s="228"/>
      <c r="AT506" s="228"/>
      <c r="AU506" s="228"/>
      <c r="AV506" s="228"/>
      <c r="AW506" s="228"/>
      <c r="AX506" s="228"/>
      <c r="AY506" s="228"/>
      <c r="AZ506" s="228"/>
      <c r="BA506" s="228"/>
      <c r="BB506" s="228"/>
      <c r="BC506" s="228"/>
      <c r="BD506" s="228"/>
      <c r="BE506" s="228"/>
      <c r="BF506" s="228"/>
      <c r="BG506" s="228"/>
      <c r="BH506" s="228"/>
      <c r="BI506" s="228"/>
      <c r="BJ506" s="228"/>
      <c r="BK506" s="228"/>
      <c r="BL506" s="228"/>
      <c r="BM506" s="228"/>
      <c r="BN506" s="228"/>
      <c r="BO506" s="228"/>
      <c r="BP506" s="228"/>
      <c r="BQ506" s="228"/>
      <c r="BR506" s="228"/>
      <c r="BS506" s="228"/>
      <c r="BT506" s="228"/>
      <c r="BU506" s="228"/>
      <c r="BV506" s="228"/>
      <c r="BW506" s="228"/>
      <c r="BX506" s="228"/>
      <c r="BY506" s="228"/>
      <c r="BZ506" s="228"/>
      <c r="CA506" s="228"/>
      <c r="CB506" s="228"/>
      <c r="CC506" s="228"/>
      <c r="CD506" s="228"/>
      <c r="CE506" s="228"/>
      <c r="CF506" s="228"/>
      <c r="CG506" s="228"/>
      <c r="CH506" s="228"/>
      <c r="CI506" s="228"/>
      <c r="CJ506" s="228"/>
      <c r="CK506" s="228"/>
      <c r="CL506" s="228"/>
      <c r="CM506" s="228"/>
      <c r="CN506" s="228"/>
      <c r="CO506" s="228"/>
      <c r="CP506" s="228"/>
      <c r="CQ506" s="228"/>
      <c r="CR506" s="228"/>
      <c r="CS506" s="228"/>
      <c r="CT506" s="228"/>
      <c r="CU506" s="228"/>
      <c r="CV506" s="228"/>
      <c r="CW506" s="228"/>
      <c r="CX506" s="228"/>
      <c r="CY506" s="228"/>
      <c r="CZ506" s="228"/>
      <c r="DA506" s="228"/>
      <c r="DB506" s="228"/>
    </row>
    <row r="507" ht="12.0" customHeight="1">
      <c r="A507" s="228"/>
      <c r="B507" s="228"/>
      <c r="C507" s="228"/>
      <c r="D507" s="228"/>
      <c r="E507" s="228"/>
      <c r="F507" s="228"/>
      <c r="G507" s="228"/>
      <c r="H507" s="228"/>
      <c r="I507" s="228"/>
      <c r="J507" s="228"/>
      <c r="K507" s="228"/>
      <c r="L507" s="228"/>
      <c r="M507" s="228"/>
      <c r="N507" s="228"/>
      <c r="O507" s="228"/>
      <c r="P507" s="228"/>
      <c r="Q507" s="228"/>
      <c r="R507" s="228"/>
      <c r="S507" s="228"/>
      <c r="T507" s="228"/>
      <c r="U507" s="228"/>
      <c r="V507" s="228"/>
      <c r="W507" s="228"/>
      <c r="X507" s="228"/>
      <c r="Y507" s="228"/>
      <c r="Z507" s="228"/>
      <c r="AA507" s="228"/>
      <c r="AB507" s="228"/>
      <c r="AC507" s="228"/>
      <c r="AD507" s="228"/>
      <c r="AE507" s="228"/>
      <c r="AF507" s="228"/>
      <c r="AG507" s="228"/>
      <c r="AH507" s="228"/>
      <c r="AI507" s="228"/>
      <c r="AJ507" s="228"/>
      <c r="AK507" s="228"/>
      <c r="AL507" s="228"/>
      <c r="AM507" s="228"/>
      <c r="AN507" s="228"/>
      <c r="AO507" s="228"/>
      <c r="AP507" s="228"/>
      <c r="AQ507" s="228"/>
      <c r="AR507" s="228"/>
      <c r="AS507" s="228"/>
      <c r="AT507" s="228"/>
      <c r="AU507" s="228"/>
      <c r="AV507" s="228"/>
      <c r="AW507" s="228"/>
      <c r="AX507" s="228"/>
      <c r="AY507" s="228"/>
      <c r="AZ507" s="228"/>
      <c r="BA507" s="228"/>
      <c r="BB507" s="228"/>
      <c r="BC507" s="228"/>
      <c r="BD507" s="228"/>
      <c r="BE507" s="228"/>
      <c r="BF507" s="228"/>
      <c r="BG507" s="228"/>
      <c r="BH507" s="228"/>
      <c r="BI507" s="228"/>
      <c r="BJ507" s="228"/>
      <c r="BK507" s="228"/>
      <c r="BL507" s="228"/>
      <c r="BM507" s="228"/>
      <c r="BN507" s="228"/>
      <c r="BO507" s="228"/>
      <c r="BP507" s="228"/>
      <c r="BQ507" s="228"/>
      <c r="BR507" s="228"/>
      <c r="BS507" s="228"/>
      <c r="BT507" s="228"/>
      <c r="BU507" s="228"/>
      <c r="BV507" s="228"/>
      <c r="BW507" s="228"/>
      <c r="BX507" s="228"/>
      <c r="BY507" s="228"/>
      <c r="BZ507" s="228"/>
      <c r="CA507" s="228"/>
      <c r="CB507" s="228"/>
      <c r="CC507" s="228"/>
      <c r="CD507" s="228"/>
      <c r="CE507" s="228"/>
      <c r="CF507" s="228"/>
      <c r="CG507" s="228"/>
      <c r="CH507" s="228"/>
      <c r="CI507" s="228"/>
      <c r="CJ507" s="228"/>
      <c r="CK507" s="228"/>
      <c r="CL507" s="228"/>
      <c r="CM507" s="228"/>
      <c r="CN507" s="228"/>
      <c r="CO507" s="228"/>
      <c r="CP507" s="228"/>
      <c r="CQ507" s="228"/>
      <c r="CR507" s="228"/>
      <c r="CS507" s="228"/>
      <c r="CT507" s="228"/>
      <c r="CU507" s="228"/>
      <c r="CV507" s="228"/>
      <c r="CW507" s="228"/>
      <c r="CX507" s="228"/>
      <c r="CY507" s="228"/>
      <c r="CZ507" s="228"/>
      <c r="DA507" s="228"/>
      <c r="DB507" s="228"/>
    </row>
    <row r="508" ht="12.0" customHeight="1">
      <c r="A508" s="228"/>
      <c r="B508" s="228"/>
      <c r="C508" s="228"/>
      <c r="D508" s="228"/>
      <c r="E508" s="228"/>
      <c r="F508" s="228"/>
      <c r="G508" s="228"/>
      <c r="H508" s="228"/>
      <c r="I508" s="228"/>
      <c r="J508" s="228"/>
      <c r="K508" s="228"/>
      <c r="L508" s="228"/>
      <c r="M508" s="228"/>
      <c r="N508" s="228"/>
      <c r="O508" s="228"/>
      <c r="P508" s="228"/>
      <c r="Q508" s="228"/>
      <c r="R508" s="228"/>
      <c r="S508" s="228"/>
      <c r="T508" s="228"/>
      <c r="U508" s="228"/>
      <c r="V508" s="228"/>
      <c r="W508" s="228"/>
      <c r="X508" s="228"/>
      <c r="Y508" s="228"/>
      <c r="Z508" s="228"/>
      <c r="AA508" s="228"/>
      <c r="AB508" s="228"/>
      <c r="AC508" s="228"/>
      <c r="AD508" s="228"/>
      <c r="AE508" s="228"/>
      <c r="AF508" s="228"/>
      <c r="AG508" s="228"/>
      <c r="AH508" s="228"/>
      <c r="AI508" s="228"/>
      <c r="AJ508" s="228"/>
      <c r="AK508" s="228"/>
      <c r="AL508" s="228"/>
      <c r="AM508" s="228"/>
      <c r="AN508" s="228"/>
      <c r="AO508" s="228"/>
      <c r="AP508" s="228"/>
      <c r="AQ508" s="228"/>
      <c r="AR508" s="228"/>
      <c r="AS508" s="228"/>
      <c r="AT508" s="228"/>
      <c r="AU508" s="228"/>
      <c r="AV508" s="228"/>
      <c r="AW508" s="228"/>
      <c r="AX508" s="228"/>
      <c r="AY508" s="228"/>
      <c r="AZ508" s="228"/>
      <c r="BA508" s="228"/>
      <c r="BB508" s="228"/>
      <c r="BC508" s="228"/>
      <c r="BD508" s="228"/>
      <c r="BE508" s="228"/>
      <c r="BF508" s="228"/>
      <c r="BG508" s="228"/>
      <c r="BH508" s="228"/>
      <c r="BI508" s="228"/>
      <c r="BJ508" s="228"/>
      <c r="BK508" s="228"/>
      <c r="BL508" s="228"/>
      <c r="BM508" s="228"/>
      <c r="BN508" s="228"/>
      <c r="BO508" s="228"/>
      <c r="BP508" s="228"/>
      <c r="BQ508" s="228"/>
      <c r="BR508" s="228"/>
      <c r="BS508" s="228"/>
      <c r="BT508" s="228"/>
      <c r="BU508" s="228"/>
      <c r="BV508" s="228"/>
      <c r="BW508" s="228"/>
      <c r="BX508" s="228"/>
      <c r="BY508" s="228"/>
      <c r="BZ508" s="228"/>
      <c r="CA508" s="228"/>
      <c r="CB508" s="228"/>
      <c r="CC508" s="228"/>
      <c r="CD508" s="228"/>
      <c r="CE508" s="228"/>
      <c r="CF508" s="228"/>
      <c r="CG508" s="228"/>
      <c r="CH508" s="228"/>
      <c r="CI508" s="228"/>
      <c r="CJ508" s="228"/>
      <c r="CK508" s="228"/>
      <c r="CL508" s="228"/>
      <c r="CM508" s="228"/>
      <c r="CN508" s="228"/>
      <c r="CO508" s="228"/>
      <c r="CP508" s="228"/>
      <c r="CQ508" s="228"/>
      <c r="CR508" s="228"/>
      <c r="CS508" s="228"/>
      <c r="CT508" s="228"/>
      <c r="CU508" s="228"/>
      <c r="CV508" s="228"/>
      <c r="CW508" s="228"/>
      <c r="CX508" s="228"/>
      <c r="CY508" s="228"/>
      <c r="CZ508" s="228"/>
      <c r="DA508" s="228"/>
      <c r="DB508" s="228"/>
    </row>
    <row r="509" ht="12.0" customHeight="1">
      <c r="A509" s="228"/>
      <c r="B509" s="228"/>
      <c r="C509" s="228"/>
      <c r="D509" s="228"/>
      <c r="E509" s="228"/>
      <c r="F509" s="228"/>
      <c r="G509" s="228"/>
      <c r="H509" s="228"/>
      <c r="I509" s="228"/>
      <c r="J509" s="228"/>
      <c r="K509" s="228"/>
      <c r="L509" s="228"/>
      <c r="M509" s="228"/>
      <c r="N509" s="228"/>
      <c r="O509" s="228"/>
      <c r="P509" s="228"/>
      <c r="Q509" s="228"/>
      <c r="R509" s="228"/>
      <c r="S509" s="228"/>
      <c r="T509" s="228"/>
      <c r="U509" s="228"/>
      <c r="V509" s="228"/>
      <c r="W509" s="228"/>
      <c r="X509" s="228"/>
      <c r="Y509" s="228"/>
      <c r="Z509" s="228"/>
      <c r="AA509" s="228"/>
      <c r="AB509" s="228"/>
      <c r="AC509" s="228"/>
      <c r="AD509" s="228"/>
      <c r="AE509" s="228"/>
      <c r="AF509" s="228"/>
      <c r="AG509" s="228"/>
      <c r="AH509" s="228"/>
      <c r="AI509" s="228"/>
      <c r="AJ509" s="228"/>
      <c r="AK509" s="228"/>
      <c r="AL509" s="228"/>
      <c r="AM509" s="228"/>
      <c r="AN509" s="228"/>
      <c r="AO509" s="228"/>
      <c r="AP509" s="228"/>
      <c r="AQ509" s="228"/>
      <c r="AR509" s="228"/>
      <c r="AS509" s="228"/>
      <c r="AT509" s="228"/>
      <c r="AU509" s="228"/>
      <c r="AV509" s="228"/>
      <c r="AW509" s="228"/>
      <c r="AX509" s="228"/>
      <c r="AY509" s="228"/>
      <c r="AZ509" s="228"/>
      <c r="BA509" s="228"/>
      <c r="BB509" s="228"/>
      <c r="BC509" s="228"/>
      <c r="BD509" s="228"/>
      <c r="BE509" s="228"/>
      <c r="BF509" s="228"/>
      <c r="BG509" s="228"/>
      <c r="BH509" s="228"/>
      <c r="BI509" s="228"/>
      <c r="BJ509" s="228"/>
      <c r="BK509" s="228"/>
      <c r="BL509" s="228"/>
      <c r="BM509" s="228"/>
      <c r="BN509" s="228"/>
      <c r="BO509" s="228"/>
      <c r="BP509" s="228"/>
      <c r="BQ509" s="228"/>
      <c r="BR509" s="228"/>
      <c r="BS509" s="228"/>
      <c r="BT509" s="228"/>
      <c r="BU509" s="228"/>
      <c r="BV509" s="228"/>
      <c r="BW509" s="228"/>
      <c r="BX509" s="228"/>
      <c r="BY509" s="228"/>
      <c r="BZ509" s="228"/>
      <c r="CA509" s="228"/>
      <c r="CB509" s="228"/>
      <c r="CC509" s="228"/>
      <c r="CD509" s="228"/>
      <c r="CE509" s="228"/>
      <c r="CF509" s="228"/>
      <c r="CG509" s="228"/>
      <c r="CH509" s="228"/>
      <c r="CI509" s="228"/>
      <c r="CJ509" s="228"/>
      <c r="CK509" s="228"/>
      <c r="CL509" s="228"/>
      <c r="CM509" s="228"/>
      <c r="CN509" s="228"/>
      <c r="CO509" s="228"/>
      <c r="CP509" s="228"/>
      <c r="CQ509" s="228"/>
      <c r="CR509" s="228"/>
      <c r="CS509" s="228"/>
      <c r="CT509" s="228"/>
      <c r="CU509" s="228"/>
      <c r="CV509" s="228"/>
      <c r="CW509" s="228"/>
      <c r="CX509" s="228"/>
      <c r="CY509" s="228"/>
      <c r="CZ509" s="228"/>
      <c r="DA509" s="228"/>
      <c r="DB509" s="228"/>
    </row>
    <row r="510" ht="12.0" customHeight="1">
      <c r="A510" s="228"/>
      <c r="B510" s="228"/>
      <c r="C510" s="228"/>
      <c r="D510" s="228"/>
      <c r="E510" s="228"/>
      <c r="F510" s="228"/>
      <c r="G510" s="228"/>
      <c r="H510" s="228"/>
      <c r="I510" s="228"/>
      <c r="J510" s="228"/>
      <c r="K510" s="228"/>
      <c r="L510" s="228"/>
      <c r="M510" s="228"/>
      <c r="N510" s="228"/>
      <c r="O510" s="228"/>
      <c r="P510" s="228"/>
      <c r="Q510" s="228"/>
      <c r="R510" s="228"/>
      <c r="S510" s="228"/>
      <c r="T510" s="228"/>
      <c r="U510" s="228"/>
      <c r="V510" s="228"/>
      <c r="W510" s="228"/>
      <c r="X510" s="228"/>
      <c r="Y510" s="228"/>
      <c r="Z510" s="228"/>
      <c r="AA510" s="228"/>
      <c r="AB510" s="228"/>
      <c r="AC510" s="228"/>
      <c r="AD510" s="228"/>
      <c r="AE510" s="228"/>
      <c r="AF510" s="228"/>
      <c r="AG510" s="228"/>
      <c r="AH510" s="228"/>
      <c r="AI510" s="228"/>
      <c r="AJ510" s="228"/>
      <c r="AK510" s="228"/>
      <c r="AL510" s="228"/>
      <c r="AM510" s="228"/>
      <c r="AN510" s="228"/>
      <c r="AO510" s="228"/>
      <c r="AP510" s="228"/>
      <c r="AQ510" s="228"/>
      <c r="AR510" s="228"/>
      <c r="AS510" s="228"/>
      <c r="AT510" s="228"/>
      <c r="AU510" s="228"/>
      <c r="AV510" s="228"/>
      <c r="AW510" s="228"/>
      <c r="AX510" s="228"/>
      <c r="AY510" s="228"/>
      <c r="AZ510" s="228"/>
      <c r="BA510" s="228"/>
      <c r="BB510" s="228"/>
      <c r="BC510" s="228"/>
      <c r="BD510" s="228"/>
      <c r="BE510" s="228"/>
      <c r="BF510" s="228"/>
      <c r="BG510" s="228"/>
      <c r="BH510" s="228"/>
      <c r="BI510" s="228"/>
      <c r="BJ510" s="228"/>
      <c r="BK510" s="228"/>
      <c r="BL510" s="228"/>
      <c r="BM510" s="228"/>
      <c r="BN510" s="228"/>
      <c r="BO510" s="228"/>
      <c r="BP510" s="228"/>
      <c r="BQ510" s="228"/>
      <c r="BR510" s="228"/>
      <c r="BS510" s="228"/>
      <c r="BT510" s="228"/>
      <c r="BU510" s="228"/>
      <c r="BV510" s="228"/>
      <c r="BW510" s="228"/>
      <c r="BX510" s="228"/>
      <c r="BY510" s="228"/>
      <c r="BZ510" s="228"/>
      <c r="CA510" s="228"/>
      <c r="CB510" s="228"/>
      <c r="CC510" s="228"/>
      <c r="CD510" s="228"/>
      <c r="CE510" s="228"/>
      <c r="CF510" s="228"/>
      <c r="CG510" s="228"/>
      <c r="CH510" s="228"/>
      <c r="CI510" s="228"/>
      <c r="CJ510" s="228"/>
      <c r="CK510" s="228"/>
      <c r="CL510" s="228"/>
      <c r="CM510" s="228"/>
      <c r="CN510" s="228"/>
      <c r="CO510" s="228"/>
      <c r="CP510" s="228"/>
      <c r="CQ510" s="228"/>
      <c r="CR510" s="228"/>
      <c r="CS510" s="228"/>
      <c r="CT510" s="228"/>
      <c r="CU510" s="228"/>
      <c r="CV510" s="228"/>
      <c r="CW510" s="228"/>
      <c r="CX510" s="228"/>
      <c r="CY510" s="228"/>
      <c r="CZ510" s="228"/>
      <c r="DA510" s="228"/>
      <c r="DB510" s="228"/>
    </row>
    <row r="511" ht="12.0" customHeight="1">
      <c r="A511" s="228"/>
      <c r="B511" s="228"/>
      <c r="C511" s="228"/>
      <c r="D511" s="228"/>
      <c r="E511" s="228"/>
      <c r="F511" s="228"/>
      <c r="G511" s="228"/>
      <c r="H511" s="228"/>
      <c r="I511" s="228"/>
      <c r="J511" s="228"/>
      <c r="K511" s="228"/>
      <c r="L511" s="228"/>
      <c r="M511" s="228"/>
      <c r="N511" s="228"/>
      <c r="O511" s="228"/>
      <c r="P511" s="228"/>
      <c r="Q511" s="228"/>
      <c r="R511" s="228"/>
      <c r="S511" s="228"/>
      <c r="T511" s="228"/>
      <c r="U511" s="228"/>
      <c r="V511" s="228"/>
      <c r="W511" s="228"/>
      <c r="X511" s="228"/>
      <c r="Y511" s="228"/>
      <c r="Z511" s="228"/>
      <c r="AA511" s="228"/>
      <c r="AB511" s="228"/>
      <c r="AC511" s="228"/>
      <c r="AD511" s="228"/>
      <c r="AE511" s="228"/>
      <c r="AF511" s="228"/>
      <c r="AG511" s="228"/>
      <c r="AH511" s="228"/>
      <c r="AI511" s="228"/>
      <c r="AJ511" s="228"/>
      <c r="AK511" s="228"/>
      <c r="AL511" s="228"/>
      <c r="AM511" s="228"/>
      <c r="AN511" s="228"/>
      <c r="AO511" s="228"/>
      <c r="AP511" s="228"/>
      <c r="AQ511" s="228"/>
      <c r="AR511" s="228"/>
      <c r="AS511" s="228"/>
      <c r="AT511" s="228"/>
      <c r="AU511" s="228"/>
      <c r="AV511" s="228"/>
      <c r="AW511" s="228"/>
      <c r="AX511" s="228"/>
      <c r="AY511" s="228"/>
      <c r="AZ511" s="228"/>
      <c r="BA511" s="228"/>
      <c r="BB511" s="228"/>
      <c r="BC511" s="228"/>
      <c r="BD511" s="228"/>
      <c r="BE511" s="228"/>
      <c r="BF511" s="228"/>
      <c r="BG511" s="228"/>
      <c r="BH511" s="228"/>
      <c r="BI511" s="228"/>
      <c r="BJ511" s="228"/>
      <c r="BK511" s="228"/>
      <c r="BL511" s="228"/>
      <c r="BM511" s="228"/>
      <c r="BN511" s="228"/>
      <c r="BO511" s="228"/>
      <c r="BP511" s="228"/>
      <c r="BQ511" s="228"/>
      <c r="BR511" s="228"/>
      <c r="BS511" s="228"/>
      <c r="BT511" s="228"/>
      <c r="BU511" s="228"/>
      <c r="BV511" s="228"/>
      <c r="BW511" s="228"/>
      <c r="BX511" s="228"/>
      <c r="BY511" s="228"/>
      <c r="BZ511" s="228"/>
      <c r="CA511" s="228"/>
      <c r="CB511" s="228"/>
      <c r="CC511" s="228"/>
      <c r="CD511" s="228"/>
      <c r="CE511" s="228"/>
      <c r="CF511" s="228"/>
      <c r="CG511" s="228"/>
      <c r="CH511" s="228"/>
      <c r="CI511" s="228"/>
      <c r="CJ511" s="228"/>
      <c r="CK511" s="228"/>
      <c r="CL511" s="228"/>
      <c r="CM511" s="228"/>
      <c r="CN511" s="228"/>
      <c r="CO511" s="228"/>
      <c r="CP511" s="228"/>
      <c r="CQ511" s="228"/>
      <c r="CR511" s="228"/>
      <c r="CS511" s="228"/>
      <c r="CT511" s="228"/>
      <c r="CU511" s="228"/>
      <c r="CV511" s="228"/>
      <c r="CW511" s="228"/>
      <c r="CX511" s="228"/>
      <c r="CY511" s="228"/>
      <c r="CZ511" s="228"/>
      <c r="DA511" s="228"/>
      <c r="DB511" s="228"/>
    </row>
    <row r="512" ht="12.0" customHeight="1">
      <c r="A512" s="228"/>
      <c r="B512" s="228"/>
      <c r="C512" s="228"/>
      <c r="D512" s="228"/>
      <c r="E512" s="228"/>
      <c r="F512" s="228"/>
      <c r="G512" s="228"/>
      <c r="H512" s="228"/>
      <c r="I512" s="228"/>
      <c r="J512" s="228"/>
      <c r="K512" s="228"/>
      <c r="L512" s="228"/>
      <c r="M512" s="228"/>
      <c r="N512" s="228"/>
      <c r="O512" s="228"/>
      <c r="P512" s="228"/>
      <c r="Q512" s="228"/>
      <c r="R512" s="228"/>
      <c r="S512" s="228"/>
      <c r="T512" s="228"/>
      <c r="U512" s="228"/>
      <c r="V512" s="228"/>
      <c r="W512" s="228"/>
      <c r="X512" s="228"/>
      <c r="Y512" s="228"/>
      <c r="Z512" s="228"/>
      <c r="AA512" s="228"/>
      <c r="AB512" s="228"/>
      <c r="AC512" s="228"/>
      <c r="AD512" s="228"/>
      <c r="AE512" s="228"/>
      <c r="AF512" s="228"/>
      <c r="AG512" s="228"/>
      <c r="AH512" s="228"/>
      <c r="AI512" s="228"/>
      <c r="AJ512" s="228"/>
      <c r="AK512" s="228"/>
      <c r="AL512" s="228"/>
      <c r="AM512" s="228"/>
      <c r="AN512" s="228"/>
      <c r="AO512" s="228"/>
      <c r="AP512" s="228"/>
      <c r="AQ512" s="228"/>
      <c r="AR512" s="228"/>
      <c r="AS512" s="228"/>
      <c r="AT512" s="228"/>
      <c r="AU512" s="228"/>
      <c r="AV512" s="228"/>
      <c r="AW512" s="228"/>
      <c r="AX512" s="228"/>
      <c r="AY512" s="228"/>
      <c r="AZ512" s="228"/>
      <c r="BA512" s="228"/>
      <c r="BB512" s="228"/>
      <c r="BC512" s="228"/>
      <c r="BD512" s="228"/>
      <c r="BE512" s="228"/>
      <c r="BF512" s="228"/>
      <c r="BG512" s="228"/>
      <c r="BH512" s="228"/>
      <c r="BI512" s="228"/>
      <c r="BJ512" s="228"/>
      <c r="BK512" s="228"/>
      <c r="BL512" s="228"/>
      <c r="BM512" s="228"/>
      <c r="BN512" s="228"/>
      <c r="BO512" s="228"/>
      <c r="BP512" s="228"/>
      <c r="BQ512" s="228"/>
      <c r="BR512" s="228"/>
      <c r="BS512" s="228"/>
      <c r="BT512" s="228"/>
      <c r="BU512" s="228"/>
      <c r="BV512" s="228"/>
      <c r="BW512" s="228"/>
      <c r="BX512" s="228"/>
      <c r="BY512" s="228"/>
      <c r="BZ512" s="228"/>
      <c r="CA512" s="228"/>
      <c r="CB512" s="228"/>
      <c r="CC512" s="228"/>
      <c r="CD512" s="228"/>
      <c r="CE512" s="228"/>
      <c r="CF512" s="228"/>
      <c r="CG512" s="228"/>
      <c r="CH512" s="228"/>
      <c r="CI512" s="228"/>
      <c r="CJ512" s="228"/>
      <c r="CK512" s="228"/>
      <c r="CL512" s="228"/>
      <c r="CM512" s="228"/>
      <c r="CN512" s="228"/>
      <c r="CO512" s="228"/>
      <c r="CP512" s="228"/>
      <c r="CQ512" s="228"/>
      <c r="CR512" s="228"/>
      <c r="CS512" s="228"/>
      <c r="CT512" s="228"/>
      <c r="CU512" s="228"/>
      <c r="CV512" s="228"/>
      <c r="CW512" s="228"/>
      <c r="CX512" s="228"/>
      <c r="CY512" s="228"/>
      <c r="CZ512" s="228"/>
      <c r="DA512" s="228"/>
      <c r="DB512" s="228"/>
    </row>
    <row r="513" ht="12.0" customHeight="1">
      <c r="A513" s="228"/>
      <c r="B513" s="228"/>
      <c r="C513" s="228"/>
      <c r="D513" s="228"/>
      <c r="E513" s="228"/>
      <c r="F513" s="228"/>
      <c r="G513" s="228"/>
      <c r="H513" s="228"/>
      <c r="I513" s="228"/>
      <c r="J513" s="228"/>
      <c r="K513" s="228"/>
      <c r="L513" s="228"/>
      <c r="M513" s="228"/>
      <c r="N513" s="228"/>
      <c r="O513" s="228"/>
      <c r="P513" s="228"/>
      <c r="Q513" s="228"/>
      <c r="R513" s="228"/>
      <c r="S513" s="228"/>
      <c r="T513" s="228"/>
      <c r="U513" s="228"/>
      <c r="V513" s="228"/>
      <c r="W513" s="228"/>
      <c r="X513" s="228"/>
      <c r="Y513" s="228"/>
      <c r="Z513" s="228"/>
      <c r="AA513" s="228"/>
      <c r="AB513" s="228"/>
      <c r="AC513" s="228"/>
      <c r="AD513" s="228"/>
      <c r="AE513" s="228"/>
      <c r="AF513" s="228"/>
      <c r="AG513" s="228"/>
      <c r="AH513" s="228"/>
      <c r="AI513" s="228"/>
      <c r="AJ513" s="228"/>
      <c r="AK513" s="228"/>
      <c r="AL513" s="228"/>
      <c r="AM513" s="228"/>
      <c r="AN513" s="228"/>
      <c r="AO513" s="228"/>
      <c r="AP513" s="228"/>
      <c r="AQ513" s="228"/>
      <c r="AR513" s="228"/>
      <c r="AS513" s="228"/>
      <c r="AT513" s="228"/>
      <c r="AU513" s="228"/>
      <c r="AV513" s="228"/>
      <c r="AW513" s="228"/>
      <c r="AX513" s="228"/>
      <c r="AY513" s="228"/>
      <c r="AZ513" s="228"/>
      <c r="BA513" s="228"/>
      <c r="BB513" s="228"/>
      <c r="BC513" s="228"/>
      <c r="BD513" s="228"/>
      <c r="BE513" s="228"/>
      <c r="BF513" s="228"/>
      <c r="BG513" s="228"/>
      <c r="BH513" s="228"/>
      <c r="BI513" s="228"/>
      <c r="BJ513" s="228"/>
      <c r="BK513" s="228"/>
      <c r="BL513" s="228"/>
      <c r="BM513" s="228"/>
      <c r="BN513" s="228"/>
      <c r="BO513" s="228"/>
      <c r="BP513" s="228"/>
      <c r="BQ513" s="228"/>
      <c r="BR513" s="228"/>
      <c r="BS513" s="228"/>
      <c r="BT513" s="228"/>
      <c r="BU513" s="228"/>
      <c r="BV513" s="228"/>
      <c r="BW513" s="228"/>
      <c r="BX513" s="228"/>
      <c r="BY513" s="228"/>
      <c r="BZ513" s="228"/>
      <c r="CA513" s="228"/>
      <c r="CB513" s="228"/>
      <c r="CC513" s="228"/>
      <c r="CD513" s="228"/>
      <c r="CE513" s="228"/>
      <c r="CF513" s="228"/>
      <c r="CG513" s="228"/>
      <c r="CH513" s="228"/>
      <c r="CI513" s="228"/>
      <c r="CJ513" s="228"/>
      <c r="CK513" s="228"/>
      <c r="CL513" s="228"/>
      <c r="CM513" s="228"/>
      <c r="CN513" s="228"/>
      <c r="CO513" s="228"/>
      <c r="CP513" s="228"/>
      <c r="CQ513" s="228"/>
      <c r="CR513" s="228"/>
      <c r="CS513" s="228"/>
      <c r="CT513" s="228"/>
      <c r="CU513" s="228"/>
      <c r="CV513" s="228"/>
      <c r="CW513" s="228"/>
      <c r="CX513" s="228"/>
      <c r="CY513" s="228"/>
      <c r="CZ513" s="228"/>
      <c r="DA513" s="228"/>
      <c r="DB513" s="228"/>
    </row>
    <row r="514" ht="12.0" customHeight="1">
      <c r="A514" s="228"/>
      <c r="B514" s="228"/>
      <c r="C514" s="228"/>
      <c r="D514" s="228"/>
      <c r="E514" s="228"/>
      <c r="F514" s="228"/>
      <c r="G514" s="228"/>
      <c r="H514" s="228"/>
      <c r="I514" s="228"/>
      <c r="J514" s="228"/>
      <c r="K514" s="228"/>
      <c r="L514" s="228"/>
      <c r="M514" s="228"/>
      <c r="N514" s="228"/>
      <c r="O514" s="228"/>
      <c r="P514" s="228"/>
      <c r="Q514" s="228"/>
      <c r="R514" s="228"/>
      <c r="S514" s="228"/>
      <c r="T514" s="228"/>
      <c r="U514" s="228"/>
      <c r="V514" s="228"/>
      <c r="W514" s="228"/>
      <c r="X514" s="228"/>
      <c r="Y514" s="228"/>
      <c r="Z514" s="228"/>
      <c r="AA514" s="228"/>
      <c r="AB514" s="228"/>
      <c r="AC514" s="228"/>
      <c r="AD514" s="228"/>
      <c r="AE514" s="228"/>
      <c r="AF514" s="228"/>
      <c r="AG514" s="228"/>
      <c r="AH514" s="228"/>
      <c r="AI514" s="228"/>
      <c r="AJ514" s="228"/>
      <c r="AK514" s="228"/>
      <c r="AL514" s="228"/>
      <c r="AM514" s="228"/>
      <c r="AN514" s="228"/>
      <c r="AO514" s="228"/>
      <c r="AP514" s="228"/>
      <c r="AQ514" s="228"/>
      <c r="AR514" s="228"/>
      <c r="AS514" s="228"/>
      <c r="AT514" s="228"/>
      <c r="AU514" s="228"/>
      <c r="AV514" s="228"/>
      <c r="AW514" s="228"/>
      <c r="AX514" s="228"/>
      <c r="AY514" s="228"/>
      <c r="AZ514" s="228"/>
      <c r="BA514" s="228"/>
      <c r="BB514" s="228"/>
      <c r="BC514" s="228"/>
      <c r="BD514" s="228"/>
      <c r="BE514" s="228"/>
      <c r="BF514" s="228"/>
      <c r="BG514" s="228"/>
      <c r="BH514" s="228"/>
      <c r="BI514" s="228"/>
      <c r="BJ514" s="228"/>
      <c r="BK514" s="228"/>
      <c r="BL514" s="228"/>
      <c r="BM514" s="228"/>
      <c r="BN514" s="228"/>
      <c r="BO514" s="228"/>
      <c r="BP514" s="228"/>
      <c r="BQ514" s="228"/>
      <c r="BR514" s="228"/>
      <c r="BS514" s="228"/>
      <c r="BT514" s="228"/>
      <c r="BU514" s="228"/>
      <c r="BV514" s="228"/>
      <c r="BW514" s="228"/>
      <c r="BX514" s="228"/>
      <c r="BY514" s="228"/>
      <c r="BZ514" s="228"/>
      <c r="CA514" s="228"/>
      <c r="CB514" s="228"/>
      <c r="CC514" s="228"/>
      <c r="CD514" s="228"/>
      <c r="CE514" s="228"/>
      <c r="CF514" s="228"/>
      <c r="CG514" s="228"/>
      <c r="CH514" s="228"/>
      <c r="CI514" s="228"/>
      <c r="CJ514" s="228"/>
      <c r="CK514" s="228"/>
      <c r="CL514" s="228"/>
      <c r="CM514" s="228"/>
      <c r="CN514" s="228"/>
      <c r="CO514" s="228"/>
      <c r="CP514" s="228"/>
      <c r="CQ514" s="228"/>
      <c r="CR514" s="228"/>
      <c r="CS514" s="228"/>
      <c r="CT514" s="228"/>
      <c r="CU514" s="228"/>
      <c r="CV514" s="228"/>
      <c r="CW514" s="228"/>
      <c r="CX514" s="228"/>
      <c r="CY514" s="228"/>
      <c r="CZ514" s="228"/>
      <c r="DA514" s="228"/>
      <c r="DB514" s="228"/>
    </row>
    <row r="515" ht="12.0" customHeight="1">
      <c r="A515" s="228"/>
      <c r="B515" s="228"/>
      <c r="C515" s="228"/>
      <c r="D515" s="228"/>
      <c r="E515" s="228"/>
      <c r="F515" s="228"/>
      <c r="G515" s="228"/>
      <c r="H515" s="228"/>
      <c r="I515" s="228"/>
      <c r="J515" s="228"/>
      <c r="K515" s="228"/>
      <c r="L515" s="228"/>
      <c r="M515" s="228"/>
      <c r="N515" s="228"/>
      <c r="O515" s="228"/>
      <c r="P515" s="228"/>
      <c r="Q515" s="228"/>
      <c r="R515" s="228"/>
      <c r="S515" s="228"/>
      <c r="T515" s="228"/>
      <c r="U515" s="228"/>
      <c r="V515" s="228"/>
      <c r="W515" s="228"/>
      <c r="X515" s="228"/>
      <c r="Y515" s="228"/>
      <c r="Z515" s="228"/>
      <c r="AA515" s="228"/>
      <c r="AB515" s="228"/>
      <c r="AC515" s="228"/>
      <c r="AD515" s="228"/>
      <c r="AE515" s="228"/>
      <c r="AF515" s="228"/>
      <c r="AG515" s="228"/>
      <c r="AH515" s="228"/>
      <c r="AI515" s="228"/>
      <c r="AJ515" s="228"/>
      <c r="AK515" s="228"/>
      <c r="AL515" s="228"/>
      <c r="AM515" s="228"/>
      <c r="AN515" s="228"/>
      <c r="AO515" s="228"/>
      <c r="AP515" s="228"/>
      <c r="AQ515" s="228"/>
      <c r="AR515" s="228"/>
      <c r="AS515" s="228"/>
      <c r="AT515" s="228"/>
      <c r="AU515" s="228"/>
      <c r="AV515" s="228"/>
      <c r="AW515" s="228"/>
      <c r="AX515" s="228"/>
      <c r="AY515" s="228"/>
      <c r="AZ515" s="228"/>
      <c r="BA515" s="228"/>
      <c r="BB515" s="228"/>
      <c r="BC515" s="228"/>
      <c r="BD515" s="228"/>
      <c r="BE515" s="228"/>
      <c r="BF515" s="228"/>
      <c r="BG515" s="228"/>
      <c r="BH515" s="228"/>
      <c r="BI515" s="228"/>
      <c r="BJ515" s="228"/>
      <c r="BK515" s="228"/>
      <c r="BL515" s="228"/>
      <c r="BM515" s="228"/>
      <c r="BN515" s="228"/>
      <c r="BO515" s="228"/>
      <c r="BP515" s="228"/>
      <c r="BQ515" s="228"/>
      <c r="BR515" s="228"/>
      <c r="BS515" s="228"/>
      <c r="BT515" s="228"/>
      <c r="BU515" s="228"/>
      <c r="BV515" s="228"/>
      <c r="BW515" s="228"/>
      <c r="BX515" s="228"/>
      <c r="BY515" s="228"/>
      <c r="BZ515" s="228"/>
      <c r="CA515" s="228"/>
      <c r="CB515" s="228"/>
      <c r="CC515" s="228"/>
      <c r="CD515" s="228"/>
      <c r="CE515" s="228"/>
      <c r="CF515" s="228"/>
      <c r="CG515" s="228"/>
      <c r="CH515" s="228"/>
      <c r="CI515" s="228"/>
      <c r="CJ515" s="228"/>
      <c r="CK515" s="228"/>
      <c r="CL515" s="228"/>
      <c r="CM515" s="228"/>
      <c r="CN515" s="228"/>
      <c r="CO515" s="228"/>
      <c r="CP515" s="228"/>
      <c r="CQ515" s="228"/>
      <c r="CR515" s="228"/>
      <c r="CS515" s="228"/>
      <c r="CT515" s="228"/>
      <c r="CU515" s="228"/>
      <c r="CV515" s="228"/>
      <c r="CW515" s="228"/>
      <c r="CX515" s="228"/>
      <c r="CY515" s="228"/>
      <c r="CZ515" s="228"/>
      <c r="DA515" s="228"/>
      <c r="DB515" s="228"/>
    </row>
    <row r="516" ht="12.0" customHeight="1">
      <c r="A516" s="228"/>
      <c r="B516" s="228"/>
      <c r="C516" s="228"/>
      <c r="D516" s="228"/>
      <c r="E516" s="228"/>
      <c r="F516" s="228"/>
      <c r="G516" s="228"/>
      <c r="H516" s="228"/>
      <c r="I516" s="228"/>
      <c r="J516" s="228"/>
      <c r="K516" s="228"/>
      <c r="L516" s="228"/>
      <c r="M516" s="228"/>
      <c r="N516" s="228"/>
      <c r="O516" s="228"/>
      <c r="P516" s="228"/>
      <c r="Q516" s="228"/>
      <c r="R516" s="228"/>
      <c r="S516" s="228"/>
      <c r="T516" s="228"/>
      <c r="U516" s="228"/>
      <c r="V516" s="228"/>
      <c r="W516" s="228"/>
      <c r="X516" s="228"/>
      <c r="Y516" s="228"/>
      <c r="Z516" s="228"/>
      <c r="AA516" s="228"/>
      <c r="AB516" s="228"/>
      <c r="AC516" s="228"/>
      <c r="AD516" s="228"/>
      <c r="AE516" s="228"/>
      <c r="AF516" s="228"/>
      <c r="AG516" s="228"/>
      <c r="AH516" s="228"/>
      <c r="AI516" s="228"/>
      <c r="AJ516" s="228"/>
      <c r="AK516" s="228"/>
      <c r="AL516" s="228"/>
      <c r="AM516" s="228"/>
      <c r="AN516" s="228"/>
      <c r="AO516" s="228"/>
      <c r="AP516" s="228"/>
      <c r="AQ516" s="228"/>
      <c r="AR516" s="228"/>
      <c r="AS516" s="228"/>
      <c r="AT516" s="228"/>
      <c r="AU516" s="228"/>
      <c r="AV516" s="228"/>
      <c r="AW516" s="228"/>
      <c r="AX516" s="228"/>
      <c r="AY516" s="228"/>
      <c r="AZ516" s="228"/>
      <c r="BA516" s="228"/>
      <c r="BB516" s="228"/>
      <c r="BC516" s="228"/>
      <c r="BD516" s="228"/>
      <c r="BE516" s="228"/>
      <c r="BF516" s="228"/>
      <c r="BG516" s="228"/>
      <c r="BH516" s="228"/>
      <c r="BI516" s="228"/>
      <c r="BJ516" s="228"/>
      <c r="BK516" s="228"/>
      <c r="BL516" s="228"/>
      <c r="BM516" s="228"/>
      <c r="BN516" s="228"/>
      <c r="BO516" s="228"/>
      <c r="BP516" s="228"/>
      <c r="BQ516" s="228"/>
      <c r="BR516" s="228"/>
      <c r="BS516" s="228"/>
      <c r="BT516" s="228"/>
      <c r="BU516" s="228"/>
      <c r="BV516" s="228"/>
      <c r="BW516" s="228"/>
      <c r="BX516" s="228"/>
      <c r="BY516" s="228"/>
      <c r="BZ516" s="228"/>
      <c r="CA516" s="228"/>
      <c r="CB516" s="228"/>
      <c r="CC516" s="228"/>
      <c r="CD516" s="228"/>
      <c r="CE516" s="228"/>
      <c r="CF516" s="228"/>
      <c r="CG516" s="228"/>
      <c r="CH516" s="228"/>
      <c r="CI516" s="228"/>
      <c r="CJ516" s="228"/>
      <c r="CK516" s="228"/>
      <c r="CL516" s="228"/>
      <c r="CM516" s="228"/>
      <c r="CN516" s="228"/>
      <c r="CO516" s="228"/>
      <c r="CP516" s="228"/>
      <c r="CQ516" s="228"/>
      <c r="CR516" s="228"/>
      <c r="CS516" s="228"/>
      <c r="CT516" s="228"/>
      <c r="CU516" s="228"/>
      <c r="CV516" s="228"/>
      <c r="CW516" s="228"/>
      <c r="CX516" s="228"/>
      <c r="CY516" s="228"/>
      <c r="CZ516" s="228"/>
      <c r="DA516" s="228"/>
      <c r="DB516" s="228"/>
    </row>
    <row r="517" ht="12.0" customHeight="1">
      <c r="A517" s="228"/>
      <c r="B517" s="228"/>
      <c r="C517" s="228"/>
      <c r="D517" s="228"/>
      <c r="E517" s="228"/>
      <c r="F517" s="228"/>
      <c r="G517" s="228"/>
      <c r="H517" s="228"/>
      <c r="I517" s="228"/>
      <c r="J517" s="228"/>
      <c r="K517" s="228"/>
      <c r="L517" s="228"/>
      <c r="M517" s="228"/>
      <c r="N517" s="228"/>
      <c r="O517" s="228"/>
      <c r="P517" s="228"/>
      <c r="Q517" s="228"/>
      <c r="R517" s="228"/>
      <c r="S517" s="228"/>
      <c r="T517" s="228"/>
      <c r="U517" s="228"/>
      <c r="V517" s="228"/>
      <c r="W517" s="228"/>
      <c r="X517" s="228"/>
      <c r="Y517" s="228"/>
      <c r="Z517" s="228"/>
      <c r="AA517" s="228"/>
      <c r="AB517" s="228"/>
      <c r="AC517" s="228"/>
      <c r="AD517" s="228"/>
      <c r="AE517" s="228"/>
      <c r="AF517" s="228"/>
      <c r="AG517" s="228"/>
      <c r="AH517" s="228"/>
      <c r="AI517" s="228"/>
      <c r="AJ517" s="228"/>
      <c r="AK517" s="228"/>
      <c r="AL517" s="228"/>
      <c r="AM517" s="228"/>
      <c r="AN517" s="228"/>
      <c r="AO517" s="228"/>
      <c r="AP517" s="228"/>
      <c r="AQ517" s="228"/>
      <c r="AR517" s="228"/>
      <c r="AS517" s="228"/>
      <c r="AT517" s="228"/>
      <c r="AU517" s="228"/>
      <c r="AV517" s="228"/>
      <c r="AW517" s="228"/>
      <c r="AX517" s="228"/>
      <c r="AY517" s="228"/>
      <c r="AZ517" s="228"/>
      <c r="BA517" s="228"/>
      <c r="BB517" s="228"/>
      <c r="BC517" s="228"/>
      <c r="BD517" s="228"/>
      <c r="BE517" s="228"/>
      <c r="BF517" s="228"/>
      <c r="BG517" s="228"/>
      <c r="BH517" s="228"/>
      <c r="BI517" s="228"/>
      <c r="BJ517" s="228"/>
      <c r="BK517" s="228"/>
      <c r="BL517" s="228"/>
      <c r="BM517" s="228"/>
      <c r="BN517" s="228"/>
      <c r="BO517" s="228"/>
      <c r="BP517" s="228"/>
      <c r="BQ517" s="228"/>
      <c r="BR517" s="228"/>
      <c r="BS517" s="228"/>
      <c r="BT517" s="228"/>
      <c r="BU517" s="228"/>
      <c r="BV517" s="228"/>
      <c r="BW517" s="228"/>
      <c r="BX517" s="228"/>
      <c r="BY517" s="228"/>
      <c r="BZ517" s="228"/>
      <c r="CA517" s="228"/>
      <c r="CB517" s="228"/>
      <c r="CC517" s="228"/>
      <c r="CD517" s="228"/>
      <c r="CE517" s="228"/>
      <c r="CF517" s="228"/>
      <c r="CG517" s="228"/>
      <c r="CH517" s="228"/>
      <c r="CI517" s="228"/>
      <c r="CJ517" s="228"/>
      <c r="CK517" s="228"/>
      <c r="CL517" s="228"/>
      <c r="CM517" s="228"/>
      <c r="CN517" s="228"/>
      <c r="CO517" s="228"/>
      <c r="CP517" s="228"/>
      <c r="CQ517" s="228"/>
      <c r="CR517" s="228"/>
      <c r="CS517" s="228"/>
      <c r="CT517" s="228"/>
      <c r="CU517" s="228"/>
      <c r="CV517" s="228"/>
      <c r="CW517" s="228"/>
      <c r="CX517" s="228"/>
      <c r="CY517" s="228"/>
      <c r="CZ517" s="228"/>
      <c r="DA517" s="228"/>
      <c r="DB517" s="228"/>
    </row>
    <row r="518" ht="12.0" customHeight="1">
      <c r="A518" s="228"/>
      <c r="B518" s="228"/>
      <c r="C518" s="228"/>
      <c r="D518" s="228"/>
      <c r="E518" s="228"/>
      <c r="F518" s="228"/>
      <c r="G518" s="228"/>
      <c r="H518" s="228"/>
      <c r="I518" s="228"/>
      <c r="J518" s="228"/>
      <c r="K518" s="228"/>
      <c r="L518" s="228"/>
      <c r="M518" s="228"/>
      <c r="N518" s="228"/>
      <c r="O518" s="228"/>
      <c r="P518" s="228"/>
      <c r="Q518" s="228"/>
      <c r="R518" s="228"/>
      <c r="S518" s="228"/>
      <c r="T518" s="228"/>
      <c r="U518" s="228"/>
      <c r="V518" s="228"/>
      <c r="W518" s="228"/>
      <c r="X518" s="228"/>
      <c r="Y518" s="228"/>
      <c r="Z518" s="228"/>
      <c r="AA518" s="228"/>
      <c r="AB518" s="228"/>
      <c r="AC518" s="228"/>
      <c r="AD518" s="228"/>
      <c r="AE518" s="228"/>
      <c r="AF518" s="228"/>
      <c r="AG518" s="228"/>
      <c r="AH518" s="228"/>
      <c r="AI518" s="228"/>
      <c r="AJ518" s="228"/>
      <c r="AK518" s="228"/>
      <c r="AL518" s="228"/>
      <c r="AM518" s="228"/>
      <c r="AN518" s="228"/>
      <c r="AO518" s="228"/>
      <c r="AP518" s="228"/>
      <c r="AQ518" s="228"/>
      <c r="AR518" s="228"/>
      <c r="AS518" s="228"/>
      <c r="AT518" s="228"/>
      <c r="AU518" s="228"/>
      <c r="AV518" s="228"/>
      <c r="AW518" s="228"/>
      <c r="AX518" s="228"/>
      <c r="AY518" s="228"/>
      <c r="AZ518" s="228"/>
      <c r="BA518" s="228"/>
      <c r="BB518" s="228"/>
      <c r="BC518" s="228"/>
      <c r="BD518" s="228"/>
      <c r="BE518" s="228"/>
      <c r="BF518" s="228"/>
      <c r="BG518" s="228"/>
      <c r="BH518" s="228"/>
      <c r="BI518" s="228"/>
      <c r="BJ518" s="228"/>
      <c r="BK518" s="228"/>
      <c r="BL518" s="228"/>
      <c r="BM518" s="228"/>
      <c r="BN518" s="228"/>
      <c r="BO518" s="228"/>
      <c r="BP518" s="228"/>
      <c r="BQ518" s="228"/>
      <c r="BR518" s="228"/>
      <c r="BS518" s="228"/>
      <c r="BT518" s="228"/>
      <c r="BU518" s="228"/>
      <c r="BV518" s="228"/>
      <c r="BW518" s="228"/>
      <c r="BX518" s="228"/>
      <c r="BY518" s="228"/>
      <c r="BZ518" s="228"/>
      <c r="CA518" s="228"/>
      <c r="CB518" s="228"/>
      <c r="CC518" s="228"/>
      <c r="CD518" s="228"/>
      <c r="CE518" s="228"/>
      <c r="CF518" s="228"/>
      <c r="CG518" s="228"/>
      <c r="CH518" s="228"/>
      <c r="CI518" s="228"/>
      <c r="CJ518" s="228"/>
      <c r="CK518" s="228"/>
      <c r="CL518" s="228"/>
      <c r="CM518" s="228"/>
      <c r="CN518" s="228"/>
      <c r="CO518" s="228"/>
      <c r="CP518" s="228"/>
      <c r="CQ518" s="228"/>
      <c r="CR518" s="228"/>
      <c r="CS518" s="228"/>
      <c r="CT518" s="228"/>
      <c r="CU518" s="228"/>
      <c r="CV518" s="228"/>
      <c r="CW518" s="228"/>
      <c r="CX518" s="228"/>
      <c r="CY518" s="228"/>
      <c r="CZ518" s="228"/>
      <c r="DA518" s="228"/>
      <c r="DB518" s="228"/>
    </row>
    <row r="519" ht="12.0" customHeight="1">
      <c r="A519" s="228"/>
      <c r="B519" s="228"/>
      <c r="C519" s="228"/>
      <c r="D519" s="228"/>
      <c r="E519" s="228"/>
      <c r="F519" s="228"/>
      <c r="G519" s="228"/>
      <c r="H519" s="228"/>
      <c r="I519" s="228"/>
      <c r="J519" s="228"/>
      <c r="K519" s="228"/>
      <c r="L519" s="228"/>
      <c r="M519" s="228"/>
      <c r="N519" s="228"/>
      <c r="O519" s="228"/>
      <c r="P519" s="228"/>
      <c r="Q519" s="228"/>
      <c r="R519" s="228"/>
      <c r="S519" s="228"/>
      <c r="T519" s="228"/>
      <c r="U519" s="228"/>
      <c r="V519" s="228"/>
      <c r="W519" s="228"/>
      <c r="X519" s="228"/>
      <c r="Y519" s="228"/>
      <c r="Z519" s="228"/>
      <c r="AA519" s="228"/>
      <c r="AB519" s="228"/>
      <c r="AC519" s="228"/>
      <c r="AD519" s="228"/>
      <c r="AE519" s="228"/>
      <c r="AF519" s="228"/>
      <c r="AG519" s="228"/>
      <c r="AH519" s="228"/>
      <c r="AI519" s="228"/>
      <c r="AJ519" s="228"/>
      <c r="AK519" s="228"/>
      <c r="AL519" s="228"/>
      <c r="AM519" s="228"/>
      <c r="AN519" s="228"/>
      <c r="AO519" s="228"/>
      <c r="AP519" s="228"/>
      <c r="AQ519" s="228"/>
      <c r="AR519" s="228"/>
      <c r="AS519" s="228"/>
      <c r="AT519" s="228"/>
      <c r="AU519" s="228"/>
      <c r="AV519" s="228"/>
      <c r="AW519" s="228"/>
      <c r="AX519" s="228"/>
      <c r="AY519" s="228"/>
      <c r="AZ519" s="228"/>
      <c r="BA519" s="228"/>
      <c r="BB519" s="228"/>
      <c r="BC519" s="228"/>
      <c r="BD519" s="228"/>
      <c r="BE519" s="228"/>
      <c r="BF519" s="228"/>
      <c r="BG519" s="228"/>
      <c r="BH519" s="228"/>
      <c r="BI519" s="228"/>
      <c r="BJ519" s="228"/>
      <c r="BK519" s="228"/>
      <c r="BL519" s="228"/>
      <c r="BM519" s="228"/>
      <c r="BN519" s="228"/>
      <c r="BO519" s="228"/>
      <c r="BP519" s="228"/>
      <c r="BQ519" s="228"/>
      <c r="BR519" s="228"/>
      <c r="BS519" s="228"/>
      <c r="BT519" s="228"/>
      <c r="BU519" s="228"/>
      <c r="BV519" s="228"/>
      <c r="BW519" s="228"/>
      <c r="BX519" s="228"/>
      <c r="BY519" s="228"/>
      <c r="BZ519" s="228"/>
      <c r="CA519" s="228"/>
      <c r="CB519" s="228"/>
      <c r="CC519" s="228"/>
      <c r="CD519" s="228"/>
      <c r="CE519" s="228"/>
      <c r="CF519" s="228"/>
      <c r="CG519" s="228"/>
      <c r="CH519" s="228"/>
      <c r="CI519" s="228"/>
      <c r="CJ519" s="228"/>
      <c r="CK519" s="228"/>
      <c r="CL519" s="228"/>
      <c r="CM519" s="228"/>
      <c r="CN519" s="228"/>
      <c r="CO519" s="228"/>
      <c r="CP519" s="228"/>
      <c r="CQ519" s="228"/>
      <c r="CR519" s="228"/>
      <c r="CS519" s="228"/>
      <c r="CT519" s="228"/>
      <c r="CU519" s="228"/>
      <c r="CV519" s="228"/>
      <c r="CW519" s="228"/>
      <c r="CX519" s="228"/>
      <c r="CY519" s="228"/>
      <c r="CZ519" s="228"/>
      <c r="DA519" s="228"/>
      <c r="DB519" s="228"/>
    </row>
    <row r="520" ht="12.0" customHeight="1">
      <c r="A520" s="228"/>
      <c r="B520" s="228"/>
      <c r="C520" s="228"/>
      <c r="D520" s="228"/>
      <c r="E520" s="228"/>
      <c r="F520" s="228"/>
      <c r="G520" s="228"/>
      <c r="H520" s="228"/>
      <c r="I520" s="228"/>
      <c r="J520" s="228"/>
      <c r="K520" s="228"/>
      <c r="L520" s="228"/>
      <c r="M520" s="228"/>
      <c r="N520" s="228"/>
      <c r="O520" s="228"/>
      <c r="P520" s="228"/>
      <c r="Q520" s="228"/>
      <c r="R520" s="228"/>
      <c r="S520" s="228"/>
      <c r="T520" s="228"/>
      <c r="U520" s="228"/>
      <c r="V520" s="228"/>
      <c r="W520" s="228"/>
      <c r="X520" s="228"/>
      <c r="Y520" s="228"/>
      <c r="Z520" s="228"/>
      <c r="AA520" s="228"/>
      <c r="AB520" s="228"/>
      <c r="AC520" s="228"/>
      <c r="AD520" s="228"/>
      <c r="AE520" s="228"/>
      <c r="AF520" s="228"/>
      <c r="AG520" s="228"/>
      <c r="AH520" s="228"/>
      <c r="AI520" s="228"/>
      <c r="AJ520" s="228"/>
      <c r="AK520" s="228"/>
      <c r="AL520" s="228"/>
      <c r="AM520" s="228"/>
      <c r="AN520" s="228"/>
      <c r="AO520" s="228"/>
      <c r="AP520" s="228"/>
      <c r="AQ520" s="228"/>
      <c r="AR520" s="228"/>
      <c r="AS520" s="228"/>
      <c r="AT520" s="228"/>
      <c r="AU520" s="228"/>
      <c r="AV520" s="228"/>
      <c r="AW520" s="228"/>
      <c r="AX520" s="228"/>
      <c r="AY520" s="228"/>
      <c r="AZ520" s="228"/>
      <c r="BA520" s="228"/>
      <c r="BB520" s="228"/>
      <c r="BC520" s="228"/>
      <c r="BD520" s="228"/>
      <c r="BE520" s="228"/>
      <c r="BF520" s="228"/>
      <c r="BG520" s="228"/>
      <c r="BH520" s="228"/>
      <c r="BI520" s="228"/>
      <c r="BJ520" s="228"/>
      <c r="BK520" s="228"/>
      <c r="BL520" s="228"/>
      <c r="BM520" s="228"/>
      <c r="BN520" s="228"/>
      <c r="BO520" s="228"/>
      <c r="BP520" s="228"/>
      <c r="BQ520" s="228"/>
      <c r="BR520" s="228"/>
      <c r="BS520" s="228"/>
      <c r="BT520" s="228"/>
      <c r="BU520" s="228"/>
      <c r="BV520" s="228"/>
      <c r="BW520" s="228"/>
      <c r="BX520" s="228"/>
      <c r="BY520" s="228"/>
      <c r="BZ520" s="228"/>
      <c r="CA520" s="228"/>
      <c r="CB520" s="228"/>
      <c r="CC520" s="228"/>
      <c r="CD520" s="228"/>
      <c r="CE520" s="228"/>
      <c r="CF520" s="228"/>
      <c r="CG520" s="228"/>
      <c r="CH520" s="228"/>
      <c r="CI520" s="228"/>
      <c r="CJ520" s="228"/>
      <c r="CK520" s="228"/>
      <c r="CL520" s="228"/>
      <c r="CM520" s="228"/>
      <c r="CN520" s="228"/>
      <c r="CO520" s="228"/>
      <c r="CP520" s="228"/>
      <c r="CQ520" s="228"/>
      <c r="CR520" s="228"/>
      <c r="CS520" s="228"/>
      <c r="CT520" s="228"/>
      <c r="CU520" s="228"/>
      <c r="CV520" s="228"/>
      <c r="CW520" s="228"/>
      <c r="CX520" s="228"/>
      <c r="CY520" s="228"/>
      <c r="CZ520" s="228"/>
      <c r="DA520" s="228"/>
      <c r="DB520" s="228"/>
    </row>
    <row r="521" ht="12.0" customHeight="1">
      <c r="A521" s="228"/>
      <c r="B521" s="228"/>
      <c r="C521" s="228"/>
      <c r="D521" s="228"/>
      <c r="E521" s="228"/>
      <c r="F521" s="228"/>
      <c r="G521" s="228"/>
      <c r="H521" s="228"/>
      <c r="I521" s="228"/>
      <c r="J521" s="228"/>
      <c r="K521" s="228"/>
      <c r="L521" s="228"/>
      <c r="M521" s="228"/>
      <c r="N521" s="228"/>
      <c r="O521" s="228"/>
      <c r="P521" s="228"/>
      <c r="Q521" s="228"/>
      <c r="R521" s="228"/>
      <c r="S521" s="228"/>
      <c r="T521" s="228"/>
      <c r="U521" s="228"/>
      <c r="V521" s="228"/>
      <c r="W521" s="228"/>
      <c r="X521" s="228"/>
      <c r="Y521" s="228"/>
      <c r="Z521" s="228"/>
      <c r="AA521" s="228"/>
      <c r="AB521" s="228"/>
      <c r="AC521" s="228"/>
      <c r="AD521" s="228"/>
      <c r="AE521" s="228"/>
      <c r="AF521" s="228"/>
      <c r="AG521" s="228"/>
      <c r="AH521" s="228"/>
      <c r="AI521" s="228"/>
      <c r="AJ521" s="228"/>
      <c r="AK521" s="228"/>
      <c r="AL521" s="228"/>
      <c r="AM521" s="228"/>
      <c r="AN521" s="228"/>
      <c r="AO521" s="228"/>
      <c r="AP521" s="228"/>
      <c r="AQ521" s="228"/>
      <c r="AR521" s="228"/>
      <c r="AS521" s="228"/>
      <c r="AT521" s="228"/>
      <c r="AU521" s="228"/>
      <c r="AV521" s="228"/>
      <c r="AW521" s="228"/>
      <c r="AX521" s="228"/>
      <c r="AY521" s="228"/>
      <c r="AZ521" s="228"/>
      <c r="BA521" s="228"/>
      <c r="BB521" s="228"/>
      <c r="BC521" s="228"/>
      <c r="BD521" s="228"/>
      <c r="BE521" s="228"/>
      <c r="BF521" s="228"/>
      <c r="BG521" s="228"/>
      <c r="BH521" s="228"/>
      <c r="BI521" s="228"/>
      <c r="BJ521" s="228"/>
      <c r="BK521" s="228"/>
      <c r="BL521" s="228"/>
      <c r="BM521" s="228"/>
      <c r="BN521" s="228"/>
      <c r="BO521" s="228"/>
      <c r="BP521" s="228"/>
      <c r="BQ521" s="228"/>
      <c r="BR521" s="228"/>
      <c r="BS521" s="228"/>
      <c r="BT521" s="228"/>
      <c r="BU521" s="228"/>
      <c r="BV521" s="228"/>
      <c r="BW521" s="228"/>
      <c r="BX521" s="228"/>
      <c r="BY521" s="228"/>
      <c r="BZ521" s="228"/>
      <c r="CA521" s="228"/>
      <c r="CB521" s="228"/>
      <c r="CC521" s="228"/>
      <c r="CD521" s="228"/>
      <c r="CE521" s="228"/>
      <c r="CF521" s="228"/>
      <c r="CG521" s="228"/>
      <c r="CH521" s="228"/>
      <c r="CI521" s="228"/>
      <c r="CJ521" s="228"/>
      <c r="CK521" s="228"/>
      <c r="CL521" s="228"/>
      <c r="CM521" s="228"/>
      <c r="CN521" s="228"/>
      <c r="CO521" s="228"/>
      <c r="CP521" s="228"/>
      <c r="CQ521" s="228"/>
      <c r="CR521" s="228"/>
      <c r="CS521" s="228"/>
      <c r="CT521" s="228"/>
      <c r="CU521" s="228"/>
      <c r="CV521" s="228"/>
      <c r="CW521" s="228"/>
      <c r="CX521" s="228"/>
      <c r="CY521" s="228"/>
      <c r="CZ521" s="228"/>
      <c r="DA521" s="228"/>
      <c r="DB521" s="228"/>
    </row>
    <row r="522" ht="12.0" customHeight="1">
      <c r="A522" s="228"/>
      <c r="B522" s="228"/>
      <c r="C522" s="228"/>
      <c r="D522" s="228"/>
      <c r="E522" s="228"/>
      <c r="F522" s="228"/>
      <c r="G522" s="228"/>
      <c r="H522" s="228"/>
      <c r="I522" s="228"/>
      <c r="J522" s="228"/>
      <c r="K522" s="228"/>
      <c r="L522" s="228"/>
      <c r="M522" s="228"/>
      <c r="N522" s="228"/>
      <c r="O522" s="228"/>
      <c r="P522" s="228"/>
      <c r="Q522" s="228"/>
      <c r="R522" s="228"/>
      <c r="S522" s="228"/>
      <c r="T522" s="228"/>
      <c r="U522" s="228"/>
      <c r="V522" s="228"/>
      <c r="W522" s="228"/>
      <c r="X522" s="228"/>
      <c r="Y522" s="228"/>
      <c r="Z522" s="228"/>
      <c r="AA522" s="228"/>
      <c r="AB522" s="228"/>
      <c r="AC522" s="228"/>
      <c r="AD522" s="228"/>
      <c r="AE522" s="228"/>
      <c r="AF522" s="228"/>
      <c r="AG522" s="228"/>
      <c r="AH522" s="228"/>
      <c r="AI522" s="228"/>
      <c r="AJ522" s="228"/>
      <c r="AK522" s="228"/>
      <c r="AL522" s="228"/>
      <c r="AM522" s="228"/>
      <c r="AN522" s="228"/>
      <c r="AO522" s="228"/>
      <c r="AP522" s="228"/>
      <c r="AQ522" s="228"/>
      <c r="AR522" s="228"/>
      <c r="AS522" s="228"/>
      <c r="AT522" s="228"/>
      <c r="AU522" s="228"/>
      <c r="AV522" s="228"/>
      <c r="AW522" s="228"/>
      <c r="AX522" s="228"/>
      <c r="AY522" s="228"/>
      <c r="AZ522" s="228"/>
      <c r="BA522" s="228"/>
      <c r="BB522" s="228"/>
      <c r="BC522" s="228"/>
      <c r="BD522" s="228"/>
      <c r="BE522" s="228"/>
      <c r="BF522" s="228"/>
      <c r="BG522" s="228"/>
      <c r="BH522" s="228"/>
      <c r="BI522" s="228"/>
      <c r="BJ522" s="228"/>
      <c r="BK522" s="228"/>
      <c r="BL522" s="228"/>
      <c r="BM522" s="228"/>
      <c r="BN522" s="228"/>
      <c r="BO522" s="228"/>
      <c r="BP522" s="228"/>
      <c r="BQ522" s="228"/>
      <c r="BR522" s="228"/>
      <c r="BS522" s="228"/>
      <c r="BT522" s="228"/>
      <c r="BU522" s="228"/>
      <c r="BV522" s="228"/>
      <c r="BW522" s="228"/>
      <c r="BX522" s="228"/>
      <c r="BY522" s="228"/>
      <c r="BZ522" s="228"/>
      <c r="CA522" s="228"/>
      <c r="CB522" s="228"/>
      <c r="CC522" s="228"/>
      <c r="CD522" s="228"/>
      <c r="CE522" s="228"/>
      <c r="CF522" s="228"/>
      <c r="CG522" s="228"/>
      <c r="CH522" s="228"/>
      <c r="CI522" s="228"/>
      <c r="CJ522" s="228"/>
      <c r="CK522" s="228"/>
      <c r="CL522" s="228"/>
      <c r="CM522" s="228"/>
      <c r="CN522" s="228"/>
      <c r="CO522" s="228"/>
      <c r="CP522" s="228"/>
      <c r="CQ522" s="228"/>
      <c r="CR522" s="228"/>
      <c r="CS522" s="228"/>
      <c r="CT522" s="228"/>
      <c r="CU522" s="228"/>
      <c r="CV522" s="228"/>
      <c r="CW522" s="228"/>
      <c r="CX522" s="228"/>
      <c r="CY522" s="228"/>
      <c r="CZ522" s="228"/>
      <c r="DA522" s="228"/>
      <c r="DB522" s="228"/>
    </row>
    <row r="523" ht="12.0" customHeight="1">
      <c r="A523" s="228"/>
      <c r="B523" s="228"/>
      <c r="C523" s="228"/>
      <c r="D523" s="228"/>
      <c r="E523" s="228"/>
      <c r="F523" s="228"/>
      <c r="G523" s="228"/>
      <c r="H523" s="228"/>
      <c r="I523" s="228"/>
      <c r="J523" s="228"/>
      <c r="K523" s="228"/>
      <c r="L523" s="228"/>
      <c r="M523" s="228"/>
      <c r="N523" s="228"/>
      <c r="O523" s="228"/>
      <c r="P523" s="228"/>
      <c r="Q523" s="228"/>
      <c r="R523" s="228"/>
      <c r="S523" s="228"/>
      <c r="T523" s="228"/>
      <c r="U523" s="228"/>
      <c r="V523" s="228"/>
      <c r="W523" s="228"/>
      <c r="X523" s="228"/>
      <c r="Y523" s="228"/>
      <c r="Z523" s="228"/>
      <c r="AA523" s="228"/>
      <c r="AB523" s="228"/>
      <c r="AC523" s="228"/>
      <c r="AD523" s="228"/>
      <c r="AE523" s="228"/>
      <c r="AF523" s="228"/>
      <c r="AG523" s="228"/>
      <c r="AH523" s="228"/>
      <c r="AI523" s="228"/>
      <c r="AJ523" s="228"/>
      <c r="AK523" s="228"/>
      <c r="AL523" s="228"/>
      <c r="AM523" s="228"/>
      <c r="AN523" s="228"/>
      <c r="AO523" s="228"/>
      <c r="AP523" s="228"/>
      <c r="AQ523" s="228"/>
      <c r="AR523" s="228"/>
      <c r="AS523" s="228"/>
      <c r="AT523" s="228"/>
      <c r="AU523" s="228"/>
      <c r="AV523" s="228"/>
      <c r="AW523" s="228"/>
      <c r="AX523" s="228"/>
      <c r="AY523" s="228"/>
      <c r="AZ523" s="228"/>
      <c r="BA523" s="228"/>
      <c r="BB523" s="228"/>
      <c r="BC523" s="228"/>
      <c r="BD523" s="228"/>
      <c r="BE523" s="228"/>
      <c r="BF523" s="228"/>
      <c r="BG523" s="228"/>
      <c r="BH523" s="228"/>
      <c r="BI523" s="228"/>
      <c r="BJ523" s="228"/>
      <c r="BK523" s="228"/>
      <c r="BL523" s="228"/>
      <c r="BM523" s="228"/>
      <c r="BN523" s="228"/>
      <c r="BO523" s="228"/>
      <c r="BP523" s="228"/>
      <c r="BQ523" s="228"/>
      <c r="BR523" s="228"/>
      <c r="BS523" s="228"/>
      <c r="BT523" s="228"/>
      <c r="BU523" s="228"/>
      <c r="BV523" s="228"/>
      <c r="BW523" s="228"/>
      <c r="BX523" s="228"/>
      <c r="BY523" s="228"/>
      <c r="BZ523" s="228"/>
      <c r="CA523" s="228"/>
      <c r="CB523" s="228"/>
      <c r="CC523" s="228"/>
      <c r="CD523" s="228"/>
      <c r="CE523" s="228"/>
      <c r="CF523" s="228"/>
      <c r="CG523" s="228"/>
      <c r="CH523" s="228"/>
      <c r="CI523" s="228"/>
      <c r="CJ523" s="228"/>
      <c r="CK523" s="228"/>
      <c r="CL523" s="228"/>
      <c r="CM523" s="228"/>
      <c r="CN523" s="228"/>
      <c r="CO523" s="228"/>
      <c r="CP523" s="228"/>
      <c r="CQ523" s="228"/>
      <c r="CR523" s="228"/>
      <c r="CS523" s="228"/>
      <c r="CT523" s="228"/>
      <c r="CU523" s="228"/>
      <c r="CV523" s="228"/>
      <c r="CW523" s="228"/>
      <c r="CX523" s="228"/>
      <c r="CY523" s="228"/>
      <c r="CZ523" s="228"/>
      <c r="DA523" s="228"/>
      <c r="DB523" s="228"/>
    </row>
    <row r="524" ht="12.0" customHeight="1">
      <c r="A524" s="228"/>
      <c r="B524" s="228"/>
      <c r="C524" s="228"/>
      <c r="D524" s="228"/>
      <c r="E524" s="228"/>
      <c r="F524" s="228"/>
      <c r="G524" s="228"/>
      <c r="H524" s="228"/>
      <c r="I524" s="228"/>
      <c r="J524" s="228"/>
      <c r="K524" s="228"/>
      <c r="L524" s="228"/>
      <c r="M524" s="228"/>
      <c r="N524" s="228"/>
      <c r="O524" s="228"/>
      <c r="P524" s="228"/>
      <c r="Q524" s="228"/>
      <c r="R524" s="228"/>
      <c r="S524" s="228"/>
      <c r="T524" s="228"/>
      <c r="U524" s="228"/>
      <c r="V524" s="228"/>
      <c r="W524" s="228"/>
      <c r="X524" s="228"/>
      <c r="Y524" s="228"/>
      <c r="Z524" s="228"/>
      <c r="AA524" s="228"/>
      <c r="AB524" s="228"/>
      <c r="AC524" s="228"/>
      <c r="AD524" s="228"/>
      <c r="AE524" s="228"/>
      <c r="AF524" s="228"/>
      <c r="AG524" s="228"/>
      <c r="AH524" s="228"/>
      <c r="AI524" s="228"/>
      <c r="AJ524" s="228"/>
      <c r="AK524" s="228"/>
      <c r="AL524" s="228"/>
      <c r="AM524" s="228"/>
      <c r="AN524" s="228"/>
      <c r="AO524" s="228"/>
      <c r="AP524" s="228"/>
      <c r="AQ524" s="228"/>
      <c r="AR524" s="228"/>
      <c r="AS524" s="228"/>
      <c r="AT524" s="228"/>
      <c r="AU524" s="228"/>
      <c r="AV524" s="228"/>
      <c r="AW524" s="228"/>
      <c r="AX524" s="228"/>
      <c r="AY524" s="228"/>
      <c r="AZ524" s="228"/>
      <c r="BA524" s="228"/>
      <c r="BB524" s="228"/>
      <c r="BC524" s="228"/>
      <c r="BD524" s="228"/>
      <c r="BE524" s="228"/>
      <c r="BF524" s="228"/>
      <c r="BG524" s="228"/>
      <c r="BH524" s="228"/>
      <c r="BI524" s="228"/>
      <c r="BJ524" s="228"/>
      <c r="BK524" s="228"/>
      <c r="BL524" s="228"/>
      <c r="BM524" s="228"/>
      <c r="BN524" s="228"/>
      <c r="BO524" s="228"/>
      <c r="BP524" s="228"/>
      <c r="BQ524" s="228"/>
      <c r="BR524" s="228"/>
      <c r="BS524" s="228"/>
      <c r="BT524" s="228"/>
      <c r="BU524" s="228"/>
      <c r="BV524" s="228"/>
      <c r="BW524" s="228"/>
      <c r="BX524" s="228"/>
      <c r="BY524" s="228"/>
      <c r="BZ524" s="228"/>
      <c r="CA524" s="228"/>
      <c r="CB524" s="228"/>
      <c r="CC524" s="228"/>
      <c r="CD524" s="228"/>
      <c r="CE524" s="228"/>
      <c r="CF524" s="228"/>
      <c r="CG524" s="228"/>
      <c r="CH524" s="228"/>
      <c r="CI524" s="228"/>
      <c r="CJ524" s="228"/>
      <c r="CK524" s="228"/>
      <c r="CL524" s="228"/>
      <c r="CM524" s="228"/>
      <c r="CN524" s="228"/>
      <c r="CO524" s="228"/>
      <c r="CP524" s="228"/>
      <c r="CQ524" s="228"/>
      <c r="CR524" s="228"/>
      <c r="CS524" s="228"/>
      <c r="CT524" s="228"/>
      <c r="CU524" s="228"/>
      <c r="CV524" s="228"/>
      <c r="CW524" s="228"/>
      <c r="CX524" s="228"/>
      <c r="CY524" s="228"/>
      <c r="CZ524" s="228"/>
      <c r="DA524" s="228"/>
      <c r="DB524" s="228"/>
    </row>
    <row r="525" ht="12.0" customHeight="1">
      <c r="A525" s="228"/>
      <c r="B525" s="228"/>
      <c r="C525" s="228"/>
      <c r="D525" s="228"/>
      <c r="E525" s="228"/>
      <c r="F525" s="228"/>
      <c r="G525" s="228"/>
      <c r="H525" s="228"/>
      <c r="I525" s="228"/>
      <c r="J525" s="228"/>
      <c r="K525" s="228"/>
      <c r="L525" s="228"/>
      <c r="M525" s="228"/>
      <c r="N525" s="228"/>
      <c r="O525" s="228"/>
      <c r="P525" s="228"/>
      <c r="Q525" s="228"/>
      <c r="R525" s="228"/>
      <c r="S525" s="228"/>
      <c r="T525" s="228"/>
      <c r="U525" s="228"/>
      <c r="V525" s="228"/>
      <c r="W525" s="228"/>
      <c r="X525" s="228"/>
      <c r="Y525" s="228"/>
      <c r="Z525" s="228"/>
      <c r="AA525" s="228"/>
      <c r="AB525" s="228"/>
      <c r="AC525" s="228"/>
      <c r="AD525" s="228"/>
      <c r="AE525" s="228"/>
      <c r="AF525" s="228"/>
      <c r="AG525" s="228"/>
      <c r="AH525" s="228"/>
      <c r="AI525" s="228"/>
      <c r="AJ525" s="228"/>
      <c r="AK525" s="228"/>
      <c r="AL525" s="228"/>
      <c r="AM525" s="228"/>
      <c r="AN525" s="228"/>
      <c r="AO525" s="228"/>
      <c r="AP525" s="228"/>
      <c r="AQ525" s="228"/>
      <c r="AR525" s="228"/>
      <c r="AS525" s="228"/>
      <c r="AT525" s="228"/>
      <c r="AU525" s="228"/>
      <c r="AV525" s="228"/>
      <c r="AW525" s="228"/>
      <c r="AX525" s="228"/>
      <c r="AY525" s="228"/>
      <c r="AZ525" s="228"/>
      <c r="BA525" s="228"/>
      <c r="BB525" s="228"/>
      <c r="BC525" s="228"/>
      <c r="BD525" s="228"/>
      <c r="BE525" s="228"/>
      <c r="BF525" s="228"/>
      <c r="BG525" s="228"/>
      <c r="BH525" s="228"/>
      <c r="BI525" s="228"/>
      <c r="BJ525" s="228"/>
      <c r="BK525" s="228"/>
      <c r="BL525" s="228"/>
      <c r="BM525" s="228"/>
      <c r="BN525" s="228"/>
      <c r="BO525" s="228"/>
      <c r="BP525" s="228"/>
      <c r="BQ525" s="228"/>
      <c r="BR525" s="228"/>
      <c r="BS525" s="228"/>
      <c r="BT525" s="228"/>
      <c r="BU525" s="228"/>
      <c r="BV525" s="228"/>
      <c r="BW525" s="228"/>
      <c r="BX525" s="228"/>
      <c r="BY525" s="228"/>
      <c r="BZ525" s="228"/>
      <c r="CA525" s="228"/>
      <c r="CB525" s="228"/>
      <c r="CC525" s="228"/>
      <c r="CD525" s="228"/>
      <c r="CE525" s="228"/>
      <c r="CF525" s="228"/>
      <c r="CG525" s="228"/>
      <c r="CH525" s="228"/>
      <c r="CI525" s="228"/>
      <c r="CJ525" s="228"/>
      <c r="CK525" s="228"/>
      <c r="CL525" s="228"/>
      <c r="CM525" s="228"/>
      <c r="CN525" s="228"/>
      <c r="CO525" s="228"/>
      <c r="CP525" s="228"/>
      <c r="CQ525" s="228"/>
      <c r="CR525" s="228"/>
      <c r="CS525" s="228"/>
      <c r="CT525" s="228"/>
      <c r="CU525" s="228"/>
      <c r="CV525" s="228"/>
      <c r="CW525" s="228"/>
      <c r="CX525" s="228"/>
      <c r="CY525" s="228"/>
      <c r="CZ525" s="228"/>
      <c r="DA525" s="228"/>
      <c r="DB525" s="228"/>
    </row>
    <row r="526" ht="12.0" customHeight="1">
      <c r="A526" s="228"/>
      <c r="B526" s="228"/>
      <c r="C526" s="228"/>
      <c r="D526" s="228"/>
      <c r="E526" s="228"/>
      <c r="F526" s="228"/>
      <c r="G526" s="228"/>
      <c r="H526" s="228"/>
      <c r="I526" s="228"/>
      <c r="J526" s="228"/>
      <c r="K526" s="228"/>
      <c r="L526" s="228"/>
      <c r="M526" s="228"/>
      <c r="N526" s="228"/>
      <c r="O526" s="228"/>
      <c r="P526" s="228"/>
      <c r="Q526" s="228"/>
      <c r="R526" s="228"/>
      <c r="S526" s="228"/>
      <c r="T526" s="228"/>
      <c r="U526" s="228"/>
      <c r="V526" s="228"/>
      <c r="W526" s="228"/>
      <c r="X526" s="228"/>
      <c r="Y526" s="228"/>
      <c r="Z526" s="228"/>
      <c r="AA526" s="228"/>
      <c r="AB526" s="228"/>
      <c r="AC526" s="228"/>
      <c r="AD526" s="228"/>
      <c r="AE526" s="228"/>
      <c r="AF526" s="228"/>
      <c r="AG526" s="228"/>
      <c r="AH526" s="228"/>
      <c r="AI526" s="228"/>
      <c r="AJ526" s="228"/>
      <c r="AK526" s="228"/>
      <c r="AL526" s="228"/>
      <c r="AM526" s="228"/>
      <c r="AN526" s="228"/>
      <c r="AO526" s="228"/>
      <c r="AP526" s="228"/>
      <c r="AQ526" s="228"/>
      <c r="AR526" s="228"/>
      <c r="AS526" s="228"/>
      <c r="AT526" s="228"/>
      <c r="AU526" s="228"/>
      <c r="AV526" s="228"/>
      <c r="AW526" s="228"/>
      <c r="AX526" s="228"/>
      <c r="AY526" s="228"/>
      <c r="AZ526" s="228"/>
      <c r="BA526" s="228"/>
      <c r="BB526" s="228"/>
      <c r="BC526" s="228"/>
      <c r="BD526" s="228"/>
      <c r="BE526" s="228"/>
      <c r="BF526" s="228"/>
      <c r="BG526" s="228"/>
      <c r="BH526" s="228"/>
      <c r="BI526" s="228"/>
      <c r="BJ526" s="228"/>
      <c r="BK526" s="228"/>
      <c r="BL526" s="228"/>
      <c r="BM526" s="228"/>
      <c r="BN526" s="228"/>
      <c r="BO526" s="228"/>
      <c r="BP526" s="228"/>
      <c r="BQ526" s="228"/>
      <c r="BR526" s="228"/>
      <c r="BS526" s="228"/>
      <c r="BT526" s="228"/>
      <c r="BU526" s="228"/>
      <c r="BV526" s="228"/>
      <c r="BW526" s="228"/>
      <c r="BX526" s="228"/>
      <c r="BY526" s="228"/>
      <c r="BZ526" s="228"/>
      <c r="CA526" s="228"/>
      <c r="CB526" s="228"/>
      <c r="CC526" s="228"/>
      <c r="CD526" s="228"/>
      <c r="CE526" s="228"/>
      <c r="CF526" s="228"/>
      <c r="CG526" s="228"/>
      <c r="CH526" s="228"/>
      <c r="CI526" s="228"/>
      <c r="CJ526" s="228"/>
      <c r="CK526" s="228"/>
      <c r="CL526" s="228"/>
      <c r="CM526" s="228"/>
      <c r="CN526" s="228"/>
      <c r="CO526" s="228"/>
      <c r="CP526" s="228"/>
      <c r="CQ526" s="228"/>
      <c r="CR526" s="228"/>
      <c r="CS526" s="228"/>
      <c r="CT526" s="228"/>
      <c r="CU526" s="228"/>
      <c r="CV526" s="228"/>
      <c r="CW526" s="228"/>
      <c r="CX526" s="228"/>
      <c r="CY526" s="228"/>
      <c r="CZ526" s="228"/>
      <c r="DA526" s="228"/>
      <c r="DB526" s="228"/>
    </row>
    <row r="527" ht="12.0" customHeight="1">
      <c r="A527" s="228"/>
      <c r="B527" s="228"/>
      <c r="C527" s="228"/>
      <c r="D527" s="228"/>
      <c r="E527" s="228"/>
      <c r="F527" s="228"/>
      <c r="G527" s="228"/>
      <c r="H527" s="228"/>
      <c r="I527" s="228"/>
      <c r="J527" s="228"/>
      <c r="K527" s="228"/>
      <c r="L527" s="228"/>
      <c r="M527" s="228"/>
      <c r="N527" s="228"/>
      <c r="O527" s="228"/>
      <c r="P527" s="228"/>
      <c r="Q527" s="228"/>
      <c r="R527" s="228"/>
      <c r="S527" s="228"/>
      <c r="T527" s="228"/>
      <c r="U527" s="228"/>
      <c r="V527" s="228"/>
      <c r="W527" s="228"/>
      <c r="X527" s="228"/>
      <c r="Y527" s="228"/>
      <c r="Z527" s="228"/>
      <c r="AA527" s="228"/>
      <c r="AB527" s="228"/>
      <c r="AC527" s="228"/>
      <c r="AD527" s="228"/>
      <c r="AE527" s="228"/>
      <c r="AF527" s="228"/>
      <c r="AG527" s="228"/>
      <c r="AH527" s="228"/>
      <c r="AI527" s="228"/>
      <c r="AJ527" s="228"/>
      <c r="AK527" s="228"/>
      <c r="AL527" s="228"/>
      <c r="AM527" s="228"/>
      <c r="AN527" s="228"/>
      <c r="AO527" s="228"/>
      <c r="AP527" s="228"/>
      <c r="AQ527" s="228"/>
      <c r="AR527" s="228"/>
      <c r="AS527" s="228"/>
      <c r="AT527" s="228"/>
      <c r="AU527" s="228"/>
      <c r="AV527" s="228"/>
      <c r="AW527" s="228"/>
      <c r="AX527" s="228"/>
      <c r="AY527" s="228"/>
      <c r="AZ527" s="228"/>
      <c r="BA527" s="228"/>
      <c r="BB527" s="228"/>
      <c r="BC527" s="228"/>
      <c r="BD527" s="228"/>
      <c r="BE527" s="228"/>
      <c r="BF527" s="228"/>
      <c r="BG527" s="228"/>
      <c r="BH527" s="228"/>
      <c r="BI527" s="228"/>
      <c r="BJ527" s="228"/>
      <c r="BK527" s="228"/>
      <c r="BL527" s="228"/>
      <c r="BM527" s="228"/>
      <c r="BN527" s="228"/>
      <c r="BO527" s="228"/>
      <c r="BP527" s="228"/>
      <c r="BQ527" s="228"/>
      <c r="BR527" s="228"/>
      <c r="BS527" s="228"/>
      <c r="BT527" s="228"/>
      <c r="BU527" s="228"/>
      <c r="BV527" s="228"/>
      <c r="BW527" s="228"/>
      <c r="BX527" s="228"/>
      <c r="BY527" s="228"/>
      <c r="BZ527" s="228"/>
      <c r="CA527" s="228"/>
      <c r="CB527" s="228"/>
      <c r="CC527" s="228"/>
      <c r="CD527" s="228"/>
      <c r="CE527" s="228"/>
      <c r="CF527" s="228"/>
      <c r="CG527" s="228"/>
      <c r="CH527" s="228"/>
      <c r="CI527" s="228"/>
      <c r="CJ527" s="228"/>
      <c r="CK527" s="228"/>
      <c r="CL527" s="228"/>
      <c r="CM527" s="228"/>
      <c r="CN527" s="228"/>
      <c r="CO527" s="228"/>
      <c r="CP527" s="228"/>
      <c r="CQ527" s="228"/>
      <c r="CR527" s="228"/>
      <c r="CS527" s="228"/>
      <c r="CT527" s="228"/>
      <c r="CU527" s="228"/>
      <c r="CV527" s="228"/>
      <c r="CW527" s="228"/>
      <c r="CX527" s="228"/>
      <c r="CY527" s="228"/>
      <c r="CZ527" s="228"/>
      <c r="DA527" s="228"/>
      <c r="DB527" s="228"/>
    </row>
    <row r="528" ht="12.0" customHeight="1">
      <c r="A528" s="228"/>
      <c r="B528" s="228"/>
      <c r="C528" s="228"/>
      <c r="D528" s="228"/>
      <c r="E528" s="228"/>
      <c r="F528" s="228"/>
      <c r="G528" s="228"/>
      <c r="H528" s="228"/>
      <c r="I528" s="228"/>
      <c r="J528" s="228"/>
      <c r="K528" s="228"/>
      <c r="L528" s="228"/>
      <c r="M528" s="228"/>
      <c r="N528" s="228"/>
      <c r="O528" s="228"/>
      <c r="P528" s="228"/>
      <c r="Q528" s="228"/>
      <c r="R528" s="228"/>
      <c r="S528" s="228"/>
      <c r="T528" s="228"/>
      <c r="U528" s="228"/>
      <c r="V528" s="228"/>
      <c r="W528" s="228"/>
      <c r="X528" s="228"/>
      <c r="Y528" s="228"/>
      <c r="Z528" s="228"/>
      <c r="AA528" s="228"/>
      <c r="AB528" s="228"/>
      <c r="AC528" s="228"/>
      <c r="AD528" s="228"/>
      <c r="AE528" s="228"/>
      <c r="AF528" s="228"/>
      <c r="AG528" s="228"/>
      <c r="AH528" s="228"/>
      <c r="AI528" s="228"/>
      <c r="AJ528" s="228"/>
      <c r="AK528" s="228"/>
      <c r="AL528" s="228"/>
      <c r="AM528" s="228"/>
      <c r="AN528" s="228"/>
      <c r="AO528" s="228"/>
      <c r="AP528" s="228"/>
      <c r="AQ528" s="228"/>
      <c r="AR528" s="228"/>
      <c r="AS528" s="228"/>
      <c r="AT528" s="228"/>
      <c r="AU528" s="228"/>
      <c r="AV528" s="228"/>
      <c r="AW528" s="228"/>
      <c r="AX528" s="228"/>
      <c r="AY528" s="228"/>
      <c r="AZ528" s="228"/>
      <c r="BA528" s="228"/>
      <c r="BB528" s="228"/>
      <c r="BC528" s="228"/>
      <c r="BD528" s="228"/>
      <c r="BE528" s="228"/>
      <c r="BF528" s="228"/>
      <c r="BG528" s="228"/>
      <c r="BH528" s="228"/>
      <c r="BI528" s="228"/>
      <c r="BJ528" s="228"/>
      <c r="BK528" s="228"/>
      <c r="BL528" s="228"/>
      <c r="BM528" s="228"/>
      <c r="BN528" s="228"/>
      <c r="BO528" s="228"/>
      <c r="BP528" s="228"/>
      <c r="BQ528" s="228"/>
      <c r="BR528" s="228"/>
      <c r="BS528" s="228"/>
      <c r="BT528" s="228"/>
      <c r="BU528" s="228"/>
      <c r="BV528" s="228"/>
      <c r="BW528" s="228"/>
      <c r="BX528" s="228"/>
      <c r="BY528" s="228"/>
      <c r="BZ528" s="228"/>
      <c r="CA528" s="228"/>
      <c r="CB528" s="228"/>
      <c r="CC528" s="228"/>
      <c r="CD528" s="228"/>
      <c r="CE528" s="228"/>
      <c r="CF528" s="228"/>
      <c r="CG528" s="228"/>
      <c r="CH528" s="228"/>
      <c r="CI528" s="228"/>
      <c r="CJ528" s="228"/>
      <c r="CK528" s="228"/>
      <c r="CL528" s="228"/>
      <c r="CM528" s="228"/>
      <c r="CN528" s="228"/>
      <c r="CO528" s="228"/>
      <c r="CP528" s="228"/>
      <c r="CQ528" s="228"/>
      <c r="CR528" s="228"/>
      <c r="CS528" s="228"/>
      <c r="CT528" s="228"/>
      <c r="CU528" s="228"/>
      <c r="CV528" s="228"/>
      <c r="CW528" s="228"/>
      <c r="CX528" s="228"/>
      <c r="CY528" s="228"/>
      <c r="CZ528" s="228"/>
      <c r="DA528" s="228"/>
      <c r="DB528" s="228"/>
    </row>
    <row r="529" ht="12.0" customHeight="1">
      <c r="A529" s="228"/>
      <c r="B529" s="228"/>
      <c r="C529" s="228"/>
      <c r="D529" s="228"/>
      <c r="E529" s="228"/>
      <c r="F529" s="228"/>
      <c r="G529" s="228"/>
      <c r="H529" s="228"/>
      <c r="I529" s="228"/>
      <c r="J529" s="228"/>
      <c r="K529" s="228"/>
      <c r="L529" s="228"/>
      <c r="M529" s="228"/>
      <c r="N529" s="228"/>
      <c r="O529" s="228"/>
      <c r="P529" s="228"/>
      <c r="Q529" s="228"/>
      <c r="R529" s="228"/>
      <c r="S529" s="228"/>
      <c r="T529" s="228"/>
      <c r="U529" s="228"/>
      <c r="V529" s="228"/>
      <c r="W529" s="228"/>
      <c r="X529" s="228"/>
      <c r="Y529" s="228"/>
      <c r="Z529" s="228"/>
      <c r="AA529" s="228"/>
      <c r="AB529" s="228"/>
      <c r="AC529" s="228"/>
      <c r="AD529" s="228"/>
      <c r="AE529" s="228"/>
      <c r="AF529" s="228"/>
      <c r="AG529" s="228"/>
      <c r="AH529" s="228"/>
      <c r="AI529" s="228"/>
      <c r="AJ529" s="228"/>
      <c r="AK529" s="228"/>
      <c r="AL529" s="228"/>
      <c r="AM529" s="228"/>
      <c r="AN529" s="228"/>
      <c r="AO529" s="228"/>
      <c r="AP529" s="228"/>
      <c r="AQ529" s="228"/>
      <c r="AR529" s="228"/>
      <c r="AS529" s="228"/>
      <c r="AT529" s="228"/>
      <c r="AU529" s="228"/>
      <c r="AV529" s="228"/>
      <c r="AW529" s="228"/>
      <c r="AX529" s="228"/>
      <c r="AY529" s="228"/>
      <c r="AZ529" s="228"/>
      <c r="BA529" s="228"/>
      <c r="BB529" s="228"/>
      <c r="BC529" s="228"/>
      <c r="BD529" s="228"/>
      <c r="BE529" s="228"/>
      <c r="BF529" s="228"/>
      <c r="BG529" s="228"/>
      <c r="BH529" s="228"/>
      <c r="BI529" s="228"/>
      <c r="BJ529" s="228"/>
      <c r="BK529" s="228"/>
      <c r="BL529" s="228"/>
      <c r="BM529" s="228"/>
      <c r="BN529" s="228"/>
      <c r="BO529" s="228"/>
      <c r="BP529" s="228"/>
      <c r="BQ529" s="228"/>
      <c r="BR529" s="228"/>
      <c r="BS529" s="228"/>
      <c r="BT529" s="228"/>
      <c r="BU529" s="228"/>
      <c r="BV529" s="228"/>
      <c r="BW529" s="228"/>
      <c r="BX529" s="228"/>
      <c r="BY529" s="228"/>
      <c r="BZ529" s="228"/>
      <c r="CA529" s="228"/>
      <c r="CB529" s="228"/>
      <c r="CC529" s="228"/>
      <c r="CD529" s="228"/>
      <c r="CE529" s="228"/>
      <c r="CF529" s="228"/>
      <c r="CG529" s="228"/>
      <c r="CH529" s="228"/>
      <c r="CI529" s="228"/>
      <c r="CJ529" s="228"/>
      <c r="CK529" s="228"/>
      <c r="CL529" s="228"/>
      <c r="CM529" s="228"/>
      <c r="CN529" s="228"/>
      <c r="CO529" s="228"/>
      <c r="CP529" s="228"/>
      <c r="CQ529" s="228"/>
      <c r="CR529" s="228"/>
      <c r="CS529" s="228"/>
      <c r="CT529" s="228"/>
      <c r="CU529" s="228"/>
      <c r="CV529" s="228"/>
      <c r="CW529" s="228"/>
      <c r="CX529" s="228"/>
      <c r="CY529" s="228"/>
      <c r="CZ529" s="228"/>
      <c r="DA529" s="228"/>
      <c r="DB529" s="228"/>
    </row>
    <row r="530" ht="12.0" customHeight="1">
      <c r="A530" s="228"/>
      <c r="B530" s="228"/>
      <c r="C530" s="228"/>
      <c r="D530" s="228"/>
      <c r="E530" s="228"/>
      <c r="F530" s="228"/>
      <c r="G530" s="228"/>
      <c r="H530" s="228"/>
      <c r="I530" s="228"/>
      <c r="J530" s="228"/>
      <c r="K530" s="228"/>
      <c r="L530" s="228"/>
      <c r="M530" s="228"/>
      <c r="N530" s="228"/>
      <c r="O530" s="228"/>
      <c r="P530" s="228"/>
      <c r="Q530" s="228"/>
      <c r="R530" s="228"/>
      <c r="S530" s="228"/>
      <c r="T530" s="228"/>
      <c r="U530" s="228"/>
      <c r="V530" s="228"/>
      <c r="W530" s="228"/>
      <c r="X530" s="228"/>
      <c r="Y530" s="228"/>
      <c r="Z530" s="228"/>
      <c r="AA530" s="228"/>
      <c r="AB530" s="228"/>
      <c r="AC530" s="228"/>
      <c r="AD530" s="228"/>
      <c r="AE530" s="228"/>
      <c r="AF530" s="228"/>
      <c r="AG530" s="228"/>
      <c r="AH530" s="228"/>
      <c r="AI530" s="228"/>
      <c r="AJ530" s="228"/>
      <c r="AK530" s="228"/>
      <c r="AL530" s="228"/>
      <c r="AM530" s="228"/>
      <c r="AN530" s="228"/>
      <c r="AO530" s="228"/>
      <c r="AP530" s="228"/>
      <c r="AQ530" s="228"/>
      <c r="AR530" s="228"/>
      <c r="AS530" s="228"/>
      <c r="AT530" s="228"/>
      <c r="AU530" s="228"/>
      <c r="AV530" s="228"/>
      <c r="AW530" s="228"/>
      <c r="AX530" s="228"/>
      <c r="AY530" s="228"/>
      <c r="AZ530" s="228"/>
      <c r="BA530" s="228"/>
      <c r="BB530" s="228"/>
      <c r="BC530" s="228"/>
      <c r="BD530" s="228"/>
      <c r="BE530" s="228"/>
      <c r="BF530" s="228"/>
      <c r="BG530" s="228"/>
      <c r="BH530" s="228"/>
      <c r="BI530" s="228"/>
      <c r="BJ530" s="228"/>
      <c r="BK530" s="228"/>
      <c r="BL530" s="228"/>
      <c r="BM530" s="228"/>
      <c r="BN530" s="228"/>
      <c r="BO530" s="228"/>
      <c r="BP530" s="228"/>
      <c r="BQ530" s="228"/>
      <c r="BR530" s="228"/>
      <c r="BS530" s="228"/>
      <c r="BT530" s="228"/>
      <c r="BU530" s="228"/>
      <c r="BV530" s="228"/>
      <c r="BW530" s="228"/>
      <c r="BX530" s="228"/>
      <c r="BY530" s="228"/>
      <c r="BZ530" s="228"/>
      <c r="CA530" s="228"/>
      <c r="CB530" s="228"/>
      <c r="CC530" s="228"/>
      <c r="CD530" s="228"/>
      <c r="CE530" s="228"/>
      <c r="CF530" s="228"/>
      <c r="CG530" s="228"/>
      <c r="CH530" s="228"/>
      <c r="CI530" s="228"/>
      <c r="CJ530" s="228"/>
      <c r="CK530" s="228"/>
      <c r="CL530" s="228"/>
      <c r="CM530" s="228"/>
      <c r="CN530" s="228"/>
      <c r="CO530" s="228"/>
      <c r="CP530" s="228"/>
      <c r="CQ530" s="228"/>
      <c r="CR530" s="228"/>
      <c r="CS530" s="228"/>
      <c r="CT530" s="228"/>
      <c r="CU530" s="228"/>
      <c r="CV530" s="228"/>
      <c r="CW530" s="228"/>
      <c r="CX530" s="228"/>
      <c r="CY530" s="228"/>
      <c r="CZ530" s="228"/>
      <c r="DA530" s="228"/>
      <c r="DB530" s="228"/>
    </row>
    <row r="531" ht="12.0" customHeight="1">
      <c r="A531" s="228"/>
      <c r="B531" s="228"/>
      <c r="C531" s="228"/>
      <c r="D531" s="228"/>
      <c r="E531" s="228"/>
      <c r="F531" s="228"/>
      <c r="G531" s="228"/>
      <c r="H531" s="228"/>
      <c r="I531" s="228"/>
      <c r="J531" s="228"/>
      <c r="K531" s="228"/>
      <c r="L531" s="228"/>
      <c r="M531" s="228"/>
      <c r="N531" s="228"/>
      <c r="O531" s="228"/>
      <c r="P531" s="228"/>
      <c r="Q531" s="228"/>
      <c r="R531" s="228"/>
      <c r="S531" s="228"/>
      <c r="T531" s="228"/>
      <c r="U531" s="228"/>
      <c r="V531" s="228"/>
      <c r="W531" s="228"/>
      <c r="X531" s="228"/>
      <c r="Y531" s="228"/>
      <c r="Z531" s="228"/>
      <c r="AA531" s="228"/>
      <c r="AB531" s="228"/>
      <c r="AC531" s="228"/>
      <c r="AD531" s="228"/>
      <c r="AE531" s="228"/>
      <c r="AF531" s="228"/>
      <c r="AG531" s="228"/>
      <c r="AH531" s="228"/>
      <c r="AI531" s="228"/>
      <c r="AJ531" s="228"/>
      <c r="AK531" s="228"/>
      <c r="AL531" s="228"/>
      <c r="AM531" s="228"/>
      <c r="AN531" s="228"/>
      <c r="AO531" s="228"/>
      <c r="AP531" s="228"/>
      <c r="AQ531" s="228"/>
      <c r="AR531" s="228"/>
      <c r="AS531" s="228"/>
      <c r="AT531" s="228"/>
      <c r="AU531" s="228"/>
      <c r="AV531" s="228"/>
      <c r="AW531" s="228"/>
      <c r="AX531" s="228"/>
      <c r="AY531" s="228"/>
      <c r="AZ531" s="228"/>
      <c r="BA531" s="228"/>
      <c r="BB531" s="228"/>
      <c r="BC531" s="228"/>
      <c r="BD531" s="228"/>
      <c r="BE531" s="228"/>
      <c r="BF531" s="228"/>
      <c r="BG531" s="228"/>
      <c r="BH531" s="228"/>
      <c r="BI531" s="228"/>
      <c r="BJ531" s="228"/>
      <c r="BK531" s="228"/>
      <c r="BL531" s="228"/>
      <c r="BM531" s="228"/>
      <c r="BN531" s="228"/>
      <c r="BO531" s="228"/>
      <c r="BP531" s="228"/>
      <c r="BQ531" s="228"/>
      <c r="BR531" s="228"/>
      <c r="BS531" s="228"/>
      <c r="BT531" s="228"/>
      <c r="BU531" s="228"/>
      <c r="BV531" s="228"/>
      <c r="BW531" s="228"/>
      <c r="BX531" s="228"/>
      <c r="BY531" s="228"/>
      <c r="BZ531" s="228"/>
      <c r="CA531" s="228"/>
      <c r="CB531" s="228"/>
      <c r="CC531" s="228"/>
      <c r="CD531" s="228"/>
      <c r="CE531" s="228"/>
      <c r="CF531" s="228"/>
      <c r="CG531" s="228"/>
      <c r="CH531" s="228"/>
      <c r="CI531" s="228"/>
      <c r="CJ531" s="228"/>
      <c r="CK531" s="228"/>
      <c r="CL531" s="228"/>
      <c r="CM531" s="228"/>
      <c r="CN531" s="228"/>
      <c r="CO531" s="228"/>
      <c r="CP531" s="228"/>
      <c r="CQ531" s="228"/>
      <c r="CR531" s="228"/>
      <c r="CS531" s="228"/>
      <c r="CT531" s="228"/>
      <c r="CU531" s="228"/>
      <c r="CV531" s="228"/>
      <c r="CW531" s="228"/>
      <c r="CX531" s="228"/>
      <c r="CY531" s="228"/>
      <c r="CZ531" s="228"/>
      <c r="DA531" s="228"/>
      <c r="DB531" s="228"/>
    </row>
    <row r="532" ht="12.0" customHeight="1">
      <c r="A532" s="228"/>
      <c r="B532" s="228"/>
      <c r="C532" s="228"/>
      <c r="D532" s="228"/>
      <c r="E532" s="228"/>
      <c r="F532" s="228"/>
      <c r="G532" s="228"/>
      <c r="H532" s="228"/>
      <c r="I532" s="228"/>
      <c r="J532" s="228"/>
      <c r="K532" s="228"/>
      <c r="L532" s="228"/>
      <c r="M532" s="228"/>
      <c r="N532" s="228"/>
      <c r="O532" s="228"/>
      <c r="P532" s="228"/>
      <c r="Q532" s="228"/>
      <c r="R532" s="228"/>
      <c r="S532" s="228"/>
      <c r="T532" s="228"/>
      <c r="U532" s="228"/>
      <c r="V532" s="228"/>
      <c r="W532" s="228"/>
      <c r="X532" s="228"/>
      <c r="Y532" s="228"/>
      <c r="Z532" s="228"/>
      <c r="AA532" s="228"/>
      <c r="AB532" s="228"/>
      <c r="AC532" s="228"/>
      <c r="AD532" s="228"/>
      <c r="AE532" s="228"/>
      <c r="AF532" s="228"/>
      <c r="AG532" s="228"/>
      <c r="AH532" s="228"/>
      <c r="AI532" s="228"/>
      <c r="AJ532" s="228"/>
      <c r="AK532" s="228"/>
      <c r="AL532" s="228"/>
      <c r="AM532" s="228"/>
      <c r="AN532" s="228"/>
      <c r="AO532" s="228"/>
      <c r="AP532" s="228"/>
      <c r="AQ532" s="228"/>
      <c r="AR532" s="228"/>
      <c r="AS532" s="228"/>
      <c r="AT532" s="228"/>
      <c r="AU532" s="228"/>
      <c r="AV532" s="228"/>
      <c r="AW532" s="228"/>
      <c r="AX532" s="228"/>
      <c r="AY532" s="228"/>
      <c r="AZ532" s="228"/>
      <c r="BA532" s="228"/>
      <c r="BB532" s="228"/>
      <c r="BC532" s="228"/>
      <c r="BD532" s="228"/>
      <c r="BE532" s="228"/>
      <c r="BF532" s="228"/>
      <c r="BG532" s="228"/>
      <c r="BH532" s="228"/>
      <c r="BI532" s="228"/>
      <c r="BJ532" s="228"/>
      <c r="BK532" s="228"/>
      <c r="BL532" s="228"/>
      <c r="BM532" s="228"/>
      <c r="BN532" s="228"/>
      <c r="BO532" s="228"/>
      <c r="BP532" s="228"/>
      <c r="BQ532" s="228"/>
      <c r="BR532" s="228"/>
      <c r="BS532" s="228"/>
      <c r="BT532" s="228"/>
      <c r="BU532" s="228"/>
      <c r="BV532" s="228"/>
      <c r="BW532" s="228"/>
      <c r="BX532" s="228"/>
      <c r="BY532" s="228"/>
      <c r="BZ532" s="228"/>
      <c r="CA532" s="228"/>
      <c r="CB532" s="228"/>
      <c r="CC532" s="228"/>
      <c r="CD532" s="228"/>
      <c r="CE532" s="228"/>
      <c r="CF532" s="228"/>
      <c r="CG532" s="228"/>
      <c r="CH532" s="228"/>
      <c r="CI532" s="228"/>
      <c r="CJ532" s="228"/>
      <c r="CK532" s="228"/>
      <c r="CL532" s="228"/>
      <c r="CM532" s="228"/>
      <c r="CN532" s="228"/>
      <c r="CO532" s="228"/>
      <c r="CP532" s="228"/>
      <c r="CQ532" s="228"/>
      <c r="CR532" s="228"/>
      <c r="CS532" s="228"/>
      <c r="CT532" s="228"/>
      <c r="CU532" s="228"/>
      <c r="CV532" s="228"/>
      <c r="CW532" s="228"/>
      <c r="CX532" s="228"/>
      <c r="CY532" s="228"/>
      <c r="CZ532" s="228"/>
      <c r="DA532" s="228"/>
      <c r="DB532" s="228"/>
    </row>
    <row r="533" ht="12.0" customHeight="1">
      <c r="A533" s="228"/>
      <c r="B533" s="228"/>
      <c r="C533" s="228"/>
      <c r="D533" s="228"/>
      <c r="E533" s="228"/>
      <c r="F533" s="228"/>
      <c r="G533" s="228"/>
      <c r="H533" s="228"/>
      <c r="I533" s="228"/>
      <c r="J533" s="228"/>
      <c r="K533" s="228"/>
      <c r="L533" s="228"/>
      <c r="M533" s="228"/>
      <c r="N533" s="228"/>
      <c r="O533" s="228"/>
      <c r="P533" s="228"/>
      <c r="Q533" s="228"/>
      <c r="R533" s="228"/>
      <c r="S533" s="228"/>
      <c r="T533" s="228"/>
      <c r="U533" s="228"/>
      <c r="V533" s="228"/>
      <c r="W533" s="228"/>
      <c r="X533" s="228"/>
      <c r="Y533" s="228"/>
      <c r="Z533" s="228"/>
      <c r="AA533" s="228"/>
      <c r="AB533" s="228"/>
      <c r="AC533" s="228"/>
      <c r="AD533" s="228"/>
      <c r="AE533" s="228"/>
      <c r="AF533" s="228"/>
      <c r="AG533" s="228"/>
      <c r="AH533" s="228"/>
      <c r="AI533" s="228"/>
      <c r="AJ533" s="228"/>
      <c r="AK533" s="228"/>
      <c r="AL533" s="228"/>
      <c r="AM533" s="228"/>
      <c r="AN533" s="228"/>
      <c r="AO533" s="228"/>
      <c r="AP533" s="228"/>
      <c r="AQ533" s="228"/>
      <c r="AR533" s="228"/>
      <c r="AS533" s="228"/>
      <c r="AT533" s="228"/>
      <c r="AU533" s="228"/>
      <c r="AV533" s="228"/>
      <c r="AW533" s="228"/>
      <c r="AX533" s="228"/>
      <c r="AY533" s="228"/>
      <c r="AZ533" s="228"/>
      <c r="BA533" s="228"/>
      <c r="BB533" s="228"/>
      <c r="BC533" s="228"/>
      <c r="BD533" s="228"/>
      <c r="BE533" s="228"/>
      <c r="BF533" s="228"/>
      <c r="BG533" s="228"/>
      <c r="BH533" s="228"/>
      <c r="BI533" s="228"/>
      <c r="BJ533" s="228"/>
      <c r="BK533" s="228"/>
      <c r="BL533" s="228"/>
      <c r="BM533" s="228"/>
      <c r="BN533" s="228"/>
      <c r="BO533" s="228"/>
      <c r="BP533" s="228"/>
      <c r="BQ533" s="228"/>
      <c r="BR533" s="228"/>
      <c r="BS533" s="228"/>
      <c r="BT533" s="228"/>
      <c r="BU533" s="228"/>
      <c r="BV533" s="228"/>
      <c r="BW533" s="228"/>
      <c r="BX533" s="228"/>
      <c r="BY533" s="228"/>
      <c r="BZ533" s="228"/>
      <c r="CA533" s="228"/>
      <c r="CB533" s="228"/>
      <c r="CC533" s="228"/>
      <c r="CD533" s="228"/>
      <c r="CE533" s="228"/>
      <c r="CF533" s="228"/>
      <c r="CG533" s="228"/>
      <c r="CH533" s="228"/>
      <c r="CI533" s="228"/>
      <c r="CJ533" s="228"/>
      <c r="CK533" s="228"/>
      <c r="CL533" s="228"/>
      <c r="CM533" s="228"/>
      <c r="CN533" s="228"/>
      <c r="CO533" s="228"/>
      <c r="CP533" s="228"/>
      <c r="CQ533" s="228"/>
      <c r="CR533" s="228"/>
      <c r="CS533" s="228"/>
      <c r="CT533" s="228"/>
      <c r="CU533" s="228"/>
      <c r="CV533" s="228"/>
      <c r="CW533" s="228"/>
      <c r="CX533" s="228"/>
      <c r="CY533" s="228"/>
      <c r="CZ533" s="228"/>
      <c r="DA533" s="228"/>
      <c r="DB533" s="228"/>
    </row>
    <row r="534" ht="12.0" customHeight="1">
      <c r="A534" s="228"/>
      <c r="B534" s="228"/>
      <c r="C534" s="228"/>
      <c r="D534" s="228"/>
      <c r="E534" s="228"/>
      <c r="F534" s="228"/>
      <c r="G534" s="228"/>
      <c r="H534" s="228"/>
      <c r="I534" s="228"/>
      <c r="J534" s="228"/>
      <c r="K534" s="228"/>
      <c r="L534" s="228"/>
      <c r="M534" s="228"/>
      <c r="N534" s="228"/>
      <c r="O534" s="228"/>
      <c r="P534" s="228"/>
      <c r="Q534" s="228"/>
      <c r="R534" s="228"/>
      <c r="S534" s="228"/>
      <c r="T534" s="228"/>
      <c r="U534" s="228"/>
      <c r="V534" s="228"/>
      <c r="W534" s="228"/>
      <c r="X534" s="228"/>
      <c r="Y534" s="228"/>
      <c r="Z534" s="228"/>
      <c r="AA534" s="228"/>
      <c r="AB534" s="228"/>
      <c r="AC534" s="228"/>
      <c r="AD534" s="228"/>
      <c r="AE534" s="228"/>
      <c r="AF534" s="228"/>
      <c r="AG534" s="228"/>
      <c r="AH534" s="228"/>
      <c r="AI534" s="228"/>
      <c r="AJ534" s="228"/>
      <c r="AK534" s="228"/>
      <c r="AL534" s="228"/>
      <c r="AM534" s="228"/>
      <c r="AN534" s="228"/>
      <c r="AO534" s="228"/>
      <c r="AP534" s="228"/>
      <c r="AQ534" s="228"/>
      <c r="AR534" s="228"/>
      <c r="AS534" s="228"/>
      <c r="AT534" s="228"/>
      <c r="AU534" s="228"/>
      <c r="AV534" s="228"/>
      <c r="AW534" s="228"/>
      <c r="AX534" s="228"/>
      <c r="AY534" s="228"/>
      <c r="AZ534" s="228"/>
      <c r="BA534" s="228"/>
      <c r="BB534" s="228"/>
      <c r="BC534" s="228"/>
      <c r="BD534" s="228"/>
      <c r="BE534" s="228"/>
      <c r="BF534" s="228"/>
      <c r="BG534" s="228"/>
      <c r="BH534" s="228"/>
      <c r="BI534" s="228"/>
      <c r="BJ534" s="228"/>
      <c r="BK534" s="228"/>
      <c r="BL534" s="228"/>
      <c r="BM534" s="228"/>
      <c r="BN534" s="228"/>
      <c r="BO534" s="228"/>
      <c r="BP534" s="228"/>
      <c r="BQ534" s="228"/>
      <c r="BR534" s="228"/>
      <c r="BS534" s="228"/>
      <c r="BT534" s="228"/>
      <c r="BU534" s="228"/>
      <c r="BV534" s="228"/>
      <c r="BW534" s="228"/>
      <c r="BX534" s="228"/>
      <c r="BY534" s="228"/>
      <c r="BZ534" s="228"/>
      <c r="CA534" s="228"/>
      <c r="CB534" s="228"/>
      <c r="CC534" s="228"/>
      <c r="CD534" s="228"/>
      <c r="CE534" s="228"/>
      <c r="CF534" s="228"/>
      <c r="CG534" s="228"/>
      <c r="CH534" s="228"/>
      <c r="CI534" s="228"/>
      <c r="CJ534" s="228"/>
      <c r="CK534" s="228"/>
      <c r="CL534" s="228"/>
      <c r="CM534" s="228"/>
      <c r="CN534" s="228"/>
      <c r="CO534" s="228"/>
      <c r="CP534" s="228"/>
      <c r="CQ534" s="228"/>
      <c r="CR534" s="228"/>
      <c r="CS534" s="228"/>
      <c r="CT534" s="228"/>
      <c r="CU534" s="228"/>
      <c r="CV534" s="228"/>
      <c r="CW534" s="228"/>
      <c r="CX534" s="228"/>
      <c r="CY534" s="228"/>
      <c r="CZ534" s="228"/>
      <c r="DA534" s="228"/>
      <c r="DB534" s="228"/>
    </row>
    <row r="535" ht="12.0" customHeight="1">
      <c r="A535" s="228"/>
      <c r="B535" s="228"/>
      <c r="C535" s="228"/>
      <c r="D535" s="228"/>
      <c r="E535" s="228"/>
      <c r="F535" s="228"/>
      <c r="G535" s="228"/>
      <c r="H535" s="228"/>
      <c r="I535" s="228"/>
      <c r="J535" s="228"/>
      <c r="K535" s="228"/>
      <c r="L535" s="228"/>
      <c r="M535" s="228"/>
      <c r="N535" s="228"/>
      <c r="O535" s="228"/>
      <c r="P535" s="228"/>
      <c r="Q535" s="228"/>
      <c r="R535" s="228"/>
      <c r="S535" s="228"/>
      <c r="T535" s="228"/>
      <c r="U535" s="228"/>
      <c r="V535" s="228"/>
      <c r="W535" s="228"/>
      <c r="X535" s="228"/>
      <c r="Y535" s="228"/>
      <c r="Z535" s="228"/>
      <c r="AA535" s="228"/>
      <c r="AB535" s="228"/>
      <c r="AC535" s="228"/>
      <c r="AD535" s="228"/>
      <c r="AE535" s="228"/>
      <c r="AF535" s="228"/>
      <c r="AG535" s="228"/>
      <c r="AH535" s="228"/>
      <c r="AI535" s="228"/>
      <c r="AJ535" s="228"/>
      <c r="AK535" s="228"/>
      <c r="AL535" s="228"/>
      <c r="AM535" s="228"/>
      <c r="AN535" s="228"/>
      <c r="AO535" s="228"/>
      <c r="AP535" s="228"/>
      <c r="AQ535" s="228"/>
      <c r="AR535" s="228"/>
      <c r="AS535" s="228"/>
      <c r="AT535" s="228"/>
      <c r="AU535" s="228"/>
      <c r="AV535" s="228"/>
      <c r="AW535" s="228"/>
      <c r="AX535" s="228"/>
      <c r="AY535" s="228"/>
      <c r="AZ535" s="228"/>
      <c r="BA535" s="228"/>
      <c r="BB535" s="228"/>
      <c r="BC535" s="228"/>
      <c r="BD535" s="228"/>
      <c r="BE535" s="228"/>
      <c r="BF535" s="228"/>
      <c r="BG535" s="228"/>
      <c r="BH535" s="228"/>
      <c r="BI535" s="228"/>
      <c r="BJ535" s="228"/>
      <c r="BK535" s="228"/>
      <c r="BL535" s="228"/>
      <c r="BM535" s="228"/>
      <c r="BN535" s="228"/>
      <c r="BO535" s="228"/>
      <c r="BP535" s="228"/>
      <c r="BQ535" s="228"/>
      <c r="BR535" s="228"/>
      <c r="BS535" s="228"/>
      <c r="BT535" s="228"/>
      <c r="BU535" s="228"/>
      <c r="BV535" s="228"/>
      <c r="BW535" s="228"/>
      <c r="BX535" s="228"/>
      <c r="BY535" s="228"/>
      <c r="BZ535" s="228"/>
      <c r="CA535" s="228"/>
      <c r="CB535" s="228"/>
      <c r="CC535" s="228"/>
      <c r="CD535" s="228"/>
      <c r="CE535" s="228"/>
      <c r="CF535" s="228"/>
      <c r="CG535" s="228"/>
      <c r="CH535" s="228"/>
      <c r="CI535" s="228"/>
      <c r="CJ535" s="228"/>
      <c r="CK535" s="228"/>
      <c r="CL535" s="228"/>
      <c r="CM535" s="228"/>
      <c r="CN535" s="228"/>
      <c r="CO535" s="228"/>
      <c r="CP535" s="228"/>
      <c r="CQ535" s="228"/>
      <c r="CR535" s="228"/>
      <c r="CS535" s="228"/>
      <c r="CT535" s="228"/>
      <c r="CU535" s="228"/>
      <c r="CV535" s="228"/>
      <c r="CW535" s="228"/>
      <c r="CX535" s="228"/>
      <c r="CY535" s="228"/>
      <c r="CZ535" s="228"/>
      <c r="DA535" s="228"/>
      <c r="DB535" s="228"/>
    </row>
    <row r="536" ht="12.0" customHeight="1">
      <c r="A536" s="228"/>
      <c r="B536" s="228"/>
      <c r="C536" s="228"/>
      <c r="D536" s="228"/>
      <c r="E536" s="228"/>
      <c r="F536" s="228"/>
      <c r="G536" s="228"/>
      <c r="H536" s="228"/>
      <c r="I536" s="228"/>
      <c r="J536" s="228"/>
      <c r="K536" s="228"/>
      <c r="L536" s="228"/>
      <c r="M536" s="228"/>
      <c r="N536" s="228"/>
      <c r="O536" s="228"/>
      <c r="P536" s="228"/>
      <c r="Q536" s="228"/>
      <c r="R536" s="228"/>
      <c r="S536" s="228"/>
      <c r="T536" s="228"/>
      <c r="U536" s="228"/>
      <c r="V536" s="228"/>
      <c r="W536" s="228"/>
      <c r="X536" s="228"/>
      <c r="Y536" s="228"/>
      <c r="Z536" s="228"/>
      <c r="AA536" s="228"/>
      <c r="AB536" s="228"/>
      <c r="AC536" s="228"/>
      <c r="AD536" s="228"/>
      <c r="AE536" s="228"/>
      <c r="AF536" s="228"/>
      <c r="AG536" s="228"/>
      <c r="AH536" s="228"/>
      <c r="AI536" s="228"/>
      <c r="AJ536" s="228"/>
      <c r="AK536" s="228"/>
      <c r="AL536" s="228"/>
      <c r="AM536" s="228"/>
      <c r="AN536" s="228"/>
      <c r="AO536" s="228"/>
      <c r="AP536" s="228"/>
      <c r="AQ536" s="228"/>
      <c r="AR536" s="228"/>
      <c r="AS536" s="228"/>
      <c r="AT536" s="228"/>
      <c r="AU536" s="228"/>
      <c r="AV536" s="228"/>
      <c r="AW536" s="228"/>
      <c r="AX536" s="228"/>
      <c r="AY536" s="228"/>
      <c r="AZ536" s="228"/>
      <c r="BA536" s="228"/>
      <c r="BB536" s="228"/>
      <c r="BC536" s="228"/>
      <c r="BD536" s="228"/>
      <c r="BE536" s="228"/>
      <c r="BF536" s="228"/>
      <c r="BG536" s="228"/>
      <c r="BH536" s="228"/>
      <c r="BI536" s="228"/>
      <c r="BJ536" s="228"/>
      <c r="BK536" s="228"/>
      <c r="BL536" s="228"/>
      <c r="BM536" s="228"/>
      <c r="BN536" s="228"/>
      <c r="BO536" s="228"/>
      <c r="BP536" s="228"/>
      <c r="BQ536" s="228"/>
      <c r="BR536" s="228"/>
      <c r="BS536" s="228"/>
      <c r="BT536" s="228"/>
      <c r="BU536" s="228"/>
      <c r="BV536" s="228"/>
      <c r="BW536" s="228"/>
      <c r="BX536" s="228"/>
      <c r="BY536" s="228"/>
      <c r="BZ536" s="228"/>
      <c r="CA536" s="228"/>
      <c r="CB536" s="228"/>
      <c r="CC536" s="228"/>
      <c r="CD536" s="228"/>
      <c r="CE536" s="228"/>
      <c r="CF536" s="228"/>
      <c r="CG536" s="228"/>
      <c r="CH536" s="228"/>
      <c r="CI536" s="228"/>
      <c r="CJ536" s="228"/>
      <c r="CK536" s="228"/>
      <c r="CL536" s="228"/>
      <c r="CM536" s="228"/>
      <c r="CN536" s="228"/>
      <c r="CO536" s="228"/>
      <c r="CP536" s="228"/>
      <c r="CQ536" s="228"/>
      <c r="CR536" s="228"/>
      <c r="CS536" s="228"/>
      <c r="CT536" s="228"/>
      <c r="CU536" s="228"/>
      <c r="CV536" s="228"/>
      <c r="CW536" s="228"/>
      <c r="CX536" s="228"/>
      <c r="CY536" s="228"/>
      <c r="CZ536" s="228"/>
      <c r="DA536" s="228"/>
      <c r="DB536" s="228"/>
    </row>
    <row r="537" ht="12.0" customHeight="1">
      <c r="A537" s="228"/>
      <c r="B537" s="228"/>
      <c r="C537" s="228"/>
      <c r="D537" s="228"/>
      <c r="E537" s="228"/>
      <c r="F537" s="228"/>
      <c r="G537" s="228"/>
      <c r="H537" s="228"/>
      <c r="I537" s="228"/>
      <c r="J537" s="228"/>
      <c r="K537" s="228"/>
      <c r="L537" s="228"/>
      <c r="M537" s="228"/>
      <c r="N537" s="228"/>
      <c r="O537" s="228"/>
      <c r="P537" s="228"/>
      <c r="Q537" s="228"/>
      <c r="R537" s="228"/>
      <c r="S537" s="228"/>
      <c r="T537" s="228"/>
      <c r="U537" s="228"/>
      <c r="V537" s="228"/>
      <c r="W537" s="228"/>
      <c r="X537" s="228"/>
      <c r="Y537" s="228"/>
      <c r="Z537" s="228"/>
      <c r="AA537" s="228"/>
      <c r="AB537" s="228"/>
      <c r="AC537" s="228"/>
      <c r="AD537" s="228"/>
      <c r="AE537" s="228"/>
      <c r="AF537" s="228"/>
      <c r="AG537" s="228"/>
      <c r="AH537" s="228"/>
      <c r="AI537" s="228"/>
      <c r="AJ537" s="228"/>
      <c r="AK537" s="228"/>
      <c r="AL537" s="228"/>
      <c r="AM537" s="228"/>
      <c r="AN537" s="228"/>
      <c r="AO537" s="228"/>
      <c r="AP537" s="228"/>
      <c r="AQ537" s="228"/>
      <c r="AR537" s="228"/>
      <c r="AS537" s="228"/>
      <c r="AT537" s="228"/>
      <c r="AU537" s="228"/>
      <c r="AV537" s="228"/>
      <c r="AW537" s="228"/>
      <c r="AX537" s="228"/>
      <c r="AY537" s="228"/>
      <c r="AZ537" s="228"/>
      <c r="BA537" s="228"/>
      <c r="BB537" s="228"/>
      <c r="BC537" s="228"/>
      <c r="BD537" s="228"/>
      <c r="BE537" s="228"/>
      <c r="BF537" s="228"/>
      <c r="BG537" s="228"/>
      <c r="BH537" s="228"/>
      <c r="BI537" s="228"/>
      <c r="BJ537" s="228"/>
      <c r="BK537" s="228"/>
      <c r="BL537" s="228"/>
      <c r="BM537" s="228"/>
      <c r="BN537" s="228"/>
      <c r="BO537" s="228"/>
      <c r="BP537" s="228"/>
      <c r="BQ537" s="228"/>
      <c r="BR537" s="228"/>
      <c r="BS537" s="228"/>
      <c r="BT537" s="228"/>
      <c r="BU537" s="228"/>
      <c r="BV537" s="228"/>
      <c r="BW537" s="228"/>
      <c r="BX537" s="228"/>
      <c r="BY537" s="228"/>
      <c r="BZ537" s="228"/>
      <c r="CA537" s="228"/>
      <c r="CB537" s="228"/>
      <c r="CC537" s="228"/>
      <c r="CD537" s="228"/>
      <c r="CE537" s="228"/>
      <c r="CF537" s="228"/>
      <c r="CG537" s="228"/>
      <c r="CH537" s="228"/>
      <c r="CI537" s="228"/>
      <c r="CJ537" s="228"/>
      <c r="CK537" s="228"/>
      <c r="CL537" s="228"/>
      <c r="CM537" s="228"/>
      <c r="CN537" s="228"/>
      <c r="CO537" s="228"/>
      <c r="CP537" s="228"/>
      <c r="CQ537" s="228"/>
      <c r="CR537" s="228"/>
      <c r="CS537" s="228"/>
      <c r="CT537" s="228"/>
      <c r="CU537" s="228"/>
      <c r="CV537" s="228"/>
      <c r="CW537" s="228"/>
      <c r="CX537" s="228"/>
      <c r="CY537" s="228"/>
      <c r="CZ537" s="228"/>
      <c r="DA537" s="228"/>
      <c r="DB537" s="228"/>
    </row>
    <row r="538" ht="12.0" customHeight="1">
      <c r="A538" s="228"/>
      <c r="B538" s="228"/>
      <c r="C538" s="228"/>
      <c r="D538" s="228"/>
      <c r="E538" s="228"/>
      <c r="F538" s="228"/>
      <c r="G538" s="228"/>
      <c r="H538" s="228"/>
      <c r="I538" s="228"/>
      <c r="J538" s="228"/>
      <c r="K538" s="228"/>
      <c r="L538" s="228"/>
      <c r="M538" s="228"/>
      <c r="N538" s="228"/>
      <c r="O538" s="228"/>
      <c r="P538" s="228"/>
      <c r="Q538" s="228"/>
      <c r="R538" s="228"/>
      <c r="S538" s="228"/>
      <c r="T538" s="228"/>
      <c r="U538" s="228"/>
      <c r="V538" s="228"/>
      <c r="W538" s="228"/>
      <c r="X538" s="228"/>
      <c r="Y538" s="228"/>
      <c r="Z538" s="228"/>
      <c r="AA538" s="228"/>
      <c r="AB538" s="228"/>
      <c r="AC538" s="228"/>
      <c r="AD538" s="228"/>
      <c r="AE538" s="228"/>
      <c r="AF538" s="228"/>
      <c r="AG538" s="228"/>
      <c r="AH538" s="228"/>
      <c r="AI538" s="228"/>
      <c r="AJ538" s="228"/>
      <c r="AK538" s="228"/>
      <c r="AL538" s="228"/>
      <c r="AM538" s="228"/>
      <c r="AN538" s="228"/>
      <c r="AO538" s="228"/>
      <c r="AP538" s="228"/>
      <c r="AQ538" s="228"/>
      <c r="AR538" s="228"/>
      <c r="AS538" s="228"/>
      <c r="AT538" s="228"/>
      <c r="AU538" s="228"/>
      <c r="AV538" s="228"/>
      <c r="AW538" s="228"/>
      <c r="AX538" s="228"/>
      <c r="AY538" s="228"/>
      <c r="AZ538" s="228"/>
      <c r="BA538" s="228"/>
      <c r="BB538" s="228"/>
      <c r="BC538" s="228"/>
      <c r="BD538" s="228"/>
      <c r="BE538" s="228"/>
      <c r="BF538" s="228"/>
      <c r="BG538" s="228"/>
      <c r="BH538" s="228"/>
      <c r="BI538" s="228"/>
      <c r="BJ538" s="228"/>
      <c r="BK538" s="228"/>
      <c r="BL538" s="228"/>
      <c r="BM538" s="228"/>
      <c r="BN538" s="228"/>
      <c r="BO538" s="228"/>
      <c r="BP538" s="228"/>
      <c r="BQ538" s="228"/>
      <c r="BR538" s="228"/>
      <c r="BS538" s="228"/>
      <c r="BT538" s="228"/>
      <c r="BU538" s="228"/>
      <c r="BV538" s="228"/>
      <c r="BW538" s="228"/>
      <c r="BX538" s="228"/>
      <c r="BY538" s="228"/>
      <c r="BZ538" s="228"/>
      <c r="CA538" s="228"/>
      <c r="CB538" s="228"/>
      <c r="CC538" s="228"/>
      <c r="CD538" s="228"/>
      <c r="CE538" s="228"/>
      <c r="CF538" s="228"/>
      <c r="CG538" s="228"/>
      <c r="CH538" s="228"/>
      <c r="CI538" s="228"/>
      <c r="CJ538" s="228"/>
      <c r="CK538" s="228"/>
      <c r="CL538" s="228"/>
      <c r="CM538" s="228"/>
      <c r="CN538" s="228"/>
      <c r="CO538" s="228"/>
      <c r="CP538" s="228"/>
      <c r="CQ538" s="228"/>
      <c r="CR538" s="228"/>
      <c r="CS538" s="228"/>
      <c r="CT538" s="228"/>
      <c r="CU538" s="228"/>
      <c r="CV538" s="228"/>
      <c r="CW538" s="228"/>
      <c r="CX538" s="228"/>
      <c r="CY538" s="228"/>
      <c r="CZ538" s="228"/>
      <c r="DA538" s="228"/>
      <c r="DB538" s="228"/>
    </row>
    <row r="539" ht="12.0" customHeight="1">
      <c r="A539" s="228"/>
      <c r="B539" s="228"/>
      <c r="C539" s="228"/>
      <c r="D539" s="228"/>
      <c r="E539" s="228"/>
      <c r="F539" s="228"/>
      <c r="G539" s="228"/>
      <c r="H539" s="228"/>
      <c r="I539" s="228"/>
      <c r="J539" s="228"/>
      <c r="K539" s="228"/>
      <c r="L539" s="228"/>
      <c r="M539" s="228"/>
      <c r="N539" s="228"/>
      <c r="O539" s="228"/>
      <c r="P539" s="228"/>
      <c r="Q539" s="228"/>
      <c r="R539" s="228"/>
      <c r="S539" s="228"/>
      <c r="T539" s="228"/>
      <c r="U539" s="228"/>
      <c r="V539" s="228"/>
      <c r="W539" s="228"/>
      <c r="X539" s="228"/>
      <c r="Y539" s="228"/>
      <c r="Z539" s="228"/>
      <c r="AA539" s="228"/>
      <c r="AB539" s="228"/>
      <c r="AC539" s="228"/>
      <c r="AD539" s="228"/>
      <c r="AE539" s="228"/>
      <c r="AF539" s="228"/>
      <c r="AG539" s="228"/>
      <c r="AH539" s="228"/>
      <c r="AI539" s="228"/>
      <c r="AJ539" s="228"/>
      <c r="AK539" s="228"/>
      <c r="AL539" s="228"/>
      <c r="AM539" s="228"/>
      <c r="AN539" s="228"/>
      <c r="AO539" s="228"/>
      <c r="AP539" s="228"/>
      <c r="AQ539" s="228"/>
      <c r="AR539" s="228"/>
      <c r="AS539" s="228"/>
      <c r="AT539" s="228"/>
      <c r="AU539" s="228"/>
      <c r="AV539" s="228"/>
      <c r="AW539" s="228"/>
      <c r="AX539" s="228"/>
      <c r="AY539" s="228"/>
      <c r="AZ539" s="228"/>
      <c r="BA539" s="228"/>
      <c r="BB539" s="228"/>
      <c r="BC539" s="228"/>
      <c r="BD539" s="228"/>
      <c r="BE539" s="228"/>
      <c r="BF539" s="228"/>
      <c r="BG539" s="228"/>
      <c r="BH539" s="228"/>
      <c r="BI539" s="228"/>
      <c r="BJ539" s="228"/>
      <c r="BK539" s="228"/>
      <c r="BL539" s="228"/>
      <c r="BM539" s="228"/>
      <c r="BN539" s="228"/>
      <c r="BO539" s="228"/>
      <c r="BP539" s="228"/>
      <c r="BQ539" s="228"/>
      <c r="BR539" s="228"/>
      <c r="BS539" s="228"/>
      <c r="BT539" s="228"/>
      <c r="BU539" s="228"/>
      <c r="BV539" s="228"/>
      <c r="BW539" s="228"/>
      <c r="BX539" s="228"/>
      <c r="BY539" s="228"/>
      <c r="BZ539" s="228"/>
      <c r="CA539" s="228"/>
      <c r="CB539" s="228"/>
      <c r="CC539" s="228"/>
      <c r="CD539" s="228"/>
      <c r="CE539" s="228"/>
      <c r="CF539" s="228"/>
      <c r="CG539" s="228"/>
      <c r="CH539" s="228"/>
      <c r="CI539" s="228"/>
      <c r="CJ539" s="228"/>
      <c r="CK539" s="228"/>
      <c r="CL539" s="228"/>
      <c r="CM539" s="228"/>
      <c r="CN539" s="228"/>
      <c r="CO539" s="228"/>
      <c r="CP539" s="228"/>
      <c r="CQ539" s="228"/>
      <c r="CR539" s="228"/>
      <c r="CS539" s="228"/>
      <c r="CT539" s="228"/>
      <c r="CU539" s="228"/>
      <c r="CV539" s="228"/>
      <c r="CW539" s="228"/>
      <c r="CX539" s="228"/>
      <c r="CY539" s="228"/>
      <c r="CZ539" s="228"/>
      <c r="DA539" s="228"/>
      <c r="DB539" s="228"/>
    </row>
    <row r="540" ht="12.0" customHeight="1">
      <c r="A540" s="228"/>
      <c r="B540" s="228"/>
      <c r="C540" s="228"/>
      <c r="D540" s="228"/>
      <c r="E540" s="228"/>
      <c r="F540" s="228"/>
      <c r="G540" s="228"/>
      <c r="H540" s="228"/>
      <c r="I540" s="228"/>
      <c r="J540" s="228"/>
      <c r="K540" s="228"/>
      <c r="L540" s="228"/>
      <c r="M540" s="228"/>
      <c r="N540" s="228"/>
      <c r="O540" s="228"/>
      <c r="P540" s="228"/>
      <c r="Q540" s="228"/>
      <c r="R540" s="228"/>
      <c r="S540" s="228"/>
      <c r="T540" s="228"/>
      <c r="U540" s="228"/>
      <c r="V540" s="228"/>
      <c r="W540" s="228"/>
      <c r="X540" s="228"/>
      <c r="Y540" s="228"/>
      <c r="Z540" s="228"/>
      <c r="AA540" s="228"/>
      <c r="AB540" s="228"/>
      <c r="AC540" s="228"/>
      <c r="AD540" s="228"/>
      <c r="AE540" s="228"/>
      <c r="AF540" s="228"/>
      <c r="AG540" s="228"/>
      <c r="AH540" s="228"/>
      <c r="AI540" s="228"/>
      <c r="AJ540" s="228"/>
      <c r="AK540" s="228"/>
      <c r="AL540" s="228"/>
      <c r="AM540" s="228"/>
      <c r="AN540" s="228"/>
      <c r="AO540" s="228"/>
      <c r="AP540" s="228"/>
      <c r="AQ540" s="228"/>
      <c r="AR540" s="228"/>
      <c r="AS540" s="228"/>
      <c r="AT540" s="228"/>
      <c r="AU540" s="228"/>
      <c r="AV540" s="228"/>
      <c r="AW540" s="228"/>
      <c r="AX540" s="228"/>
      <c r="AY540" s="228"/>
      <c r="AZ540" s="228"/>
      <c r="BA540" s="228"/>
      <c r="BB540" s="228"/>
      <c r="BC540" s="228"/>
      <c r="BD540" s="228"/>
      <c r="BE540" s="228"/>
      <c r="BF540" s="228"/>
      <c r="BG540" s="228"/>
      <c r="BH540" s="228"/>
      <c r="BI540" s="228"/>
      <c r="BJ540" s="228"/>
      <c r="BK540" s="228"/>
      <c r="BL540" s="228"/>
      <c r="BM540" s="228"/>
      <c r="BN540" s="228"/>
      <c r="BO540" s="228"/>
      <c r="BP540" s="228"/>
      <c r="BQ540" s="228"/>
      <c r="BR540" s="228"/>
      <c r="BS540" s="228"/>
      <c r="BT540" s="228"/>
      <c r="BU540" s="228"/>
      <c r="BV540" s="228"/>
      <c r="BW540" s="228"/>
      <c r="BX540" s="228"/>
      <c r="BY540" s="228"/>
      <c r="BZ540" s="228"/>
      <c r="CA540" s="228"/>
      <c r="CB540" s="228"/>
      <c r="CC540" s="228"/>
      <c r="CD540" s="228"/>
      <c r="CE540" s="228"/>
      <c r="CF540" s="228"/>
      <c r="CG540" s="228"/>
      <c r="CH540" s="228"/>
      <c r="CI540" s="228"/>
      <c r="CJ540" s="228"/>
      <c r="CK540" s="228"/>
      <c r="CL540" s="228"/>
      <c r="CM540" s="228"/>
      <c r="CN540" s="228"/>
      <c r="CO540" s="228"/>
      <c r="CP540" s="228"/>
      <c r="CQ540" s="228"/>
      <c r="CR540" s="228"/>
      <c r="CS540" s="228"/>
      <c r="CT540" s="228"/>
      <c r="CU540" s="228"/>
      <c r="CV540" s="228"/>
      <c r="CW540" s="228"/>
      <c r="CX540" s="228"/>
      <c r="CY540" s="228"/>
      <c r="CZ540" s="228"/>
      <c r="DA540" s="228"/>
      <c r="DB540" s="228"/>
    </row>
    <row r="541" ht="12.0" customHeight="1">
      <c r="A541" s="228"/>
      <c r="B541" s="228"/>
      <c r="C541" s="228"/>
      <c r="D541" s="228"/>
      <c r="E541" s="228"/>
      <c r="F541" s="228"/>
      <c r="G541" s="228"/>
      <c r="H541" s="228"/>
      <c r="I541" s="228"/>
      <c r="J541" s="228"/>
      <c r="K541" s="228"/>
      <c r="L541" s="228"/>
      <c r="M541" s="228"/>
      <c r="N541" s="228"/>
      <c r="O541" s="228"/>
      <c r="P541" s="228"/>
      <c r="Q541" s="228"/>
      <c r="R541" s="228"/>
      <c r="S541" s="228"/>
      <c r="T541" s="228"/>
      <c r="U541" s="228"/>
      <c r="V541" s="228"/>
      <c r="W541" s="228"/>
      <c r="X541" s="228"/>
      <c r="Y541" s="228"/>
      <c r="Z541" s="228"/>
      <c r="AA541" s="228"/>
      <c r="AB541" s="228"/>
      <c r="AC541" s="228"/>
      <c r="AD541" s="228"/>
      <c r="AE541" s="228"/>
      <c r="AF541" s="228"/>
      <c r="AG541" s="228"/>
      <c r="AH541" s="228"/>
      <c r="AI541" s="228"/>
      <c r="AJ541" s="228"/>
      <c r="AK541" s="228"/>
      <c r="AL541" s="228"/>
      <c r="AM541" s="228"/>
      <c r="AN541" s="228"/>
      <c r="AO541" s="228"/>
      <c r="AP541" s="228"/>
      <c r="AQ541" s="228"/>
      <c r="AR541" s="228"/>
      <c r="AS541" s="228"/>
      <c r="AT541" s="228"/>
      <c r="AU541" s="228"/>
      <c r="AV541" s="228"/>
      <c r="AW541" s="228"/>
      <c r="AX541" s="228"/>
      <c r="AY541" s="228"/>
      <c r="AZ541" s="228"/>
      <c r="BA541" s="228"/>
      <c r="BB541" s="228"/>
      <c r="BC541" s="228"/>
      <c r="BD541" s="228"/>
      <c r="BE541" s="228"/>
      <c r="BF541" s="228"/>
      <c r="BG541" s="228"/>
      <c r="BH541" s="228"/>
      <c r="BI541" s="228"/>
      <c r="BJ541" s="228"/>
      <c r="BK541" s="228"/>
      <c r="BL541" s="228"/>
      <c r="BM541" s="228"/>
      <c r="BN541" s="228"/>
      <c r="BO541" s="228"/>
      <c r="BP541" s="228"/>
      <c r="BQ541" s="228"/>
      <c r="BR541" s="228"/>
      <c r="BS541" s="228"/>
      <c r="BT541" s="228"/>
      <c r="BU541" s="228"/>
      <c r="BV541" s="228"/>
      <c r="BW541" s="228"/>
      <c r="BX541" s="228"/>
      <c r="BY541" s="228"/>
      <c r="BZ541" s="228"/>
      <c r="CA541" s="228"/>
      <c r="CB541" s="228"/>
      <c r="CC541" s="228"/>
      <c r="CD541" s="228"/>
      <c r="CE541" s="228"/>
      <c r="CF541" s="228"/>
      <c r="CG541" s="228"/>
      <c r="CH541" s="228"/>
      <c r="CI541" s="228"/>
      <c r="CJ541" s="228"/>
      <c r="CK541" s="228"/>
      <c r="CL541" s="228"/>
      <c r="CM541" s="228"/>
      <c r="CN541" s="228"/>
      <c r="CO541" s="228"/>
      <c r="CP541" s="228"/>
      <c r="CQ541" s="228"/>
      <c r="CR541" s="228"/>
      <c r="CS541" s="228"/>
      <c r="CT541" s="228"/>
      <c r="CU541" s="228"/>
      <c r="CV541" s="228"/>
      <c r="CW541" s="228"/>
      <c r="CX541" s="228"/>
      <c r="CY541" s="228"/>
      <c r="CZ541" s="228"/>
      <c r="DA541" s="228"/>
      <c r="DB541" s="228"/>
    </row>
    <row r="542" ht="12.0" customHeight="1">
      <c r="A542" s="228"/>
      <c r="B542" s="228"/>
      <c r="C542" s="228"/>
      <c r="D542" s="228"/>
      <c r="E542" s="228"/>
      <c r="F542" s="228"/>
      <c r="G542" s="228"/>
      <c r="H542" s="228"/>
      <c r="I542" s="228"/>
      <c r="J542" s="228"/>
      <c r="K542" s="228"/>
      <c r="L542" s="228"/>
      <c r="M542" s="228"/>
      <c r="N542" s="228"/>
      <c r="O542" s="228"/>
      <c r="P542" s="228"/>
      <c r="Q542" s="228"/>
      <c r="R542" s="228"/>
      <c r="S542" s="228"/>
      <c r="T542" s="228"/>
      <c r="U542" s="228"/>
      <c r="V542" s="228"/>
      <c r="W542" s="228"/>
      <c r="X542" s="228"/>
      <c r="Y542" s="228"/>
      <c r="Z542" s="228"/>
      <c r="AA542" s="228"/>
      <c r="AB542" s="228"/>
      <c r="AC542" s="228"/>
      <c r="AD542" s="228"/>
      <c r="AE542" s="228"/>
      <c r="AF542" s="228"/>
      <c r="AG542" s="228"/>
      <c r="AH542" s="228"/>
      <c r="AI542" s="228"/>
      <c r="AJ542" s="228"/>
      <c r="AK542" s="228"/>
      <c r="AL542" s="228"/>
      <c r="AM542" s="228"/>
      <c r="AN542" s="228"/>
      <c r="AO542" s="228"/>
      <c r="AP542" s="228"/>
      <c r="AQ542" s="228"/>
      <c r="AR542" s="228"/>
      <c r="AS542" s="228"/>
      <c r="AT542" s="228"/>
      <c r="AU542" s="228"/>
      <c r="AV542" s="228"/>
      <c r="AW542" s="228"/>
      <c r="AX542" s="228"/>
      <c r="AY542" s="228"/>
      <c r="AZ542" s="228"/>
      <c r="BA542" s="228"/>
      <c r="BB542" s="228"/>
      <c r="BC542" s="228"/>
      <c r="BD542" s="228"/>
      <c r="BE542" s="228"/>
      <c r="BF542" s="228"/>
      <c r="BG542" s="228"/>
      <c r="BH542" s="228"/>
      <c r="BI542" s="228"/>
      <c r="BJ542" s="228"/>
      <c r="BK542" s="228"/>
      <c r="BL542" s="228"/>
      <c r="BM542" s="228"/>
      <c r="BN542" s="228"/>
      <c r="BO542" s="228"/>
      <c r="BP542" s="228"/>
      <c r="BQ542" s="228"/>
      <c r="BR542" s="228"/>
      <c r="BS542" s="228"/>
      <c r="BT542" s="228"/>
      <c r="BU542" s="228"/>
      <c r="BV542" s="228"/>
      <c r="BW542" s="228"/>
      <c r="BX542" s="228"/>
      <c r="BY542" s="228"/>
      <c r="BZ542" s="228"/>
      <c r="CA542" s="228"/>
      <c r="CB542" s="228"/>
      <c r="CC542" s="228"/>
      <c r="CD542" s="228"/>
      <c r="CE542" s="228"/>
      <c r="CF542" s="228"/>
      <c r="CG542" s="228"/>
      <c r="CH542" s="228"/>
      <c r="CI542" s="228"/>
      <c r="CJ542" s="228"/>
      <c r="CK542" s="228"/>
      <c r="CL542" s="228"/>
      <c r="CM542" s="228"/>
      <c r="CN542" s="228"/>
      <c r="CO542" s="228"/>
      <c r="CP542" s="228"/>
      <c r="CQ542" s="228"/>
      <c r="CR542" s="228"/>
      <c r="CS542" s="228"/>
      <c r="CT542" s="228"/>
      <c r="CU542" s="228"/>
      <c r="CV542" s="228"/>
      <c r="CW542" s="228"/>
      <c r="CX542" s="228"/>
      <c r="CY542" s="228"/>
      <c r="CZ542" s="228"/>
      <c r="DA542" s="228"/>
      <c r="DB542" s="228"/>
    </row>
    <row r="543" ht="12.0" customHeight="1">
      <c r="A543" s="228"/>
      <c r="B543" s="228"/>
      <c r="C543" s="228"/>
      <c r="D543" s="228"/>
      <c r="E543" s="228"/>
      <c r="F543" s="228"/>
      <c r="G543" s="228"/>
      <c r="H543" s="228"/>
      <c r="I543" s="228"/>
      <c r="J543" s="228"/>
      <c r="K543" s="228"/>
      <c r="L543" s="228"/>
      <c r="M543" s="228"/>
      <c r="N543" s="228"/>
      <c r="O543" s="228"/>
      <c r="P543" s="228"/>
      <c r="Q543" s="228"/>
      <c r="R543" s="228"/>
      <c r="S543" s="228"/>
      <c r="T543" s="228"/>
      <c r="U543" s="228"/>
      <c r="V543" s="228"/>
      <c r="W543" s="228"/>
      <c r="X543" s="228"/>
      <c r="Y543" s="228"/>
      <c r="Z543" s="228"/>
      <c r="AA543" s="228"/>
      <c r="AB543" s="228"/>
      <c r="AC543" s="228"/>
      <c r="AD543" s="228"/>
      <c r="AE543" s="228"/>
      <c r="AF543" s="228"/>
      <c r="AG543" s="228"/>
      <c r="AH543" s="228"/>
      <c r="AI543" s="228"/>
      <c r="AJ543" s="228"/>
      <c r="AK543" s="228"/>
      <c r="AL543" s="228"/>
      <c r="AM543" s="228"/>
      <c r="AN543" s="228"/>
      <c r="AO543" s="228"/>
      <c r="AP543" s="228"/>
      <c r="AQ543" s="228"/>
      <c r="AR543" s="228"/>
      <c r="AS543" s="228"/>
      <c r="AT543" s="228"/>
      <c r="AU543" s="228"/>
      <c r="AV543" s="228"/>
      <c r="AW543" s="228"/>
      <c r="AX543" s="228"/>
      <c r="AY543" s="228"/>
      <c r="AZ543" s="228"/>
      <c r="BA543" s="228"/>
      <c r="BB543" s="228"/>
      <c r="BC543" s="228"/>
      <c r="BD543" s="228"/>
      <c r="BE543" s="228"/>
      <c r="BF543" s="228"/>
      <c r="BG543" s="228"/>
      <c r="BH543" s="228"/>
      <c r="BI543" s="228"/>
      <c r="BJ543" s="228"/>
      <c r="BK543" s="228"/>
      <c r="BL543" s="228"/>
      <c r="BM543" s="228"/>
      <c r="BN543" s="228"/>
      <c r="BO543" s="228"/>
      <c r="BP543" s="228"/>
      <c r="BQ543" s="228"/>
      <c r="BR543" s="228"/>
      <c r="BS543" s="228"/>
      <c r="BT543" s="228"/>
      <c r="BU543" s="228"/>
      <c r="BV543" s="228"/>
      <c r="BW543" s="228"/>
      <c r="BX543" s="228"/>
      <c r="BY543" s="228"/>
      <c r="BZ543" s="228"/>
      <c r="CA543" s="228"/>
      <c r="CB543" s="228"/>
      <c r="CC543" s="228"/>
      <c r="CD543" s="228"/>
      <c r="CE543" s="228"/>
      <c r="CF543" s="228"/>
      <c r="CG543" s="228"/>
      <c r="CH543" s="228"/>
      <c r="CI543" s="228"/>
      <c r="CJ543" s="228"/>
      <c r="CK543" s="228"/>
      <c r="CL543" s="228"/>
      <c r="CM543" s="228"/>
      <c r="CN543" s="228"/>
      <c r="CO543" s="228"/>
      <c r="CP543" s="228"/>
      <c r="CQ543" s="228"/>
      <c r="CR543" s="228"/>
      <c r="CS543" s="228"/>
      <c r="CT543" s="228"/>
      <c r="CU543" s="228"/>
      <c r="CV543" s="228"/>
      <c r="CW543" s="228"/>
      <c r="CX543" s="228"/>
      <c r="CY543" s="228"/>
      <c r="CZ543" s="228"/>
      <c r="DA543" s="228"/>
      <c r="DB543" s="228"/>
    </row>
    <row r="544" ht="12.0" customHeight="1">
      <c r="A544" s="228"/>
      <c r="B544" s="228"/>
      <c r="C544" s="228"/>
      <c r="D544" s="228"/>
      <c r="E544" s="228"/>
      <c r="F544" s="228"/>
      <c r="G544" s="228"/>
      <c r="H544" s="228"/>
      <c r="I544" s="228"/>
      <c r="J544" s="228"/>
      <c r="K544" s="228"/>
      <c r="L544" s="228"/>
      <c r="M544" s="228"/>
      <c r="N544" s="228"/>
      <c r="O544" s="228"/>
      <c r="P544" s="228"/>
      <c r="Q544" s="228"/>
      <c r="R544" s="228"/>
      <c r="S544" s="228"/>
      <c r="T544" s="228"/>
      <c r="U544" s="228"/>
      <c r="V544" s="228"/>
      <c r="W544" s="228"/>
      <c r="X544" s="228"/>
      <c r="Y544" s="228"/>
      <c r="Z544" s="228"/>
      <c r="AA544" s="228"/>
      <c r="AB544" s="228"/>
      <c r="AC544" s="228"/>
      <c r="AD544" s="228"/>
      <c r="AE544" s="228"/>
      <c r="AF544" s="228"/>
      <c r="AG544" s="228"/>
      <c r="AH544" s="228"/>
      <c r="AI544" s="228"/>
      <c r="AJ544" s="228"/>
      <c r="AK544" s="228"/>
      <c r="AL544" s="228"/>
      <c r="AM544" s="228"/>
      <c r="AN544" s="228"/>
      <c r="AO544" s="228"/>
      <c r="AP544" s="228"/>
      <c r="AQ544" s="228"/>
      <c r="AR544" s="228"/>
      <c r="AS544" s="228"/>
      <c r="AT544" s="228"/>
      <c r="AU544" s="228"/>
      <c r="AV544" s="228"/>
      <c r="AW544" s="228"/>
      <c r="AX544" s="228"/>
      <c r="AY544" s="228"/>
      <c r="AZ544" s="228"/>
      <c r="BA544" s="228"/>
      <c r="BB544" s="228"/>
      <c r="BC544" s="228"/>
      <c r="BD544" s="228"/>
      <c r="BE544" s="228"/>
      <c r="BF544" s="228"/>
      <c r="BG544" s="228"/>
      <c r="BH544" s="228"/>
      <c r="BI544" s="228"/>
      <c r="BJ544" s="228"/>
      <c r="BK544" s="228"/>
      <c r="BL544" s="228"/>
      <c r="BM544" s="228"/>
      <c r="BN544" s="228"/>
      <c r="BO544" s="228"/>
      <c r="BP544" s="228"/>
      <c r="BQ544" s="228"/>
      <c r="BR544" s="228"/>
      <c r="BS544" s="228"/>
      <c r="BT544" s="228"/>
      <c r="BU544" s="228"/>
      <c r="BV544" s="228"/>
      <c r="BW544" s="228"/>
      <c r="BX544" s="228"/>
      <c r="BY544" s="228"/>
      <c r="BZ544" s="228"/>
      <c r="CA544" s="228"/>
      <c r="CB544" s="228"/>
      <c r="CC544" s="228"/>
      <c r="CD544" s="228"/>
      <c r="CE544" s="228"/>
      <c r="CF544" s="228"/>
      <c r="CG544" s="228"/>
      <c r="CH544" s="228"/>
      <c r="CI544" s="228"/>
      <c r="CJ544" s="228"/>
      <c r="CK544" s="228"/>
      <c r="CL544" s="228"/>
      <c r="CM544" s="228"/>
      <c r="CN544" s="228"/>
      <c r="CO544" s="228"/>
      <c r="CP544" s="228"/>
      <c r="CQ544" s="228"/>
      <c r="CR544" s="228"/>
      <c r="CS544" s="228"/>
      <c r="CT544" s="228"/>
      <c r="CU544" s="228"/>
      <c r="CV544" s="228"/>
      <c r="CW544" s="228"/>
      <c r="CX544" s="228"/>
      <c r="CY544" s="228"/>
      <c r="CZ544" s="228"/>
      <c r="DA544" s="228"/>
      <c r="DB544" s="228"/>
    </row>
    <row r="545" ht="12.0" customHeight="1">
      <c r="A545" s="228"/>
      <c r="B545" s="228"/>
      <c r="C545" s="228"/>
      <c r="D545" s="228"/>
      <c r="E545" s="228"/>
      <c r="F545" s="228"/>
      <c r="G545" s="228"/>
      <c r="H545" s="228"/>
      <c r="I545" s="228"/>
      <c r="J545" s="228"/>
      <c r="K545" s="228"/>
      <c r="L545" s="228"/>
      <c r="M545" s="228"/>
      <c r="N545" s="228"/>
      <c r="O545" s="228"/>
      <c r="P545" s="228"/>
      <c r="Q545" s="228"/>
      <c r="R545" s="228"/>
      <c r="S545" s="228"/>
      <c r="T545" s="228"/>
      <c r="U545" s="228"/>
      <c r="V545" s="228"/>
      <c r="W545" s="228"/>
      <c r="X545" s="228"/>
      <c r="Y545" s="228"/>
      <c r="Z545" s="228"/>
      <c r="AA545" s="228"/>
      <c r="AB545" s="228"/>
      <c r="AC545" s="228"/>
      <c r="AD545" s="228"/>
      <c r="AE545" s="228"/>
      <c r="AF545" s="228"/>
      <c r="AG545" s="228"/>
      <c r="AH545" s="228"/>
      <c r="AI545" s="228"/>
      <c r="AJ545" s="228"/>
      <c r="AK545" s="228"/>
      <c r="AL545" s="228"/>
      <c r="AM545" s="228"/>
      <c r="AN545" s="228"/>
      <c r="AO545" s="228"/>
      <c r="AP545" s="228"/>
      <c r="AQ545" s="228"/>
      <c r="AR545" s="228"/>
      <c r="AS545" s="228"/>
      <c r="AT545" s="228"/>
      <c r="AU545" s="228"/>
      <c r="AV545" s="228"/>
      <c r="AW545" s="228"/>
      <c r="AX545" s="228"/>
      <c r="AY545" s="228"/>
      <c r="AZ545" s="228"/>
      <c r="BA545" s="228"/>
      <c r="BB545" s="228"/>
      <c r="BC545" s="228"/>
      <c r="BD545" s="228"/>
      <c r="BE545" s="228"/>
      <c r="BF545" s="228"/>
      <c r="BG545" s="228"/>
      <c r="BH545" s="228"/>
      <c r="BI545" s="228"/>
      <c r="BJ545" s="228"/>
      <c r="BK545" s="228"/>
      <c r="BL545" s="228"/>
      <c r="BM545" s="228"/>
      <c r="BN545" s="228"/>
      <c r="BO545" s="228"/>
      <c r="BP545" s="228"/>
      <c r="BQ545" s="228"/>
      <c r="BR545" s="228"/>
      <c r="BS545" s="228"/>
      <c r="BT545" s="228"/>
      <c r="BU545" s="228"/>
      <c r="BV545" s="228"/>
      <c r="BW545" s="228"/>
      <c r="BX545" s="228"/>
      <c r="BY545" s="228"/>
      <c r="BZ545" s="228"/>
      <c r="CA545" s="228"/>
      <c r="CB545" s="228"/>
      <c r="CC545" s="228"/>
      <c r="CD545" s="228"/>
      <c r="CE545" s="228"/>
      <c r="CF545" s="228"/>
      <c r="CG545" s="228"/>
      <c r="CH545" s="228"/>
      <c r="CI545" s="228"/>
      <c r="CJ545" s="228"/>
      <c r="CK545" s="228"/>
      <c r="CL545" s="228"/>
      <c r="CM545" s="228"/>
      <c r="CN545" s="228"/>
      <c r="CO545" s="228"/>
      <c r="CP545" s="228"/>
      <c r="CQ545" s="228"/>
      <c r="CR545" s="228"/>
      <c r="CS545" s="228"/>
      <c r="CT545" s="228"/>
      <c r="CU545" s="228"/>
      <c r="CV545" s="228"/>
      <c r="CW545" s="228"/>
      <c r="CX545" s="228"/>
      <c r="CY545" s="228"/>
      <c r="CZ545" s="228"/>
      <c r="DA545" s="228"/>
      <c r="DB545" s="228"/>
    </row>
    <row r="546" ht="12.0" customHeight="1">
      <c r="A546" s="228"/>
      <c r="B546" s="228"/>
      <c r="C546" s="228"/>
      <c r="D546" s="228"/>
      <c r="E546" s="228"/>
      <c r="F546" s="228"/>
      <c r="G546" s="228"/>
      <c r="H546" s="228"/>
      <c r="I546" s="228"/>
      <c r="J546" s="228"/>
      <c r="K546" s="228"/>
      <c r="L546" s="228"/>
      <c r="M546" s="228"/>
      <c r="N546" s="228"/>
      <c r="O546" s="228"/>
      <c r="P546" s="228"/>
      <c r="Q546" s="228"/>
      <c r="R546" s="228"/>
      <c r="S546" s="228"/>
      <c r="T546" s="228"/>
      <c r="U546" s="228"/>
      <c r="V546" s="228"/>
      <c r="W546" s="228"/>
      <c r="X546" s="228"/>
      <c r="Y546" s="228"/>
      <c r="Z546" s="228"/>
      <c r="AA546" s="228"/>
      <c r="AB546" s="228"/>
      <c r="AC546" s="228"/>
      <c r="AD546" s="228"/>
      <c r="AE546" s="228"/>
      <c r="AF546" s="228"/>
      <c r="AG546" s="228"/>
      <c r="AH546" s="228"/>
      <c r="AI546" s="228"/>
      <c r="AJ546" s="228"/>
      <c r="AK546" s="228"/>
      <c r="AL546" s="228"/>
      <c r="AM546" s="228"/>
      <c r="AN546" s="228"/>
      <c r="AO546" s="228"/>
      <c r="AP546" s="228"/>
      <c r="AQ546" s="228"/>
      <c r="AR546" s="228"/>
      <c r="AS546" s="228"/>
      <c r="AT546" s="228"/>
      <c r="AU546" s="228"/>
      <c r="AV546" s="228"/>
      <c r="AW546" s="228"/>
      <c r="AX546" s="228"/>
      <c r="AY546" s="228"/>
      <c r="AZ546" s="228"/>
      <c r="BA546" s="228"/>
      <c r="BB546" s="228"/>
      <c r="BC546" s="228"/>
      <c r="BD546" s="228"/>
      <c r="BE546" s="228"/>
      <c r="BF546" s="228"/>
      <c r="BG546" s="228"/>
      <c r="BH546" s="228"/>
      <c r="BI546" s="228"/>
      <c r="BJ546" s="228"/>
      <c r="BK546" s="228"/>
      <c r="BL546" s="228"/>
      <c r="BM546" s="228"/>
      <c r="BN546" s="228"/>
      <c r="BO546" s="228"/>
      <c r="BP546" s="228"/>
      <c r="BQ546" s="228"/>
      <c r="BR546" s="228"/>
      <c r="BS546" s="228"/>
      <c r="BT546" s="228"/>
      <c r="BU546" s="228"/>
      <c r="BV546" s="228"/>
      <c r="BW546" s="228"/>
      <c r="BX546" s="228"/>
      <c r="BY546" s="228"/>
      <c r="BZ546" s="228"/>
      <c r="CA546" s="228"/>
      <c r="CB546" s="228"/>
      <c r="CC546" s="228"/>
      <c r="CD546" s="228"/>
      <c r="CE546" s="228"/>
      <c r="CF546" s="228"/>
      <c r="CG546" s="228"/>
      <c r="CH546" s="228"/>
      <c r="CI546" s="228"/>
      <c r="CJ546" s="228"/>
      <c r="CK546" s="228"/>
      <c r="CL546" s="228"/>
      <c r="CM546" s="228"/>
      <c r="CN546" s="228"/>
      <c r="CO546" s="228"/>
      <c r="CP546" s="228"/>
      <c r="CQ546" s="228"/>
      <c r="CR546" s="228"/>
      <c r="CS546" s="228"/>
      <c r="CT546" s="228"/>
      <c r="CU546" s="228"/>
      <c r="CV546" s="228"/>
      <c r="CW546" s="228"/>
      <c r="CX546" s="228"/>
      <c r="CY546" s="228"/>
      <c r="CZ546" s="228"/>
      <c r="DA546" s="228"/>
      <c r="DB546" s="228"/>
    </row>
    <row r="547" ht="12.0" customHeight="1">
      <c r="A547" s="228"/>
      <c r="B547" s="228"/>
      <c r="C547" s="228"/>
      <c r="D547" s="228"/>
      <c r="E547" s="228"/>
      <c r="F547" s="228"/>
      <c r="G547" s="228"/>
      <c r="H547" s="228"/>
      <c r="I547" s="228"/>
      <c r="J547" s="228"/>
      <c r="K547" s="228"/>
      <c r="L547" s="228"/>
      <c r="M547" s="228"/>
      <c r="N547" s="228"/>
      <c r="O547" s="228"/>
      <c r="P547" s="228"/>
      <c r="Q547" s="228"/>
      <c r="R547" s="228"/>
      <c r="S547" s="228"/>
      <c r="T547" s="228"/>
      <c r="U547" s="228"/>
      <c r="V547" s="228"/>
      <c r="W547" s="228"/>
      <c r="X547" s="228"/>
      <c r="Y547" s="228"/>
      <c r="Z547" s="228"/>
      <c r="AA547" s="228"/>
      <c r="AB547" s="228"/>
      <c r="AC547" s="228"/>
      <c r="AD547" s="228"/>
      <c r="AE547" s="228"/>
      <c r="AF547" s="228"/>
      <c r="AG547" s="228"/>
      <c r="AH547" s="228"/>
      <c r="AI547" s="228"/>
      <c r="AJ547" s="228"/>
      <c r="AK547" s="228"/>
      <c r="AL547" s="228"/>
      <c r="AM547" s="228"/>
      <c r="AN547" s="228"/>
      <c r="AO547" s="228"/>
      <c r="AP547" s="228"/>
      <c r="AQ547" s="228"/>
      <c r="AR547" s="228"/>
      <c r="AS547" s="228"/>
      <c r="AT547" s="228"/>
      <c r="AU547" s="228"/>
      <c r="AV547" s="228"/>
      <c r="AW547" s="228"/>
      <c r="AX547" s="228"/>
      <c r="AY547" s="228"/>
      <c r="AZ547" s="228"/>
      <c r="BA547" s="228"/>
      <c r="BB547" s="228"/>
      <c r="BC547" s="228"/>
      <c r="BD547" s="228"/>
      <c r="BE547" s="228"/>
      <c r="BF547" s="228"/>
      <c r="BG547" s="228"/>
      <c r="BH547" s="228"/>
      <c r="BI547" s="228"/>
      <c r="BJ547" s="228"/>
      <c r="BK547" s="228"/>
      <c r="BL547" s="228"/>
      <c r="BM547" s="228"/>
      <c r="BN547" s="228"/>
      <c r="BO547" s="228"/>
      <c r="BP547" s="228"/>
      <c r="BQ547" s="228"/>
      <c r="BR547" s="228"/>
      <c r="BS547" s="228"/>
      <c r="BT547" s="228"/>
      <c r="BU547" s="228"/>
      <c r="BV547" s="228"/>
      <c r="BW547" s="228"/>
      <c r="BX547" s="228"/>
      <c r="BY547" s="228"/>
      <c r="BZ547" s="228"/>
      <c r="CA547" s="228"/>
      <c r="CB547" s="228"/>
      <c r="CC547" s="228"/>
      <c r="CD547" s="228"/>
      <c r="CE547" s="228"/>
      <c r="CF547" s="228"/>
      <c r="CG547" s="228"/>
      <c r="CH547" s="228"/>
      <c r="CI547" s="228"/>
      <c r="CJ547" s="228"/>
      <c r="CK547" s="228"/>
      <c r="CL547" s="228"/>
      <c r="CM547" s="228"/>
      <c r="CN547" s="228"/>
      <c r="CO547" s="228"/>
      <c r="CP547" s="228"/>
      <c r="CQ547" s="228"/>
      <c r="CR547" s="228"/>
      <c r="CS547" s="228"/>
      <c r="CT547" s="228"/>
      <c r="CU547" s="228"/>
      <c r="CV547" s="228"/>
      <c r="CW547" s="228"/>
      <c r="CX547" s="228"/>
      <c r="CY547" s="228"/>
      <c r="CZ547" s="228"/>
      <c r="DA547" s="228"/>
      <c r="DB547" s="228"/>
    </row>
    <row r="548" ht="12.0" customHeight="1">
      <c r="A548" s="228"/>
      <c r="B548" s="228"/>
      <c r="C548" s="228"/>
      <c r="D548" s="228"/>
      <c r="E548" s="228"/>
      <c r="F548" s="228"/>
      <c r="G548" s="228"/>
      <c r="H548" s="228"/>
      <c r="I548" s="228"/>
      <c r="J548" s="228"/>
      <c r="K548" s="228"/>
      <c r="L548" s="228"/>
      <c r="M548" s="228"/>
      <c r="N548" s="228"/>
      <c r="O548" s="228"/>
      <c r="P548" s="228"/>
      <c r="Q548" s="228"/>
      <c r="R548" s="228"/>
      <c r="S548" s="228"/>
      <c r="T548" s="228"/>
      <c r="U548" s="228"/>
      <c r="V548" s="228"/>
      <c r="W548" s="228"/>
      <c r="X548" s="228"/>
      <c r="Y548" s="228"/>
      <c r="Z548" s="228"/>
      <c r="AA548" s="228"/>
      <c r="AB548" s="228"/>
      <c r="AC548" s="228"/>
      <c r="AD548" s="228"/>
      <c r="AE548" s="228"/>
      <c r="AF548" s="228"/>
      <c r="AG548" s="228"/>
      <c r="AH548" s="228"/>
      <c r="AI548" s="228"/>
      <c r="AJ548" s="228"/>
      <c r="AK548" s="228"/>
      <c r="AL548" s="228"/>
      <c r="AM548" s="228"/>
      <c r="AN548" s="228"/>
      <c r="AO548" s="228"/>
      <c r="AP548" s="228"/>
      <c r="AQ548" s="228"/>
      <c r="AR548" s="228"/>
      <c r="AS548" s="228"/>
      <c r="AT548" s="228"/>
      <c r="AU548" s="228"/>
      <c r="AV548" s="228"/>
      <c r="AW548" s="228"/>
      <c r="AX548" s="228"/>
      <c r="AY548" s="228"/>
      <c r="AZ548" s="228"/>
      <c r="BA548" s="228"/>
      <c r="BB548" s="228"/>
      <c r="BC548" s="228"/>
      <c r="BD548" s="228"/>
      <c r="BE548" s="228"/>
      <c r="BF548" s="228"/>
      <c r="BG548" s="228"/>
      <c r="BH548" s="228"/>
      <c r="BI548" s="228"/>
      <c r="BJ548" s="228"/>
      <c r="BK548" s="228"/>
      <c r="BL548" s="228"/>
      <c r="BM548" s="228"/>
      <c r="BN548" s="228"/>
      <c r="BO548" s="228"/>
      <c r="BP548" s="228"/>
      <c r="BQ548" s="228"/>
      <c r="BR548" s="228"/>
      <c r="BS548" s="228"/>
      <c r="BT548" s="228"/>
      <c r="BU548" s="228"/>
      <c r="BV548" s="228"/>
      <c r="BW548" s="228"/>
      <c r="BX548" s="228"/>
      <c r="BY548" s="228"/>
      <c r="BZ548" s="228"/>
      <c r="CA548" s="228"/>
      <c r="CB548" s="228"/>
      <c r="CC548" s="228"/>
      <c r="CD548" s="228"/>
      <c r="CE548" s="228"/>
      <c r="CF548" s="228"/>
      <c r="CG548" s="228"/>
      <c r="CH548" s="228"/>
      <c r="CI548" s="228"/>
      <c r="CJ548" s="228"/>
      <c r="CK548" s="228"/>
      <c r="CL548" s="228"/>
      <c r="CM548" s="228"/>
      <c r="CN548" s="228"/>
      <c r="CO548" s="228"/>
      <c r="CP548" s="228"/>
      <c r="CQ548" s="228"/>
      <c r="CR548" s="228"/>
      <c r="CS548" s="228"/>
      <c r="CT548" s="228"/>
      <c r="CU548" s="228"/>
      <c r="CV548" s="228"/>
      <c r="CW548" s="228"/>
      <c r="CX548" s="228"/>
      <c r="CY548" s="228"/>
      <c r="CZ548" s="228"/>
      <c r="DA548" s="228"/>
      <c r="DB548" s="228"/>
    </row>
    <row r="549" ht="12.0" customHeight="1">
      <c r="A549" s="228"/>
      <c r="B549" s="228"/>
      <c r="C549" s="228"/>
      <c r="D549" s="228"/>
      <c r="E549" s="228"/>
      <c r="F549" s="228"/>
      <c r="G549" s="228"/>
      <c r="H549" s="228"/>
      <c r="I549" s="228"/>
      <c r="J549" s="228"/>
      <c r="K549" s="228"/>
      <c r="L549" s="228"/>
      <c r="M549" s="228"/>
      <c r="N549" s="228"/>
      <c r="O549" s="228"/>
      <c r="P549" s="228"/>
      <c r="Q549" s="228"/>
      <c r="R549" s="228"/>
      <c r="S549" s="228"/>
      <c r="T549" s="228"/>
      <c r="U549" s="228"/>
      <c r="V549" s="228"/>
      <c r="W549" s="228"/>
      <c r="X549" s="228"/>
      <c r="Y549" s="228"/>
      <c r="Z549" s="228"/>
      <c r="AA549" s="228"/>
      <c r="AB549" s="228"/>
      <c r="AC549" s="228"/>
      <c r="AD549" s="228"/>
      <c r="AE549" s="228"/>
      <c r="AF549" s="228"/>
      <c r="AG549" s="228"/>
      <c r="AH549" s="228"/>
      <c r="AI549" s="228"/>
      <c r="AJ549" s="228"/>
      <c r="AK549" s="228"/>
      <c r="AL549" s="228"/>
      <c r="AM549" s="228"/>
      <c r="AN549" s="228"/>
      <c r="AO549" s="228"/>
      <c r="AP549" s="228"/>
      <c r="AQ549" s="228"/>
      <c r="AR549" s="228"/>
      <c r="AS549" s="228"/>
      <c r="AT549" s="228"/>
      <c r="AU549" s="228"/>
      <c r="AV549" s="228"/>
      <c r="AW549" s="228"/>
      <c r="AX549" s="228"/>
      <c r="AY549" s="228"/>
      <c r="AZ549" s="228"/>
      <c r="BA549" s="228"/>
      <c r="BB549" s="228"/>
      <c r="BC549" s="228"/>
      <c r="BD549" s="228"/>
      <c r="BE549" s="228"/>
      <c r="BF549" s="228"/>
      <c r="BG549" s="228"/>
      <c r="BH549" s="228"/>
      <c r="BI549" s="228"/>
      <c r="BJ549" s="228"/>
      <c r="BK549" s="228"/>
      <c r="BL549" s="228"/>
      <c r="BM549" s="228"/>
      <c r="BN549" s="228"/>
      <c r="BO549" s="228"/>
      <c r="BP549" s="228"/>
      <c r="BQ549" s="228"/>
      <c r="BR549" s="228"/>
      <c r="BS549" s="228"/>
      <c r="BT549" s="228"/>
      <c r="BU549" s="228"/>
      <c r="BV549" s="228"/>
      <c r="BW549" s="228"/>
      <c r="BX549" s="228"/>
      <c r="BY549" s="228"/>
      <c r="BZ549" s="228"/>
      <c r="CA549" s="228"/>
      <c r="CB549" s="228"/>
      <c r="CC549" s="228"/>
      <c r="CD549" s="228"/>
      <c r="CE549" s="228"/>
      <c r="CF549" s="228"/>
      <c r="CG549" s="228"/>
      <c r="CH549" s="228"/>
      <c r="CI549" s="228"/>
      <c r="CJ549" s="228"/>
      <c r="CK549" s="228"/>
      <c r="CL549" s="228"/>
      <c r="CM549" s="228"/>
      <c r="CN549" s="228"/>
      <c r="CO549" s="228"/>
      <c r="CP549" s="228"/>
      <c r="CQ549" s="228"/>
      <c r="CR549" s="228"/>
      <c r="CS549" s="228"/>
      <c r="CT549" s="228"/>
      <c r="CU549" s="228"/>
      <c r="CV549" s="228"/>
      <c r="CW549" s="228"/>
      <c r="CX549" s="228"/>
      <c r="CY549" s="228"/>
      <c r="CZ549" s="228"/>
      <c r="DA549" s="228"/>
      <c r="DB549" s="228"/>
    </row>
    <row r="550" ht="12.0" customHeight="1">
      <c r="A550" s="228"/>
      <c r="B550" s="228"/>
      <c r="C550" s="228"/>
      <c r="D550" s="228"/>
      <c r="E550" s="228"/>
      <c r="F550" s="228"/>
      <c r="G550" s="228"/>
      <c r="H550" s="228"/>
      <c r="I550" s="228"/>
      <c r="J550" s="228"/>
      <c r="K550" s="228"/>
      <c r="L550" s="228"/>
      <c r="M550" s="228"/>
      <c r="N550" s="228"/>
      <c r="O550" s="228"/>
      <c r="P550" s="228"/>
      <c r="Q550" s="228"/>
      <c r="R550" s="228"/>
      <c r="S550" s="228"/>
      <c r="T550" s="228"/>
      <c r="U550" s="228"/>
      <c r="V550" s="228"/>
      <c r="W550" s="228"/>
      <c r="X550" s="228"/>
      <c r="Y550" s="228"/>
      <c r="Z550" s="228"/>
      <c r="AA550" s="228"/>
      <c r="AB550" s="228"/>
      <c r="AC550" s="228"/>
      <c r="AD550" s="228"/>
      <c r="AE550" s="228"/>
      <c r="AF550" s="228"/>
      <c r="AG550" s="228"/>
      <c r="AH550" s="228"/>
      <c r="AI550" s="228"/>
      <c r="AJ550" s="228"/>
      <c r="AK550" s="228"/>
      <c r="AL550" s="228"/>
      <c r="AM550" s="228"/>
      <c r="AN550" s="228"/>
      <c r="AO550" s="228"/>
      <c r="AP550" s="228"/>
      <c r="AQ550" s="228"/>
      <c r="AR550" s="228"/>
      <c r="AS550" s="228"/>
      <c r="AT550" s="228"/>
      <c r="AU550" s="228"/>
      <c r="AV550" s="228"/>
      <c r="AW550" s="228"/>
      <c r="AX550" s="228"/>
      <c r="AY550" s="228"/>
      <c r="AZ550" s="228"/>
      <c r="BA550" s="228"/>
      <c r="BB550" s="228"/>
      <c r="BC550" s="228"/>
      <c r="BD550" s="228"/>
      <c r="BE550" s="228"/>
      <c r="BF550" s="228"/>
      <c r="BG550" s="228"/>
      <c r="BH550" s="228"/>
      <c r="BI550" s="228"/>
      <c r="BJ550" s="228"/>
      <c r="BK550" s="228"/>
      <c r="BL550" s="228"/>
      <c r="BM550" s="228"/>
      <c r="BN550" s="228"/>
      <c r="BO550" s="228"/>
      <c r="BP550" s="228"/>
      <c r="BQ550" s="228"/>
      <c r="BR550" s="228"/>
      <c r="BS550" s="228"/>
      <c r="BT550" s="228"/>
      <c r="BU550" s="228"/>
      <c r="BV550" s="228"/>
      <c r="BW550" s="228"/>
      <c r="BX550" s="228"/>
      <c r="BY550" s="228"/>
      <c r="BZ550" s="228"/>
      <c r="CA550" s="228"/>
      <c r="CB550" s="228"/>
      <c r="CC550" s="228"/>
      <c r="CD550" s="228"/>
      <c r="CE550" s="228"/>
      <c r="CF550" s="228"/>
      <c r="CG550" s="228"/>
      <c r="CH550" s="228"/>
      <c r="CI550" s="228"/>
      <c r="CJ550" s="228"/>
      <c r="CK550" s="228"/>
      <c r="CL550" s="228"/>
      <c r="CM550" s="228"/>
      <c r="CN550" s="228"/>
      <c r="CO550" s="228"/>
      <c r="CP550" s="228"/>
      <c r="CQ550" s="228"/>
      <c r="CR550" s="228"/>
      <c r="CS550" s="228"/>
      <c r="CT550" s="228"/>
      <c r="CU550" s="228"/>
      <c r="CV550" s="228"/>
      <c r="CW550" s="228"/>
      <c r="CX550" s="228"/>
      <c r="CY550" s="228"/>
      <c r="CZ550" s="228"/>
      <c r="DA550" s="228"/>
      <c r="DB550" s="228"/>
    </row>
    <row r="551" ht="12.0" customHeight="1">
      <c r="A551" s="228"/>
      <c r="B551" s="228"/>
      <c r="C551" s="228"/>
      <c r="D551" s="228"/>
      <c r="E551" s="228"/>
      <c r="F551" s="228"/>
      <c r="G551" s="228"/>
      <c r="H551" s="228"/>
      <c r="I551" s="228"/>
      <c r="J551" s="228"/>
      <c r="K551" s="228"/>
      <c r="L551" s="228"/>
      <c r="M551" s="228"/>
      <c r="N551" s="228"/>
      <c r="O551" s="228"/>
      <c r="P551" s="228"/>
      <c r="Q551" s="228"/>
      <c r="R551" s="228"/>
      <c r="S551" s="228"/>
      <c r="T551" s="228"/>
      <c r="U551" s="228"/>
      <c r="V551" s="228"/>
      <c r="W551" s="228"/>
      <c r="X551" s="228"/>
      <c r="Y551" s="228"/>
      <c r="Z551" s="228"/>
      <c r="AA551" s="228"/>
      <c r="AB551" s="228"/>
      <c r="AC551" s="228"/>
      <c r="AD551" s="228"/>
      <c r="AE551" s="228"/>
      <c r="AF551" s="228"/>
      <c r="AG551" s="228"/>
      <c r="AH551" s="228"/>
      <c r="AI551" s="228"/>
      <c r="AJ551" s="228"/>
      <c r="AK551" s="228"/>
      <c r="AL551" s="228"/>
      <c r="AM551" s="228"/>
      <c r="AN551" s="228"/>
      <c r="AO551" s="228"/>
      <c r="AP551" s="228"/>
      <c r="AQ551" s="228"/>
      <c r="AR551" s="228"/>
      <c r="AS551" s="228"/>
      <c r="AT551" s="228"/>
      <c r="AU551" s="228"/>
      <c r="AV551" s="228"/>
      <c r="AW551" s="228"/>
      <c r="AX551" s="228"/>
      <c r="AY551" s="228"/>
      <c r="AZ551" s="228"/>
      <c r="BA551" s="228"/>
      <c r="BB551" s="228"/>
      <c r="BC551" s="228"/>
      <c r="BD551" s="228"/>
      <c r="BE551" s="228"/>
      <c r="BF551" s="228"/>
      <c r="BG551" s="228"/>
      <c r="BH551" s="228"/>
      <c r="BI551" s="228"/>
      <c r="BJ551" s="228"/>
      <c r="BK551" s="228"/>
      <c r="BL551" s="228"/>
      <c r="BM551" s="228"/>
      <c r="BN551" s="228"/>
      <c r="BO551" s="228"/>
      <c r="BP551" s="228"/>
      <c r="BQ551" s="228"/>
      <c r="BR551" s="228"/>
      <c r="BS551" s="228"/>
      <c r="BT551" s="228"/>
      <c r="BU551" s="228"/>
      <c r="BV551" s="228"/>
      <c r="BW551" s="228"/>
      <c r="BX551" s="228"/>
      <c r="BY551" s="228"/>
      <c r="BZ551" s="228"/>
      <c r="CA551" s="228"/>
      <c r="CB551" s="228"/>
      <c r="CC551" s="228"/>
      <c r="CD551" s="228"/>
      <c r="CE551" s="228"/>
      <c r="CF551" s="228"/>
      <c r="CG551" s="228"/>
      <c r="CH551" s="228"/>
      <c r="CI551" s="228"/>
      <c r="CJ551" s="228"/>
      <c r="CK551" s="228"/>
      <c r="CL551" s="228"/>
      <c r="CM551" s="228"/>
      <c r="CN551" s="228"/>
      <c r="CO551" s="228"/>
      <c r="CP551" s="228"/>
      <c r="CQ551" s="228"/>
      <c r="CR551" s="228"/>
      <c r="CS551" s="228"/>
      <c r="CT551" s="228"/>
      <c r="CU551" s="228"/>
      <c r="CV551" s="228"/>
      <c r="CW551" s="228"/>
      <c r="CX551" s="228"/>
      <c r="CY551" s="228"/>
      <c r="CZ551" s="228"/>
      <c r="DA551" s="228"/>
      <c r="DB551" s="228"/>
    </row>
    <row r="552" ht="12.0" customHeight="1">
      <c r="A552" s="228"/>
      <c r="B552" s="228"/>
      <c r="C552" s="228"/>
      <c r="D552" s="228"/>
      <c r="E552" s="228"/>
      <c r="F552" s="228"/>
      <c r="G552" s="228"/>
      <c r="H552" s="228"/>
      <c r="I552" s="228"/>
      <c r="J552" s="228"/>
      <c r="K552" s="228"/>
      <c r="L552" s="228"/>
      <c r="M552" s="228"/>
      <c r="N552" s="228"/>
      <c r="O552" s="228"/>
      <c r="P552" s="228"/>
      <c r="Q552" s="228"/>
      <c r="R552" s="228"/>
      <c r="S552" s="228"/>
      <c r="T552" s="228"/>
      <c r="U552" s="228"/>
      <c r="V552" s="228"/>
      <c r="W552" s="228"/>
      <c r="X552" s="228"/>
      <c r="Y552" s="228"/>
      <c r="Z552" s="228"/>
      <c r="AA552" s="228"/>
      <c r="AB552" s="228"/>
      <c r="AC552" s="228"/>
      <c r="AD552" s="228"/>
      <c r="AE552" s="228"/>
      <c r="AF552" s="228"/>
      <c r="AG552" s="228"/>
      <c r="AH552" s="228"/>
      <c r="AI552" s="228"/>
      <c r="AJ552" s="228"/>
      <c r="AK552" s="228"/>
      <c r="AL552" s="228"/>
      <c r="AM552" s="228"/>
      <c r="AN552" s="228"/>
      <c r="AO552" s="228"/>
      <c r="AP552" s="228"/>
      <c r="AQ552" s="228"/>
      <c r="AR552" s="228"/>
      <c r="AS552" s="228"/>
      <c r="AT552" s="228"/>
      <c r="AU552" s="228"/>
      <c r="AV552" s="228"/>
      <c r="AW552" s="228"/>
      <c r="AX552" s="228"/>
      <c r="AY552" s="228"/>
      <c r="AZ552" s="228"/>
      <c r="BA552" s="228"/>
      <c r="BB552" s="228"/>
      <c r="BC552" s="228"/>
      <c r="BD552" s="228"/>
      <c r="BE552" s="228"/>
      <c r="BF552" s="228"/>
      <c r="BG552" s="228"/>
      <c r="BH552" s="228"/>
      <c r="BI552" s="228"/>
      <c r="BJ552" s="228"/>
      <c r="BK552" s="228"/>
      <c r="BL552" s="228"/>
      <c r="BM552" s="228"/>
      <c r="BN552" s="228"/>
      <c r="BO552" s="228"/>
      <c r="BP552" s="228"/>
      <c r="BQ552" s="228"/>
      <c r="BR552" s="228"/>
      <c r="BS552" s="228"/>
      <c r="BT552" s="228"/>
      <c r="BU552" s="228"/>
      <c r="BV552" s="228"/>
      <c r="BW552" s="228"/>
      <c r="BX552" s="228"/>
      <c r="BY552" s="228"/>
      <c r="BZ552" s="228"/>
      <c r="CA552" s="228"/>
      <c r="CB552" s="228"/>
      <c r="CC552" s="228"/>
      <c r="CD552" s="228"/>
      <c r="CE552" s="228"/>
      <c r="CF552" s="228"/>
      <c r="CG552" s="228"/>
      <c r="CH552" s="228"/>
      <c r="CI552" s="228"/>
      <c r="CJ552" s="228"/>
      <c r="CK552" s="228"/>
      <c r="CL552" s="228"/>
      <c r="CM552" s="228"/>
      <c r="CN552" s="228"/>
      <c r="CO552" s="228"/>
      <c r="CP552" s="228"/>
      <c r="CQ552" s="228"/>
      <c r="CR552" s="228"/>
      <c r="CS552" s="228"/>
      <c r="CT552" s="228"/>
      <c r="CU552" s="228"/>
      <c r="CV552" s="228"/>
      <c r="CW552" s="228"/>
      <c r="CX552" s="228"/>
      <c r="CY552" s="228"/>
      <c r="CZ552" s="228"/>
      <c r="DA552" s="228"/>
      <c r="DB552" s="228"/>
    </row>
    <row r="553" ht="12.0" customHeight="1">
      <c r="A553" s="228"/>
      <c r="B553" s="228"/>
      <c r="C553" s="228"/>
      <c r="D553" s="228"/>
      <c r="E553" s="228"/>
      <c r="F553" s="228"/>
      <c r="G553" s="228"/>
      <c r="H553" s="228"/>
      <c r="I553" s="228"/>
      <c r="J553" s="228"/>
      <c r="K553" s="228"/>
      <c r="L553" s="228"/>
      <c r="M553" s="228"/>
      <c r="N553" s="228"/>
      <c r="O553" s="228"/>
      <c r="P553" s="228"/>
      <c r="Q553" s="228"/>
      <c r="R553" s="228"/>
      <c r="S553" s="228"/>
      <c r="T553" s="228"/>
      <c r="U553" s="228"/>
      <c r="V553" s="228"/>
      <c r="W553" s="228"/>
      <c r="X553" s="228"/>
      <c r="Y553" s="228"/>
      <c r="Z553" s="228"/>
      <c r="AA553" s="228"/>
      <c r="AB553" s="228"/>
      <c r="AC553" s="228"/>
      <c r="AD553" s="228"/>
      <c r="AE553" s="228"/>
      <c r="AF553" s="228"/>
      <c r="AG553" s="228"/>
      <c r="AH553" s="228"/>
      <c r="AI553" s="228"/>
      <c r="AJ553" s="228"/>
      <c r="AK553" s="228"/>
      <c r="AL553" s="228"/>
      <c r="AM553" s="228"/>
      <c r="AN553" s="228"/>
      <c r="AO553" s="228"/>
      <c r="AP553" s="228"/>
      <c r="AQ553" s="228"/>
      <c r="AR553" s="228"/>
      <c r="AS553" s="228"/>
      <c r="AT553" s="228"/>
      <c r="AU553" s="228"/>
      <c r="AV553" s="228"/>
      <c r="AW553" s="228"/>
      <c r="AX553" s="228"/>
      <c r="AY553" s="228"/>
      <c r="AZ553" s="228"/>
      <c r="BA553" s="228"/>
      <c r="BB553" s="228"/>
      <c r="BC553" s="228"/>
      <c r="BD553" s="228"/>
      <c r="BE553" s="228"/>
      <c r="BF553" s="228"/>
      <c r="BG553" s="228"/>
      <c r="BH553" s="228"/>
      <c r="BI553" s="228"/>
      <c r="BJ553" s="228"/>
      <c r="BK553" s="228"/>
      <c r="BL553" s="228"/>
      <c r="BM553" s="228"/>
      <c r="BN553" s="228"/>
      <c r="BO553" s="228"/>
      <c r="BP553" s="228"/>
      <c r="BQ553" s="228"/>
      <c r="BR553" s="228"/>
      <c r="BS553" s="228"/>
      <c r="BT553" s="228"/>
      <c r="BU553" s="228"/>
      <c r="BV553" s="228"/>
      <c r="BW553" s="228"/>
      <c r="BX553" s="228"/>
      <c r="BY553" s="228"/>
      <c r="BZ553" s="228"/>
      <c r="CA553" s="228"/>
      <c r="CB553" s="228"/>
      <c r="CC553" s="228"/>
      <c r="CD553" s="228"/>
      <c r="CE553" s="228"/>
      <c r="CF553" s="228"/>
      <c r="CG553" s="228"/>
      <c r="CH553" s="228"/>
      <c r="CI553" s="228"/>
      <c r="CJ553" s="228"/>
      <c r="CK553" s="228"/>
      <c r="CL553" s="228"/>
      <c r="CM553" s="228"/>
      <c r="CN553" s="228"/>
      <c r="CO553" s="228"/>
      <c r="CP553" s="228"/>
      <c r="CQ553" s="228"/>
      <c r="CR553" s="228"/>
      <c r="CS553" s="228"/>
      <c r="CT553" s="228"/>
      <c r="CU553" s="228"/>
      <c r="CV553" s="228"/>
      <c r="CW553" s="228"/>
      <c r="CX553" s="228"/>
      <c r="CY553" s="228"/>
      <c r="CZ553" s="228"/>
      <c r="DA553" s="228"/>
      <c r="DB553" s="228"/>
    </row>
    <row r="554" ht="12.0" customHeight="1">
      <c r="A554" s="228"/>
      <c r="B554" s="228"/>
      <c r="C554" s="228"/>
      <c r="D554" s="228"/>
      <c r="E554" s="228"/>
      <c r="F554" s="228"/>
      <c r="G554" s="228"/>
      <c r="H554" s="228"/>
      <c r="I554" s="228"/>
      <c r="J554" s="228"/>
      <c r="K554" s="228"/>
      <c r="L554" s="228"/>
      <c r="M554" s="228"/>
      <c r="N554" s="228"/>
      <c r="O554" s="228"/>
      <c r="P554" s="228"/>
      <c r="Q554" s="228"/>
      <c r="R554" s="228"/>
      <c r="S554" s="228"/>
      <c r="T554" s="228"/>
      <c r="U554" s="228"/>
      <c r="V554" s="228"/>
      <c r="W554" s="228"/>
      <c r="X554" s="228"/>
      <c r="Y554" s="228"/>
      <c r="Z554" s="228"/>
      <c r="AA554" s="228"/>
      <c r="AB554" s="228"/>
      <c r="AC554" s="228"/>
      <c r="AD554" s="228"/>
      <c r="AE554" s="228"/>
      <c r="AF554" s="228"/>
      <c r="AG554" s="228"/>
      <c r="AH554" s="228"/>
      <c r="AI554" s="228"/>
      <c r="AJ554" s="228"/>
      <c r="AK554" s="228"/>
      <c r="AL554" s="228"/>
      <c r="AM554" s="228"/>
      <c r="AN554" s="228"/>
      <c r="AO554" s="228"/>
      <c r="AP554" s="228"/>
      <c r="AQ554" s="228"/>
      <c r="AR554" s="228"/>
      <c r="AS554" s="228"/>
      <c r="AT554" s="228"/>
      <c r="AU554" s="228"/>
      <c r="AV554" s="228"/>
      <c r="AW554" s="228"/>
      <c r="AX554" s="228"/>
      <c r="AY554" s="228"/>
      <c r="AZ554" s="228"/>
      <c r="BA554" s="228"/>
      <c r="BB554" s="228"/>
      <c r="BC554" s="228"/>
      <c r="BD554" s="228"/>
      <c r="BE554" s="228"/>
      <c r="BF554" s="228"/>
      <c r="BG554" s="228"/>
      <c r="BH554" s="228"/>
      <c r="BI554" s="228"/>
      <c r="BJ554" s="228"/>
      <c r="BK554" s="228"/>
      <c r="BL554" s="228"/>
      <c r="BM554" s="228"/>
      <c r="BN554" s="228"/>
      <c r="BO554" s="228"/>
      <c r="BP554" s="228"/>
      <c r="BQ554" s="228"/>
      <c r="BR554" s="228"/>
      <c r="BS554" s="228"/>
      <c r="BT554" s="228"/>
      <c r="BU554" s="228"/>
      <c r="BV554" s="228"/>
      <c r="BW554" s="228"/>
      <c r="BX554" s="228"/>
      <c r="BY554" s="228"/>
      <c r="BZ554" s="228"/>
      <c r="CA554" s="228"/>
      <c r="CB554" s="228"/>
      <c r="CC554" s="228"/>
      <c r="CD554" s="228"/>
      <c r="CE554" s="228"/>
      <c r="CF554" s="228"/>
      <c r="CG554" s="228"/>
      <c r="CH554" s="228"/>
      <c r="CI554" s="228"/>
      <c r="CJ554" s="228"/>
      <c r="CK554" s="228"/>
      <c r="CL554" s="228"/>
      <c r="CM554" s="228"/>
      <c r="CN554" s="228"/>
      <c r="CO554" s="228"/>
      <c r="CP554" s="228"/>
      <c r="CQ554" s="228"/>
      <c r="CR554" s="228"/>
      <c r="CS554" s="228"/>
      <c r="CT554" s="228"/>
      <c r="CU554" s="228"/>
      <c r="CV554" s="228"/>
      <c r="CW554" s="228"/>
      <c r="CX554" s="228"/>
      <c r="CY554" s="228"/>
      <c r="CZ554" s="228"/>
      <c r="DA554" s="228"/>
      <c r="DB554" s="228"/>
    </row>
    <row r="555" ht="12.0" customHeight="1">
      <c r="A555" s="228"/>
      <c r="B555" s="228"/>
      <c r="C555" s="228"/>
      <c r="D555" s="228"/>
      <c r="E555" s="228"/>
      <c r="F555" s="228"/>
      <c r="G555" s="228"/>
      <c r="H555" s="228"/>
      <c r="I555" s="228"/>
      <c r="J555" s="228"/>
      <c r="K555" s="228"/>
      <c r="L555" s="228"/>
      <c r="M555" s="228"/>
      <c r="N555" s="228"/>
      <c r="O555" s="228"/>
      <c r="P555" s="228"/>
      <c r="Q555" s="228"/>
      <c r="R555" s="228"/>
      <c r="S555" s="228"/>
      <c r="T555" s="228"/>
      <c r="U555" s="228"/>
      <c r="V555" s="228"/>
      <c r="W555" s="228"/>
      <c r="X555" s="228"/>
      <c r="Y555" s="228"/>
      <c r="Z555" s="228"/>
      <c r="AA555" s="228"/>
      <c r="AB555" s="228"/>
      <c r="AC555" s="228"/>
      <c r="AD555" s="228"/>
      <c r="AE555" s="228"/>
      <c r="AF555" s="228"/>
      <c r="AG555" s="228"/>
      <c r="AH555" s="228"/>
      <c r="AI555" s="228"/>
      <c r="AJ555" s="228"/>
      <c r="AK555" s="228"/>
      <c r="AL555" s="228"/>
      <c r="AM555" s="228"/>
      <c r="AN555" s="228"/>
      <c r="AO555" s="228"/>
      <c r="AP555" s="228"/>
      <c r="AQ555" s="228"/>
      <c r="AR555" s="228"/>
      <c r="AS555" s="228"/>
      <c r="AT555" s="228"/>
      <c r="AU555" s="228"/>
      <c r="AV555" s="228"/>
      <c r="AW555" s="228"/>
      <c r="AX555" s="228"/>
      <c r="AY555" s="228"/>
      <c r="AZ555" s="228"/>
      <c r="BA555" s="228"/>
      <c r="BB555" s="228"/>
      <c r="BC555" s="228"/>
      <c r="BD555" s="228"/>
      <c r="BE555" s="228"/>
      <c r="BF555" s="228"/>
      <c r="BG555" s="228"/>
      <c r="BH555" s="228"/>
      <c r="BI555" s="228"/>
      <c r="BJ555" s="228"/>
      <c r="BK555" s="228"/>
      <c r="BL555" s="228"/>
      <c r="BM555" s="228"/>
      <c r="BN555" s="228"/>
      <c r="BO555" s="228"/>
      <c r="BP555" s="228"/>
      <c r="BQ555" s="228"/>
      <c r="BR555" s="228"/>
      <c r="BS555" s="228"/>
      <c r="BT555" s="228"/>
      <c r="BU555" s="228"/>
      <c r="BV555" s="228"/>
      <c r="BW555" s="228"/>
      <c r="BX555" s="228"/>
      <c r="BY555" s="228"/>
      <c r="BZ555" s="228"/>
      <c r="CA555" s="228"/>
      <c r="CB555" s="228"/>
      <c r="CC555" s="228"/>
      <c r="CD555" s="228"/>
      <c r="CE555" s="228"/>
      <c r="CF555" s="228"/>
      <c r="CG555" s="228"/>
      <c r="CH555" s="228"/>
      <c r="CI555" s="228"/>
      <c r="CJ555" s="228"/>
      <c r="CK555" s="228"/>
      <c r="CL555" s="228"/>
      <c r="CM555" s="228"/>
      <c r="CN555" s="228"/>
      <c r="CO555" s="228"/>
      <c r="CP555" s="228"/>
      <c r="CQ555" s="228"/>
      <c r="CR555" s="228"/>
      <c r="CS555" s="228"/>
      <c r="CT555" s="228"/>
      <c r="CU555" s="228"/>
      <c r="CV555" s="228"/>
      <c r="CW555" s="228"/>
      <c r="CX555" s="228"/>
      <c r="CY555" s="228"/>
      <c r="CZ555" s="228"/>
      <c r="DA555" s="228"/>
      <c r="DB555" s="228"/>
    </row>
    <row r="556" ht="12.0" customHeight="1">
      <c r="A556" s="228"/>
      <c r="B556" s="228"/>
      <c r="C556" s="228"/>
      <c r="D556" s="228"/>
      <c r="E556" s="228"/>
      <c r="F556" s="228"/>
      <c r="G556" s="228"/>
      <c r="H556" s="228"/>
      <c r="I556" s="228"/>
      <c r="J556" s="228"/>
      <c r="K556" s="228"/>
      <c r="L556" s="228"/>
      <c r="M556" s="228"/>
      <c r="N556" s="228"/>
      <c r="O556" s="228"/>
      <c r="P556" s="228"/>
      <c r="Q556" s="228"/>
      <c r="R556" s="228"/>
      <c r="S556" s="228"/>
      <c r="T556" s="228"/>
      <c r="U556" s="228"/>
      <c r="V556" s="228"/>
      <c r="W556" s="228"/>
      <c r="X556" s="228"/>
      <c r="Y556" s="228"/>
      <c r="Z556" s="228"/>
      <c r="AA556" s="228"/>
      <c r="AB556" s="228"/>
      <c r="AC556" s="228"/>
      <c r="AD556" s="228"/>
      <c r="AE556" s="228"/>
      <c r="AF556" s="228"/>
      <c r="AG556" s="228"/>
      <c r="AH556" s="228"/>
      <c r="AI556" s="228"/>
      <c r="AJ556" s="228"/>
      <c r="AK556" s="228"/>
      <c r="AL556" s="228"/>
      <c r="AM556" s="228"/>
      <c r="AN556" s="228"/>
      <c r="AO556" s="228"/>
      <c r="AP556" s="228"/>
      <c r="AQ556" s="228"/>
      <c r="AR556" s="228"/>
      <c r="AS556" s="228"/>
      <c r="AT556" s="228"/>
      <c r="AU556" s="228"/>
      <c r="AV556" s="228"/>
      <c r="AW556" s="228"/>
      <c r="AX556" s="228"/>
      <c r="AY556" s="228"/>
      <c r="AZ556" s="228"/>
      <c r="BA556" s="228"/>
      <c r="BB556" s="228"/>
      <c r="BC556" s="228"/>
      <c r="BD556" s="228"/>
      <c r="BE556" s="228"/>
      <c r="BF556" s="228"/>
      <c r="BG556" s="228"/>
      <c r="BH556" s="228"/>
      <c r="BI556" s="228"/>
      <c r="BJ556" s="228"/>
      <c r="BK556" s="228"/>
      <c r="BL556" s="228"/>
      <c r="BM556" s="228"/>
      <c r="BN556" s="228"/>
      <c r="BO556" s="228"/>
      <c r="BP556" s="228"/>
      <c r="BQ556" s="228"/>
      <c r="BR556" s="228"/>
      <c r="BS556" s="228"/>
      <c r="BT556" s="228"/>
      <c r="BU556" s="228"/>
      <c r="BV556" s="228"/>
      <c r="BW556" s="228"/>
      <c r="BX556" s="228"/>
      <c r="BY556" s="228"/>
      <c r="BZ556" s="228"/>
      <c r="CA556" s="228"/>
      <c r="CB556" s="228"/>
      <c r="CC556" s="228"/>
      <c r="CD556" s="228"/>
      <c r="CE556" s="228"/>
      <c r="CF556" s="228"/>
      <c r="CG556" s="228"/>
      <c r="CH556" s="228"/>
      <c r="CI556" s="228"/>
      <c r="CJ556" s="228"/>
      <c r="CK556" s="228"/>
      <c r="CL556" s="228"/>
      <c r="CM556" s="228"/>
      <c r="CN556" s="228"/>
      <c r="CO556" s="228"/>
      <c r="CP556" s="228"/>
      <c r="CQ556" s="228"/>
      <c r="CR556" s="228"/>
      <c r="CS556" s="228"/>
      <c r="CT556" s="228"/>
      <c r="CU556" s="228"/>
      <c r="CV556" s="228"/>
      <c r="CW556" s="228"/>
      <c r="CX556" s="228"/>
      <c r="CY556" s="228"/>
      <c r="CZ556" s="228"/>
      <c r="DA556" s="228"/>
      <c r="DB556" s="228"/>
    </row>
    <row r="557" ht="12.0" customHeight="1">
      <c r="A557" s="228"/>
      <c r="B557" s="228"/>
      <c r="C557" s="228"/>
      <c r="D557" s="228"/>
      <c r="E557" s="228"/>
      <c r="F557" s="228"/>
      <c r="G557" s="228"/>
      <c r="H557" s="228"/>
      <c r="I557" s="228"/>
      <c r="J557" s="228"/>
      <c r="K557" s="228"/>
      <c r="L557" s="228"/>
      <c r="M557" s="228"/>
      <c r="N557" s="228"/>
      <c r="O557" s="228"/>
      <c r="P557" s="228"/>
      <c r="Q557" s="228"/>
      <c r="R557" s="228"/>
      <c r="S557" s="228"/>
      <c r="T557" s="228"/>
      <c r="U557" s="228"/>
      <c r="V557" s="228"/>
      <c r="W557" s="228"/>
      <c r="X557" s="228"/>
      <c r="Y557" s="228"/>
      <c r="Z557" s="228"/>
      <c r="AA557" s="228"/>
      <c r="AB557" s="228"/>
      <c r="AC557" s="228"/>
      <c r="AD557" s="228"/>
      <c r="AE557" s="228"/>
      <c r="AF557" s="228"/>
      <c r="AG557" s="228"/>
      <c r="AH557" s="228"/>
      <c r="AI557" s="228"/>
      <c r="AJ557" s="228"/>
      <c r="AK557" s="228"/>
      <c r="AL557" s="228"/>
      <c r="AM557" s="228"/>
      <c r="AN557" s="228"/>
      <c r="AO557" s="228"/>
      <c r="AP557" s="228"/>
      <c r="AQ557" s="228"/>
      <c r="AR557" s="228"/>
      <c r="AS557" s="228"/>
      <c r="AT557" s="228"/>
      <c r="AU557" s="228"/>
      <c r="AV557" s="228"/>
      <c r="AW557" s="228"/>
      <c r="AX557" s="228"/>
      <c r="AY557" s="228"/>
      <c r="AZ557" s="228"/>
      <c r="BA557" s="228"/>
      <c r="BB557" s="228"/>
      <c r="BC557" s="228"/>
      <c r="BD557" s="228"/>
      <c r="BE557" s="228"/>
      <c r="BF557" s="228"/>
      <c r="BG557" s="228"/>
      <c r="BH557" s="228"/>
      <c r="BI557" s="228"/>
      <c r="BJ557" s="228"/>
      <c r="BK557" s="228"/>
      <c r="BL557" s="228"/>
      <c r="BM557" s="228"/>
      <c r="BN557" s="228"/>
      <c r="BO557" s="228"/>
      <c r="BP557" s="228"/>
      <c r="BQ557" s="228"/>
      <c r="BR557" s="228"/>
      <c r="BS557" s="228"/>
      <c r="BT557" s="228"/>
      <c r="BU557" s="228"/>
      <c r="BV557" s="228"/>
      <c r="BW557" s="228"/>
      <c r="BX557" s="228"/>
      <c r="BY557" s="228"/>
      <c r="BZ557" s="228"/>
      <c r="CA557" s="228"/>
      <c r="CB557" s="228"/>
      <c r="CC557" s="228"/>
      <c r="CD557" s="228"/>
      <c r="CE557" s="228"/>
      <c r="CF557" s="228"/>
      <c r="CG557" s="228"/>
      <c r="CH557" s="228"/>
      <c r="CI557" s="228"/>
      <c r="CJ557" s="228"/>
      <c r="CK557" s="228"/>
      <c r="CL557" s="228"/>
      <c r="CM557" s="228"/>
      <c r="CN557" s="228"/>
      <c r="CO557" s="228"/>
      <c r="CP557" s="228"/>
      <c r="CQ557" s="228"/>
      <c r="CR557" s="228"/>
      <c r="CS557" s="228"/>
      <c r="CT557" s="228"/>
      <c r="CU557" s="228"/>
      <c r="CV557" s="228"/>
      <c r="CW557" s="228"/>
      <c r="CX557" s="228"/>
      <c r="CY557" s="228"/>
      <c r="CZ557" s="228"/>
      <c r="DA557" s="228"/>
      <c r="DB557" s="228"/>
    </row>
    <row r="558" ht="12.0" customHeight="1">
      <c r="A558" s="228"/>
      <c r="B558" s="228"/>
      <c r="C558" s="228"/>
      <c r="D558" s="228"/>
      <c r="E558" s="228"/>
      <c r="F558" s="228"/>
      <c r="G558" s="228"/>
      <c r="H558" s="228"/>
      <c r="I558" s="228"/>
      <c r="J558" s="228"/>
      <c r="K558" s="228"/>
      <c r="L558" s="228"/>
      <c r="M558" s="228"/>
      <c r="N558" s="228"/>
      <c r="O558" s="228"/>
      <c r="P558" s="228"/>
      <c r="Q558" s="228"/>
      <c r="R558" s="228"/>
      <c r="S558" s="228"/>
      <c r="T558" s="228"/>
      <c r="U558" s="228"/>
      <c r="V558" s="228"/>
      <c r="W558" s="228"/>
      <c r="X558" s="228"/>
      <c r="Y558" s="228"/>
      <c r="Z558" s="228"/>
      <c r="AA558" s="228"/>
      <c r="AB558" s="228"/>
      <c r="AC558" s="228"/>
      <c r="AD558" s="228"/>
      <c r="AE558" s="228"/>
      <c r="AF558" s="228"/>
      <c r="AG558" s="228"/>
      <c r="AH558" s="228"/>
      <c r="AI558" s="228"/>
      <c r="AJ558" s="228"/>
      <c r="AK558" s="228"/>
      <c r="AL558" s="228"/>
      <c r="AM558" s="228"/>
      <c r="AN558" s="228"/>
      <c r="AO558" s="228"/>
      <c r="AP558" s="228"/>
      <c r="AQ558" s="228"/>
      <c r="AR558" s="228"/>
      <c r="AS558" s="228"/>
      <c r="AT558" s="228"/>
      <c r="AU558" s="228"/>
      <c r="AV558" s="228"/>
      <c r="AW558" s="228"/>
      <c r="AX558" s="228"/>
      <c r="AY558" s="228"/>
      <c r="AZ558" s="228"/>
      <c r="BA558" s="228"/>
      <c r="BB558" s="228"/>
      <c r="BC558" s="228"/>
      <c r="BD558" s="228"/>
      <c r="BE558" s="228"/>
      <c r="BF558" s="228"/>
      <c r="BG558" s="228"/>
      <c r="BH558" s="228"/>
      <c r="BI558" s="228"/>
      <c r="BJ558" s="228"/>
      <c r="BK558" s="228"/>
      <c r="BL558" s="228"/>
      <c r="BM558" s="228"/>
      <c r="BN558" s="228"/>
      <c r="BO558" s="228"/>
      <c r="BP558" s="228"/>
      <c r="BQ558" s="228"/>
      <c r="BR558" s="228"/>
      <c r="BS558" s="228"/>
      <c r="BT558" s="228"/>
      <c r="BU558" s="228"/>
      <c r="BV558" s="228"/>
      <c r="BW558" s="228"/>
      <c r="BX558" s="228"/>
      <c r="BY558" s="228"/>
      <c r="BZ558" s="228"/>
      <c r="CA558" s="228"/>
      <c r="CB558" s="228"/>
      <c r="CC558" s="228"/>
      <c r="CD558" s="228"/>
      <c r="CE558" s="228"/>
      <c r="CF558" s="228"/>
      <c r="CG558" s="228"/>
      <c r="CH558" s="228"/>
      <c r="CI558" s="228"/>
      <c r="CJ558" s="228"/>
      <c r="CK558" s="228"/>
      <c r="CL558" s="228"/>
      <c r="CM558" s="228"/>
      <c r="CN558" s="228"/>
      <c r="CO558" s="228"/>
      <c r="CP558" s="228"/>
      <c r="CQ558" s="228"/>
      <c r="CR558" s="228"/>
      <c r="CS558" s="228"/>
      <c r="CT558" s="228"/>
      <c r="CU558" s="228"/>
      <c r="CV558" s="228"/>
      <c r="CW558" s="228"/>
      <c r="CX558" s="228"/>
      <c r="CY558" s="228"/>
      <c r="CZ558" s="228"/>
      <c r="DA558" s="228"/>
      <c r="DB558" s="228"/>
    </row>
    <row r="559" ht="12.0" customHeight="1">
      <c r="A559" s="228"/>
      <c r="B559" s="228"/>
      <c r="C559" s="228"/>
      <c r="D559" s="228"/>
      <c r="E559" s="228"/>
      <c r="F559" s="228"/>
      <c r="G559" s="228"/>
      <c r="H559" s="228"/>
      <c r="I559" s="228"/>
      <c r="J559" s="228"/>
      <c r="K559" s="228"/>
      <c r="L559" s="228"/>
      <c r="M559" s="228"/>
      <c r="N559" s="228"/>
      <c r="O559" s="228"/>
      <c r="P559" s="228"/>
      <c r="Q559" s="228"/>
      <c r="R559" s="228"/>
      <c r="S559" s="228"/>
      <c r="T559" s="228"/>
      <c r="U559" s="228"/>
      <c r="V559" s="228"/>
      <c r="W559" s="228"/>
      <c r="X559" s="228"/>
      <c r="Y559" s="228"/>
      <c r="Z559" s="228"/>
      <c r="AA559" s="228"/>
      <c r="AB559" s="228"/>
      <c r="AC559" s="228"/>
      <c r="AD559" s="228"/>
      <c r="AE559" s="228"/>
      <c r="AF559" s="228"/>
      <c r="AG559" s="228"/>
      <c r="AH559" s="228"/>
      <c r="AI559" s="228"/>
      <c r="AJ559" s="228"/>
      <c r="AK559" s="228"/>
      <c r="AL559" s="228"/>
      <c r="AM559" s="228"/>
      <c r="AN559" s="228"/>
      <c r="AO559" s="228"/>
      <c r="AP559" s="228"/>
      <c r="AQ559" s="228"/>
      <c r="AR559" s="228"/>
      <c r="AS559" s="228"/>
      <c r="AT559" s="228"/>
      <c r="AU559" s="228"/>
      <c r="AV559" s="228"/>
      <c r="AW559" s="228"/>
      <c r="AX559" s="228"/>
      <c r="AY559" s="228"/>
      <c r="AZ559" s="228"/>
      <c r="BA559" s="228"/>
      <c r="BB559" s="228"/>
      <c r="BC559" s="228"/>
      <c r="BD559" s="228"/>
      <c r="BE559" s="228"/>
      <c r="BF559" s="228"/>
      <c r="BG559" s="228"/>
      <c r="BH559" s="228"/>
      <c r="BI559" s="228"/>
      <c r="BJ559" s="228"/>
      <c r="BK559" s="228"/>
      <c r="BL559" s="228"/>
      <c r="BM559" s="228"/>
      <c r="BN559" s="228"/>
      <c r="BO559" s="228"/>
      <c r="BP559" s="228"/>
      <c r="BQ559" s="228"/>
      <c r="BR559" s="228"/>
      <c r="BS559" s="228"/>
      <c r="BT559" s="228"/>
      <c r="BU559" s="228"/>
      <c r="BV559" s="228"/>
      <c r="BW559" s="228"/>
      <c r="BX559" s="228"/>
      <c r="BY559" s="228"/>
      <c r="BZ559" s="228"/>
      <c r="CA559" s="228"/>
      <c r="CB559" s="228"/>
      <c r="CC559" s="228"/>
      <c r="CD559" s="228"/>
      <c r="CE559" s="228"/>
      <c r="CF559" s="228"/>
      <c r="CG559" s="228"/>
      <c r="CH559" s="228"/>
      <c r="CI559" s="228"/>
      <c r="CJ559" s="228"/>
      <c r="CK559" s="228"/>
      <c r="CL559" s="228"/>
      <c r="CM559" s="228"/>
      <c r="CN559" s="228"/>
      <c r="CO559" s="228"/>
      <c r="CP559" s="228"/>
      <c r="CQ559" s="228"/>
      <c r="CR559" s="228"/>
      <c r="CS559" s="228"/>
      <c r="CT559" s="228"/>
      <c r="CU559" s="228"/>
      <c r="CV559" s="228"/>
      <c r="CW559" s="228"/>
      <c r="CX559" s="228"/>
      <c r="CY559" s="228"/>
      <c r="CZ559" s="228"/>
      <c r="DA559" s="228"/>
      <c r="DB559" s="228"/>
    </row>
    <row r="560" ht="12.0" customHeight="1">
      <c r="A560" s="228"/>
      <c r="B560" s="228"/>
      <c r="C560" s="228"/>
      <c r="D560" s="228"/>
      <c r="E560" s="228"/>
      <c r="F560" s="228"/>
      <c r="G560" s="228"/>
      <c r="H560" s="228"/>
      <c r="I560" s="228"/>
      <c r="J560" s="228"/>
      <c r="K560" s="228"/>
      <c r="L560" s="228"/>
      <c r="M560" s="228"/>
      <c r="N560" s="228"/>
      <c r="O560" s="228"/>
      <c r="P560" s="228"/>
      <c r="Q560" s="228"/>
      <c r="R560" s="228"/>
      <c r="S560" s="228"/>
      <c r="T560" s="228"/>
      <c r="U560" s="228"/>
      <c r="V560" s="228"/>
      <c r="W560" s="228"/>
      <c r="X560" s="228"/>
      <c r="Y560" s="228"/>
      <c r="Z560" s="228"/>
      <c r="AA560" s="228"/>
      <c r="AB560" s="228"/>
      <c r="AC560" s="228"/>
      <c r="AD560" s="228"/>
      <c r="AE560" s="228"/>
      <c r="AF560" s="228"/>
      <c r="AG560" s="228"/>
      <c r="AH560" s="228"/>
      <c r="AI560" s="228"/>
      <c r="AJ560" s="228"/>
      <c r="AK560" s="228"/>
      <c r="AL560" s="228"/>
      <c r="AM560" s="228"/>
      <c r="AN560" s="228"/>
      <c r="AO560" s="228"/>
      <c r="AP560" s="228"/>
      <c r="AQ560" s="228"/>
      <c r="AR560" s="228"/>
      <c r="AS560" s="228"/>
      <c r="AT560" s="228"/>
      <c r="AU560" s="228"/>
      <c r="AV560" s="228"/>
      <c r="AW560" s="228"/>
      <c r="AX560" s="228"/>
      <c r="AY560" s="228"/>
      <c r="AZ560" s="228"/>
      <c r="BA560" s="228"/>
      <c r="BB560" s="228"/>
      <c r="BC560" s="228"/>
      <c r="BD560" s="228"/>
      <c r="BE560" s="228"/>
      <c r="BF560" s="228"/>
      <c r="BG560" s="228"/>
      <c r="BH560" s="228"/>
      <c r="BI560" s="228"/>
      <c r="BJ560" s="228"/>
      <c r="BK560" s="228"/>
      <c r="BL560" s="228"/>
      <c r="BM560" s="228"/>
      <c r="BN560" s="228"/>
      <c r="BO560" s="228"/>
      <c r="BP560" s="228"/>
      <c r="BQ560" s="228"/>
      <c r="BR560" s="228"/>
      <c r="BS560" s="228"/>
      <c r="BT560" s="228"/>
      <c r="BU560" s="228"/>
      <c r="BV560" s="228"/>
      <c r="BW560" s="228"/>
      <c r="BX560" s="228"/>
      <c r="BY560" s="228"/>
      <c r="BZ560" s="228"/>
      <c r="CA560" s="228"/>
      <c r="CB560" s="228"/>
      <c r="CC560" s="228"/>
      <c r="CD560" s="228"/>
      <c r="CE560" s="228"/>
      <c r="CF560" s="228"/>
      <c r="CG560" s="228"/>
      <c r="CH560" s="228"/>
      <c r="CI560" s="228"/>
      <c r="CJ560" s="228"/>
      <c r="CK560" s="228"/>
      <c r="CL560" s="228"/>
      <c r="CM560" s="228"/>
      <c r="CN560" s="228"/>
      <c r="CO560" s="228"/>
      <c r="CP560" s="228"/>
      <c r="CQ560" s="228"/>
      <c r="CR560" s="228"/>
      <c r="CS560" s="228"/>
      <c r="CT560" s="228"/>
      <c r="CU560" s="228"/>
      <c r="CV560" s="228"/>
      <c r="CW560" s="228"/>
      <c r="CX560" s="228"/>
      <c r="CY560" s="228"/>
      <c r="CZ560" s="228"/>
      <c r="DA560" s="228"/>
      <c r="DB560" s="228"/>
    </row>
    <row r="561" ht="12.0" customHeight="1">
      <c r="A561" s="228"/>
      <c r="B561" s="228"/>
      <c r="C561" s="228"/>
      <c r="D561" s="228"/>
      <c r="E561" s="228"/>
      <c r="F561" s="228"/>
      <c r="G561" s="228"/>
      <c r="H561" s="228"/>
      <c r="I561" s="228"/>
      <c r="J561" s="228"/>
      <c r="K561" s="228"/>
      <c r="L561" s="228"/>
      <c r="M561" s="228"/>
      <c r="N561" s="228"/>
      <c r="O561" s="228"/>
      <c r="P561" s="228"/>
      <c r="Q561" s="228"/>
      <c r="R561" s="228"/>
      <c r="S561" s="228"/>
      <c r="T561" s="228"/>
      <c r="U561" s="228"/>
      <c r="V561" s="228"/>
      <c r="W561" s="228"/>
      <c r="X561" s="228"/>
      <c r="Y561" s="228"/>
      <c r="Z561" s="228"/>
      <c r="AA561" s="228"/>
      <c r="AB561" s="228"/>
      <c r="AC561" s="228"/>
      <c r="AD561" s="228"/>
      <c r="AE561" s="228"/>
      <c r="AF561" s="228"/>
      <c r="AG561" s="228"/>
      <c r="AH561" s="228"/>
      <c r="AI561" s="228"/>
      <c r="AJ561" s="228"/>
      <c r="AK561" s="228"/>
      <c r="AL561" s="228"/>
      <c r="AM561" s="228"/>
      <c r="AN561" s="228"/>
      <c r="AO561" s="228"/>
      <c r="AP561" s="228"/>
      <c r="AQ561" s="228"/>
      <c r="AR561" s="228"/>
      <c r="AS561" s="228"/>
      <c r="AT561" s="228"/>
      <c r="AU561" s="228"/>
      <c r="AV561" s="228"/>
      <c r="AW561" s="228"/>
      <c r="AX561" s="228"/>
      <c r="AY561" s="228"/>
      <c r="AZ561" s="228"/>
      <c r="BA561" s="228"/>
      <c r="BB561" s="228"/>
      <c r="BC561" s="228"/>
      <c r="BD561" s="228"/>
      <c r="BE561" s="228"/>
      <c r="BF561" s="228"/>
      <c r="BG561" s="228"/>
      <c r="BH561" s="228"/>
      <c r="BI561" s="228"/>
      <c r="BJ561" s="228"/>
      <c r="BK561" s="228"/>
      <c r="BL561" s="228"/>
      <c r="BM561" s="228"/>
      <c r="BN561" s="228"/>
      <c r="BO561" s="228"/>
      <c r="BP561" s="228"/>
      <c r="BQ561" s="228"/>
      <c r="BR561" s="228"/>
      <c r="BS561" s="228"/>
      <c r="BT561" s="228"/>
      <c r="BU561" s="228"/>
      <c r="BV561" s="228"/>
      <c r="BW561" s="228"/>
      <c r="BX561" s="228"/>
      <c r="BY561" s="228"/>
      <c r="BZ561" s="228"/>
      <c r="CA561" s="228"/>
      <c r="CB561" s="228"/>
      <c r="CC561" s="228"/>
      <c r="CD561" s="228"/>
      <c r="CE561" s="228"/>
      <c r="CF561" s="228"/>
      <c r="CG561" s="228"/>
      <c r="CH561" s="228"/>
      <c r="CI561" s="228"/>
      <c r="CJ561" s="228"/>
      <c r="CK561" s="228"/>
      <c r="CL561" s="228"/>
      <c r="CM561" s="228"/>
      <c r="CN561" s="228"/>
      <c r="CO561" s="228"/>
      <c r="CP561" s="228"/>
      <c r="CQ561" s="228"/>
      <c r="CR561" s="228"/>
      <c r="CS561" s="228"/>
      <c r="CT561" s="228"/>
      <c r="CU561" s="228"/>
      <c r="CV561" s="228"/>
      <c r="CW561" s="228"/>
      <c r="CX561" s="228"/>
      <c r="CY561" s="228"/>
      <c r="CZ561" s="228"/>
      <c r="DA561" s="228"/>
      <c r="DB561" s="228"/>
    </row>
    <row r="562" ht="12.0" customHeight="1">
      <c r="A562" s="228"/>
      <c r="B562" s="228"/>
      <c r="C562" s="228"/>
      <c r="D562" s="228"/>
      <c r="E562" s="228"/>
      <c r="F562" s="228"/>
      <c r="G562" s="228"/>
      <c r="H562" s="228"/>
      <c r="I562" s="228"/>
      <c r="J562" s="228"/>
      <c r="K562" s="228"/>
      <c r="L562" s="228"/>
      <c r="M562" s="228"/>
      <c r="N562" s="228"/>
      <c r="O562" s="228"/>
      <c r="P562" s="228"/>
      <c r="Q562" s="228"/>
      <c r="R562" s="228"/>
      <c r="S562" s="228"/>
      <c r="T562" s="228"/>
      <c r="U562" s="228"/>
      <c r="V562" s="228"/>
      <c r="W562" s="228"/>
      <c r="X562" s="228"/>
      <c r="Y562" s="228"/>
      <c r="Z562" s="228"/>
      <c r="AA562" s="228"/>
      <c r="AB562" s="228"/>
      <c r="AC562" s="228"/>
      <c r="AD562" s="228"/>
      <c r="AE562" s="228"/>
      <c r="AF562" s="228"/>
      <c r="AG562" s="228"/>
      <c r="AH562" s="228"/>
      <c r="AI562" s="228"/>
      <c r="AJ562" s="228"/>
      <c r="AK562" s="228"/>
      <c r="AL562" s="228"/>
      <c r="AM562" s="228"/>
      <c r="AN562" s="228"/>
      <c r="AO562" s="228"/>
      <c r="AP562" s="228"/>
      <c r="AQ562" s="228"/>
      <c r="AR562" s="228"/>
      <c r="AS562" s="228"/>
      <c r="AT562" s="228"/>
      <c r="AU562" s="228"/>
      <c r="AV562" s="228"/>
      <c r="AW562" s="228"/>
      <c r="AX562" s="228"/>
      <c r="AY562" s="228"/>
      <c r="AZ562" s="228"/>
      <c r="BA562" s="228"/>
      <c r="BB562" s="228"/>
      <c r="BC562" s="228"/>
      <c r="BD562" s="228"/>
      <c r="BE562" s="228"/>
      <c r="BF562" s="228"/>
      <c r="BG562" s="228"/>
      <c r="BH562" s="228"/>
      <c r="BI562" s="228"/>
      <c r="BJ562" s="228"/>
      <c r="BK562" s="228"/>
      <c r="BL562" s="228"/>
      <c r="BM562" s="228"/>
      <c r="BN562" s="228"/>
      <c r="BO562" s="228"/>
      <c r="BP562" s="228"/>
      <c r="BQ562" s="228"/>
      <c r="BR562" s="228"/>
      <c r="BS562" s="228"/>
      <c r="BT562" s="228"/>
      <c r="BU562" s="228"/>
      <c r="BV562" s="228"/>
      <c r="BW562" s="228"/>
      <c r="BX562" s="228"/>
      <c r="BY562" s="228"/>
      <c r="BZ562" s="228"/>
      <c r="CA562" s="228"/>
      <c r="CB562" s="228"/>
      <c r="CC562" s="228"/>
      <c r="CD562" s="228"/>
      <c r="CE562" s="228"/>
      <c r="CF562" s="228"/>
      <c r="CG562" s="228"/>
      <c r="CH562" s="228"/>
      <c r="CI562" s="228"/>
      <c r="CJ562" s="228"/>
      <c r="CK562" s="228"/>
      <c r="CL562" s="228"/>
      <c r="CM562" s="228"/>
      <c r="CN562" s="228"/>
      <c r="CO562" s="228"/>
      <c r="CP562" s="228"/>
      <c r="CQ562" s="228"/>
      <c r="CR562" s="228"/>
      <c r="CS562" s="228"/>
      <c r="CT562" s="228"/>
      <c r="CU562" s="228"/>
      <c r="CV562" s="228"/>
      <c r="CW562" s="228"/>
      <c r="CX562" s="228"/>
      <c r="CY562" s="228"/>
      <c r="CZ562" s="228"/>
      <c r="DA562" s="228"/>
      <c r="DB562" s="228"/>
    </row>
    <row r="563" ht="12.0" customHeight="1">
      <c r="A563" s="228"/>
      <c r="B563" s="228"/>
      <c r="C563" s="228"/>
      <c r="D563" s="228"/>
      <c r="E563" s="228"/>
      <c r="F563" s="228"/>
      <c r="G563" s="228"/>
      <c r="H563" s="228"/>
      <c r="I563" s="228"/>
      <c r="J563" s="228"/>
      <c r="K563" s="228"/>
      <c r="L563" s="228"/>
      <c r="M563" s="228"/>
      <c r="N563" s="228"/>
      <c r="O563" s="228"/>
      <c r="P563" s="228"/>
      <c r="Q563" s="228"/>
      <c r="R563" s="228"/>
      <c r="S563" s="228"/>
      <c r="T563" s="228"/>
      <c r="U563" s="228"/>
      <c r="V563" s="228"/>
      <c r="W563" s="228"/>
      <c r="X563" s="228"/>
      <c r="Y563" s="228"/>
      <c r="Z563" s="228"/>
      <c r="AA563" s="228"/>
      <c r="AB563" s="228"/>
      <c r="AC563" s="228"/>
      <c r="AD563" s="228"/>
      <c r="AE563" s="228"/>
      <c r="AF563" s="228"/>
      <c r="AG563" s="228"/>
      <c r="AH563" s="228"/>
      <c r="AI563" s="228"/>
      <c r="AJ563" s="228"/>
      <c r="AK563" s="228"/>
      <c r="AL563" s="228"/>
      <c r="AM563" s="228"/>
      <c r="AN563" s="228"/>
      <c r="AO563" s="228"/>
      <c r="AP563" s="228"/>
      <c r="AQ563" s="228"/>
      <c r="AR563" s="228"/>
      <c r="AS563" s="228"/>
      <c r="AT563" s="228"/>
      <c r="AU563" s="228"/>
      <c r="AV563" s="228"/>
      <c r="AW563" s="228"/>
      <c r="AX563" s="228"/>
      <c r="AY563" s="228"/>
      <c r="AZ563" s="228"/>
      <c r="BA563" s="228"/>
      <c r="BB563" s="228"/>
      <c r="BC563" s="228"/>
      <c r="BD563" s="228"/>
      <c r="BE563" s="228"/>
      <c r="BF563" s="228"/>
      <c r="BG563" s="228"/>
      <c r="BH563" s="228"/>
      <c r="BI563" s="228"/>
      <c r="BJ563" s="228"/>
      <c r="BK563" s="228"/>
      <c r="BL563" s="228"/>
      <c r="BM563" s="228"/>
      <c r="BN563" s="228"/>
      <c r="BO563" s="228"/>
      <c r="BP563" s="228"/>
      <c r="BQ563" s="228"/>
      <c r="BR563" s="228"/>
      <c r="BS563" s="228"/>
      <c r="BT563" s="228"/>
      <c r="BU563" s="228"/>
      <c r="BV563" s="228"/>
      <c r="BW563" s="228"/>
      <c r="BX563" s="228"/>
      <c r="BY563" s="228"/>
      <c r="BZ563" s="228"/>
      <c r="CA563" s="228"/>
      <c r="CB563" s="228"/>
      <c r="CC563" s="228"/>
      <c r="CD563" s="228"/>
      <c r="CE563" s="228"/>
      <c r="CF563" s="228"/>
      <c r="CG563" s="228"/>
      <c r="CH563" s="228"/>
      <c r="CI563" s="228"/>
      <c r="CJ563" s="228"/>
      <c r="CK563" s="228"/>
      <c r="CL563" s="228"/>
      <c r="CM563" s="228"/>
      <c r="CN563" s="228"/>
      <c r="CO563" s="228"/>
      <c r="CP563" s="228"/>
      <c r="CQ563" s="228"/>
      <c r="CR563" s="228"/>
      <c r="CS563" s="228"/>
      <c r="CT563" s="228"/>
      <c r="CU563" s="228"/>
      <c r="CV563" s="228"/>
      <c r="CW563" s="228"/>
      <c r="CX563" s="228"/>
      <c r="CY563" s="228"/>
      <c r="CZ563" s="228"/>
      <c r="DA563" s="228"/>
      <c r="DB563" s="228"/>
    </row>
    <row r="564" ht="12.0" customHeight="1">
      <c r="A564" s="228"/>
      <c r="B564" s="228"/>
      <c r="C564" s="228"/>
      <c r="D564" s="228"/>
      <c r="E564" s="228"/>
      <c r="F564" s="228"/>
      <c r="G564" s="228"/>
      <c r="H564" s="228"/>
      <c r="I564" s="228"/>
      <c r="J564" s="228"/>
      <c r="K564" s="228"/>
      <c r="L564" s="228"/>
      <c r="M564" s="228"/>
      <c r="N564" s="228"/>
      <c r="O564" s="228"/>
      <c r="P564" s="228"/>
      <c r="Q564" s="228"/>
      <c r="R564" s="228"/>
      <c r="S564" s="228"/>
      <c r="T564" s="228"/>
      <c r="U564" s="228"/>
      <c r="V564" s="228"/>
      <c r="W564" s="228"/>
      <c r="X564" s="228"/>
      <c r="Y564" s="228"/>
      <c r="Z564" s="228"/>
      <c r="AA564" s="228"/>
      <c r="AB564" s="228"/>
      <c r="AC564" s="228"/>
      <c r="AD564" s="228"/>
      <c r="AE564" s="228"/>
      <c r="AF564" s="228"/>
      <c r="AG564" s="228"/>
      <c r="AH564" s="228"/>
      <c r="AI564" s="228"/>
      <c r="AJ564" s="228"/>
      <c r="AK564" s="228"/>
      <c r="AL564" s="228"/>
      <c r="AM564" s="228"/>
      <c r="AN564" s="228"/>
      <c r="AO564" s="228"/>
      <c r="AP564" s="228"/>
      <c r="AQ564" s="228"/>
      <c r="AR564" s="228"/>
      <c r="AS564" s="228"/>
      <c r="AT564" s="228"/>
      <c r="AU564" s="228"/>
      <c r="AV564" s="228"/>
      <c r="AW564" s="228"/>
      <c r="AX564" s="228"/>
      <c r="AY564" s="228"/>
      <c r="AZ564" s="228"/>
      <c r="BA564" s="228"/>
      <c r="BB564" s="228"/>
      <c r="BC564" s="228"/>
      <c r="BD564" s="228"/>
      <c r="BE564" s="228"/>
      <c r="BF564" s="228"/>
      <c r="BG564" s="228"/>
      <c r="BH564" s="228"/>
      <c r="BI564" s="228"/>
      <c r="BJ564" s="228"/>
      <c r="BK564" s="228"/>
      <c r="BL564" s="228"/>
      <c r="BM564" s="228"/>
      <c r="BN564" s="228"/>
      <c r="BO564" s="228"/>
      <c r="BP564" s="228"/>
      <c r="BQ564" s="228"/>
      <c r="BR564" s="228"/>
      <c r="BS564" s="228"/>
      <c r="BT564" s="228"/>
      <c r="BU564" s="228"/>
      <c r="BV564" s="228"/>
      <c r="BW564" s="228"/>
      <c r="BX564" s="228"/>
      <c r="BY564" s="228"/>
      <c r="BZ564" s="228"/>
      <c r="CA564" s="228"/>
      <c r="CB564" s="228"/>
      <c r="CC564" s="228"/>
      <c r="CD564" s="228"/>
      <c r="CE564" s="228"/>
      <c r="CF564" s="228"/>
      <c r="CG564" s="228"/>
      <c r="CH564" s="228"/>
      <c r="CI564" s="228"/>
      <c r="CJ564" s="228"/>
      <c r="CK564" s="228"/>
      <c r="CL564" s="228"/>
      <c r="CM564" s="228"/>
      <c r="CN564" s="228"/>
      <c r="CO564" s="228"/>
      <c r="CP564" s="228"/>
      <c r="CQ564" s="228"/>
      <c r="CR564" s="228"/>
      <c r="CS564" s="228"/>
      <c r="CT564" s="228"/>
      <c r="CU564" s="228"/>
      <c r="CV564" s="228"/>
      <c r="CW564" s="228"/>
      <c r="CX564" s="228"/>
      <c r="CY564" s="228"/>
      <c r="CZ564" s="228"/>
      <c r="DA564" s="228"/>
      <c r="DB564" s="228"/>
    </row>
    <row r="565" ht="12.0" customHeight="1">
      <c r="A565" s="228"/>
      <c r="B565" s="228"/>
      <c r="C565" s="228"/>
      <c r="D565" s="228"/>
      <c r="E565" s="228"/>
      <c r="F565" s="228"/>
      <c r="G565" s="228"/>
      <c r="H565" s="228"/>
      <c r="I565" s="228"/>
      <c r="J565" s="228"/>
      <c r="K565" s="228"/>
      <c r="L565" s="228"/>
      <c r="M565" s="228"/>
      <c r="N565" s="228"/>
      <c r="O565" s="228"/>
      <c r="P565" s="228"/>
      <c r="Q565" s="228"/>
      <c r="R565" s="228"/>
      <c r="S565" s="228"/>
      <c r="T565" s="228"/>
      <c r="U565" s="228"/>
      <c r="V565" s="228"/>
      <c r="W565" s="228"/>
      <c r="X565" s="228"/>
      <c r="Y565" s="228"/>
      <c r="Z565" s="228"/>
      <c r="AA565" s="228"/>
      <c r="AB565" s="228"/>
      <c r="AC565" s="228"/>
      <c r="AD565" s="228"/>
      <c r="AE565" s="228"/>
      <c r="AF565" s="228"/>
      <c r="AG565" s="228"/>
      <c r="AH565" s="228"/>
      <c r="AI565" s="228"/>
      <c r="AJ565" s="228"/>
      <c r="AK565" s="228"/>
      <c r="AL565" s="228"/>
      <c r="AM565" s="228"/>
      <c r="AN565" s="228"/>
      <c r="AO565" s="228"/>
      <c r="AP565" s="228"/>
      <c r="AQ565" s="228"/>
      <c r="AR565" s="228"/>
      <c r="AS565" s="228"/>
      <c r="AT565" s="228"/>
      <c r="AU565" s="228"/>
      <c r="AV565" s="228"/>
      <c r="AW565" s="228"/>
      <c r="AX565" s="228"/>
      <c r="AY565" s="228"/>
      <c r="AZ565" s="228"/>
      <c r="BA565" s="228"/>
      <c r="BB565" s="228"/>
      <c r="BC565" s="228"/>
      <c r="BD565" s="228"/>
      <c r="BE565" s="228"/>
      <c r="BF565" s="228"/>
      <c r="BG565" s="228"/>
      <c r="BH565" s="228"/>
      <c r="BI565" s="228"/>
      <c r="BJ565" s="228"/>
      <c r="BK565" s="228"/>
      <c r="BL565" s="228"/>
      <c r="BM565" s="228"/>
      <c r="BN565" s="228"/>
      <c r="BO565" s="228"/>
      <c r="BP565" s="228"/>
      <c r="BQ565" s="228"/>
      <c r="BR565" s="228"/>
      <c r="BS565" s="228"/>
      <c r="BT565" s="228"/>
      <c r="BU565" s="228"/>
      <c r="BV565" s="228"/>
      <c r="BW565" s="228"/>
      <c r="BX565" s="228"/>
      <c r="BY565" s="228"/>
      <c r="BZ565" s="228"/>
      <c r="CA565" s="228"/>
      <c r="CB565" s="228"/>
      <c r="CC565" s="228"/>
      <c r="CD565" s="228"/>
      <c r="CE565" s="228"/>
      <c r="CF565" s="228"/>
      <c r="CG565" s="228"/>
      <c r="CH565" s="228"/>
      <c r="CI565" s="228"/>
      <c r="CJ565" s="228"/>
      <c r="CK565" s="228"/>
      <c r="CL565" s="228"/>
      <c r="CM565" s="228"/>
      <c r="CN565" s="228"/>
      <c r="CO565" s="228"/>
      <c r="CP565" s="228"/>
      <c r="CQ565" s="228"/>
      <c r="CR565" s="228"/>
      <c r="CS565" s="228"/>
      <c r="CT565" s="228"/>
      <c r="CU565" s="228"/>
      <c r="CV565" s="228"/>
      <c r="CW565" s="228"/>
      <c r="CX565" s="228"/>
      <c r="CY565" s="228"/>
      <c r="CZ565" s="228"/>
      <c r="DA565" s="228"/>
      <c r="DB565" s="228"/>
    </row>
    <row r="566" ht="12.0" customHeight="1">
      <c r="A566" s="228"/>
      <c r="B566" s="228"/>
      <c r="C566" s="228"/>
      <c r="D566" s="228"/>
      <c r="E566" s="228"/>
      <c r="F566" s="228"/>
      <c r="G566" s="228"/>
      <c r="H566" s="228"/>
      <c r="I566" s="228"/>
      <c r="J566" s="228"/>
      <c r="K566" s="228"/>
      <c r="L566" s="228"/>
      <c r="M566" s="228"/>
      <c r="N566" s="228"/>
      <c r="O566" s="228"/>
      <c r="P566" s="228"/>
      <c r="Q566" s="228"/>
      <c r="R566" s="228"/>
      <c r="S566" s="228"/>
      <c r="T566" s="228"/>
      <c r="U566" s="228"/>
      <c r="V566" s="228"/>
      <c r="W566" s="228"/>
      <c r="X566" s="228"/>
      <c r="Y566" s="228"/>
      <c r="Z566" s="228"/>
      <c r="AA566" s="228"/>
      <c r="AB566" s="228"/>
      <c r="AC566" s="228"/>
      <c r="AD566" s="228"/>
      <c r="AE566" s="228"/>
      <c r="AF566" s="228"/>
      <c r="AG566" s="228"/>
      <c r="AH566" s="228"/>
      <c r="AI566" s="228"/>
      <c r="AJ566" s="228"/>
      <c r="AK566" s="228"/>
      <c r="AL566" s="228"/>
      <c r="AM566" s="228"/>
      <c r="AN566" s="228"/>
      <c r="AO566" s="228"/>
      <c r="AP566" s="228"/>
      <c r="AQ566" s="228"/>
      <c r="AR566" s="228"/>
      <c r="AS566" s="228"/>
      <c r="AT566" s="228"/>
      <c r="AU566" s="228"/>
      <c r="AV566" s="228"/>
      <c r="AW566" s="228"/>
      <c r="AX566" s="228"/>
      <c r="AY566" s="228"/>
      <c r="AZ566" s="228"/>
      <c r="BA566" s="228"/>
      <c r="BB566" s="228"/>
      <c r="BC566" s="228"/>
      <c r="BD566" s="228"/>
      <c r="BE566" s="228"/>
      <c r="BF566" s="228"/>
      <c r="BG566" s="228"/>
      <c r="BH566" s="228"/>
      <c r="BI566" s="228"/>
      <c r="BJ566" s="228"/>
      <c r="BK566" s="228"/>
      <c r="BL566" s="228"/>
      <c r="BM566" s="228"/>
      <c r="BN566" s="228"/>
      <c r="BO566" s="228"/>
      <c r="BP566" s="228"/>
      <c r="BQ566" s="228"/>
      <c r="BR566" s="228"/>
      <c r="BS566" s="228"/>
      <c r="BT566" s="228"/>
      <c r="BU566" s="228"/>
      <c r="BV566" s="228"/>
      <c r="BW566" s="228"/>
      <c r="BX566" s="228"/>
      <c r="BY566" s="228"/>
      <c r="BZ566" s="228"/>
      <c r="CA566" s="228"/>
      <c r="CB566" s="228"/>
      <c r="CC566" s="228"/>
      <c r="CD566" s="228"/>
      <c r="CE566" s="228"/>
      <c r="CF566" s="228"/>
      <c r="CG566" s="228"/>
      <c r="CH566" s="228"/>
      <c r="CI566" s="228"/>
      <c r="CJ566" s="228"/>
      <c r="CK566" s="228"/>
      <c r="CL566" s="228"/>
      <c r="CM566" s="228"/>
      <c r="CN566" s="228"/>
      <c r="CO566" s="228"/>
      <c r="CP566" s="228"/>
      <c r="CQ566" s="228"/>
      <c r="CR566" s="228"/>
      <c r="CS566" s="228"/>
      <c r="CT566" s="228"/>
      <c r="CU566" s="228"/>
      <c r="CV566" s="228"/>
      <c r="CW566" s="228"/>
      <c r="CX566" s="228"/>
      <c r="CY566" s="228"/>
      <c r="CZ566" s="228"/>
      <c r="DA566" s="228"/>
      <c r="DB566" s="228"/>
    </row>
    <row r="567" ht="12.0" customHeight="1">
      <c r="A567" s="228"/>
      <c r="B567" s="228"/>
      <c r="C567" s="228"/>
      <c r="D567" s="228"/>
      <c r="E567" s="228"/>
      <c r="F567" s="228"/>
      <c r="G567" s="228"/>
      <c r="H567" s="228"/>
      <c r="I567" s="228"/>
      <c r="J567" s="228"/>
      <c r="K567" s="228"/>
      <c r="L567" s="228"/>
      <c r="M567" s="228"/>
      <c r="N567" s="228"/>
      <c r="O567" s="228"/>
      <c r="P567" s="228"/>
      <c r="Q567" s="228"/>
      <c r="R567" s="228"/>
      <c r="S567" s="228"/>
      <c r="T567" s="228"/>
      <c r="U567" s="228"/>
      <c r="V567" s="228"/>
      <c r="W567" s="228"/>
      <c r="X567" s="228"/>
      <c r="Y567" s="228"/>
      <c r="Z567" s="228"/>
      <c r="AA567" s="228"/>
      <c r="AB567" s="228"/>
      <c r="AC567" s="228"/>
      <c r="AD567" s="228"/>
      <c r="AE567" s="228"/>
      <c r="AF567" s="228"/>
      <c r="AG567" s="228"/>
      <c r="AH567" s="228"/>
      <c r="AI567" s="228"/>
      <c r="AJ567" s="228"/>
      <c r="AK567" s="228"/>
      <c r="AL567" s="228"/>
      <c r="AM567" s="228"/>
      <c r="AN567" s="228"/>
      <c r="AO567" s="228"/>
      <c r="AP567" s="228"/>
      <c r="AQ567" s="228"/>
      <c r="AR567" s="228"/>
      <c r="AS567" s="228"/>
      <c r="AT567" s="228"/>
      <c r="AU567" s="228"/>
      <c r="AV567" s="228"/>
      <c r="AW567" s="228"/>
      <c r="AX567" s="228"/>
      <c r="AY567" s="228"/>
      <c r="AZ567" s="228"/>
      <c r="BA567" s="228"/>
      <c r="BB567" s="228"/>
      <c r="BC567" s="228"/>
      <c r="BD567" s="228"/>
      <c r="BE567" s="228"/>
      <c r="BF567" s="228"/>
      <c r="BG567" s="228"/>
      <c r="BH567" s="228"/>
      <c r="BI567" s="228"/>
      <c r="BJ567" s="228"/>
      <c r="BK567" s="228"/>
      <c r="BL567" s="228"/>
      <c r="BM567" s="228"/>
      <c r="BN567" s="228"/>
      <c r="BO567" s="228"/>
      <c r="BP567" s="228"/>
      <c r="BQ567" s="228"/>
      <c r="BR567" s="228"/>
      <c r="BS567" s="228"/>
      <c r="BT567" s="228"/>
      <c r="BU567" s="228"/>
      <c r="BV567" s="228"/>
      <c r="BW567" s="228"/>
      <c r="BX567" s="228"/>
      <c r="BY567" s="228"/>
      <c r="BZ567" s="228"/>
      <c r="CA567" s="228"/>
      <c r="CB567" s="228"/>
      <c r="CC567" s="228"/>
      <c r="CD567" s="228"/>
      <c r="CE567" s="228"/>
      <c r="CF567" s="228"/>
      <c r="CG567" s="228"/>
      <c r="CH567" s="228"/>
      <c r="CI567" s="228"/>
      <c r="CJ567" s="228"/>
      <c r="CK567" s="228"/>
      <c r="CL567" s="228"/>
      <c r="CM567" s="228"/>
      <c r="CN567" s="228"/>
      <c r="CO567" s="228"/>
      <c r="CP567" s="228"/>
      <c r="CQ567" s="228"/>
      <c r="CR567" s="228"/>
      <c r="CS567" s="228"/>
      <c r="CT567" s="228"/>
      <c r="CU567" s="228"/>
      <c r="CV567" s="228"/>
      <c r="CW567" s="228"/>
      <c r="CX567" s="228"/>
      <c r="CY567" s="228"/>
      <c r="CZ567" s="228"/>
      <c r="DA567" s="228"/>
      <c r="DB567" s="228"/>
    </row>
    <row r="568" ht="12.0" customHeight="1">
      <c r="A568" s="228"/>
      <c r="B568" s="228"/>
      <c r="C568" s="228"/>
      <c r="D568" s="228"/>
      <c r="E568" s="228"/>
      <c r="F568" s="228"/>
      <c r="G568" s="228"/>
      <c r="H568" s="228"/>
      <c r="I568" s="228"/>
      <c r="J568" s="228"/>
      <c r="K568" s="228"/>
      <c r="L568" s="228"/>
      <c r="M568" s="228"/>
      <c r="N568" s="228"/>
      <c r="O568" s="228"/>
      <c r="P568" s="228"/>
      <c r="Q568" s="228"/>
      <c r="R568" s="228"/>
      <c r="S568" s="228"/>
      <c r="T568" s="228"/>
      <c r="U568" s="228"/>
      <c r="V568" s="228"/>
      <c r="W568" s="228"/>
      <c r="X568" s="228"/>
      <c r="Y568" s="228"/>
      <c r="Z568" s="228"/>
      <c r="AA568" s="228"/>
      <c r="AB568" s="228"/>
      <c r="AC568" s="228"/>
      <c r="AD568" s="228"/>
      <c r="AE568" s="228"/>
      <c r="AF568" s="228"/>
      <c r="AG568" s="228"/>
      <c r="AH568" s="228"/>
      <c r="AI568" s="228"/>
      <c r="AJ568" s="228"/>
      <c r="AK568" s="228"/>
      <c r="AL568" s="228"/>
      <c r="AM568" s="228"/>
      <c r="AN568" s="228"/>
      <c r="AO568" s="228"/>
      <c r="AP568" s="228"/>
      <c r="AQ568" s="228"/>
      <c r="AR568" s="228"/>
      <c r="AS568" s="228"/>
      <c r="AT568" s="228"/>
      <c r="AU568" s="228"/>
      <c r="AV568" s="228"/>
      <c r="AW568" s="228"/>
      <c r="AX568" s="228"/>
      <c r="AY568" s="228"/>
      <c r="AZ568" s="228"/>
      <c r="BA568" s="228"/>
      <c r="BB568" s="228"/>
      <c r="BC568" s="228"/>
      <c r="BD568" s="228"/>
      <c r="BE568" s="228"/>
      <c r="BF568" s="228"/>
      <c r="BG568" s="228"/>
      <c r="BH568" s="228"/>
      <c r="BI568" s="228"/>
      <c r="BJ568" s="228"/>
      <c r="BK568" s="228"/>
      <c r="BL568" s="228"/>
      <c r="BM568" s="228"/>
      <c r="BN568" s="228"/>
      <c r="BO568" s="228"/>
      <c r="BP568" s="228"/>
      <c r="BQ568" s="228"/>
      <c r="BR568" s="228"/>
      <c r="BS568" s="228"/>
      <c r="BT568" s="228"/>
      <c r="BU568" s="228"/>
      <c r="BV568" s="228"/>
      <c r="BW568" s="228"/>
      <c r="BX568" s="228"/>
      <c r="BY568" s="228"/>
      <c r="BZ568" s="228"/>
      <c r="CA568" s="228"/>
      <c r="CB568" s="228"/>
      <c r="CC568" s="228"/>
      <c r="CD568" s="228"/>
      <c r="CE568" s="228"/>
      <c r="CF568" s="228"/>
      <c r="CG568" s="228"/>
      <c r="CH568" s="228"/>
      <c r="CI568" s="228"/>
      <c r="CJ568" s="228"/>
      <c r="CK568" s="228"/>
      <c r="CL568" s="228"/>
      <c r="CM568" s="228"/>
      <c r="CN568" s="228"/>
      <c r="CO568" s="228"/>
      <c r="CP568" s="228"/>
      <c r="CQ568" s="228"/>
      <c r="CR568" s="228"/>
      <c r="CS568" s="228"/>
      <c r="CT568" s="228"/>
      <c r="CU568" s="228"/>
      <c r="CV568" s="228"/>
      <c r="CW568" s="228"/>
      <c r="CX568" s="228"/>
      <c r="CY568" s="228"/>
      <c r="CZ568" s="228"/>
      <c r="DA568" s="228"/>
      <c r="DB568" s="228"/>
    </row>
    <row r="569" ht="12.0" customHeight="1">
      <c r="A569" s="228"/>
      <c r="B569" s="228"/>
      <c r="C569" s="228"/>
      <c r="D569" s="228"/>
      <c r="E569" s="228"/>
      <c r="F569" s="228"/>
      <c r="G569" s="228"/>
      <c r="H569" s="228"/>
      <c r="I569" s="228"/>
      <c r="J569" s="228"/>
      <c r="K569" s="228"/>
      <c r="L569" s="228"/>
      <c r="M569" s="228"/>
      <c r="N569" s="228"/>
      <c r="O569" s="228"/>
      <c r="P569" s="228"/>
      <c r="Q569" s="228"/>
      <c r="R569" s="228"/>
      <c r="S569" s="228"/>
      <c r="T569" s="228"/>
      <c r="U569" s="228"/>
      <c r="V569" s="228"/>
      <c r="W569" s="228"/>
      <c r="X569" s="228"/>
      <c r="Y569" s="228"/>
      <c r="Z569" s="228"/>
      <c r="AA569" s="228"/>
      <c r="AB569" s="228"/>
      <c r="AC569" s="228"/>
      <c r="AD569" s="228"/>
      <c r="AE569" s="228"/>
      <c r="AF569" s="228"/>
      <c r="AG569" s="228"/>
      <c r="AH569" s="228"/>
      <c r="AI569" s="228"/>
      <c r="AJ569" s="228"/>
      <c r="AK569" s="228"/>
      <c r="AL569" s="228"/>
      <c r="AM569" s="228"/>
      <c r="AN569" s="228"/>
      <c r="AO569" s="228"/>
      <c r="AP569" s="228"/>
      <c r="AQ569" s="228"/>
      <c r="AR569" s="228"/>
      <c r="AS569" s="228"/>
      <c r="AT569" s="228"/>
      <c r="AU569" s="228"/>
      <c r="AV569" s="228"/>
      <c r="AW569" s="228"/>
      <c r="AX569" s="228"/>
      <c r="AY569" s="228"/>
      <c r="AZ569" s="228"/>
      <c r="BA569" s="228"/>
      <c r="BB569" s="228"/>
      <c r="BC569" s="228"/>
      <c r="BD569" s="228"/>
      <c r="BE569" s="228"/>
      <c r="BF569" s="228"/>
      <c r="BG569" s="228"/>
      <c r="BH569" s="228"/>
      <c r="BI569" s="228"/>
      <c r="BJ569" s="228"/>
      <c r="BK569" s="228"/>
      <c r="BL569" s="228"/>
      <c r="BM569" s="228"/>
      <c r="BN569" s="228"/>
      <c r="BO569" s="228"/>
      <c r="BP569" s="228"/>
      <c r="BQ569" s="228"/>
      <c r="BR569" s="228"/>
      <c r="BS569" s="228"/>
      <c r="BT569" s="228"/>
      <c r="BU569" s="228"/>
      <c r="BV569" s="228"/>
      <c r="BW569" s="228"/>
      <c r="BX569" s="228"/>
      <c r="BY569" s="228"/>
      <c r="BZ569" s="228"/>
      <c r="CA569" s="228"/>
      <c r="CB569" s="228"/>
      <c r="CC569" s="228"/>
      <c r="CD569" s="228"/>
      <c r="CE569" s="228"/>
      <c r="CF569" s="228"/>
      <c r="CG569" s="228"/>
      <c r="CH569" s="228"/>
      <c r="CI569" s="228"/>
      <c r="CJ569" s="228"/>
      <c r="CK569" s="228"/>
      <c r="CL569" s="228"/>
      <c r="CM569" s="228"/>
      <c r="CN569" s="228"/>
      <c r="CO569" s="228"/>
      <c r="CP569" s="228"/>
      <c r="CQ569" s="228"/>
      <c r="CR569" s="228"/>
      <c r="CS569" s="228"/>
      <c r="CT569" s="228"/>
      <c r="CU569" s="228"/>
      <c r="CV569" s="228"/>
      <c r="CW569" s="228"/>
      <c r="CX569" s="228"/>
      <c r="CY569" s="228"/>
      <c r="CZ569" s="228"/>
      <c r="DA569" s="228"/>
      <c r="DB569" s="228"/>
    </row>
    <row r="570" ht="12.0" customHeight="1">
      <c r="A570" s="228"/>
      <c r="B570" s="228"/>
      <c r="C570" s="228"/>
      <c r="D570" s="228"/>
      <c r="E570" s="228"/>
      <c r="F570" s="228"/>
      <c r="G570" s="228"/>
      <c r="H570" s="228"/>
      <c r="I570" s="228"/>
      <c r="J570" s="228"/>
      <c r="K570" s="228"/>
      <c r="L570" s="228"/>
      <c r="M570" s="228"/>
      <c r="N570" s="228"/>
      <c r="O570" s="228"/>
      <c r="P570" s="228"/>
      <c r="Q570" s="228"/>
      <c r="R570" s="228"/>
      <c r="S570" s="228"/>
      <c r="T570" s="228"/>
      <c r="U570" s="228"/>
      <c r="V570" s="228"/>
      <c r="W570" s="228"/>
      <c r="X570" s="228"/>
      <c r="Y570" s="228"/>
      <c r="Z570" s="228"/>
      <c r="AA570" s="228"/>
      <c r="AB570" s="228"/>
      <c r="AC570" s="228"/>
      <c r="AD570" s="228"/>
      <c r="AE570" s="228"/>
      <c r="AF570" s="228"/>
      <c r="AG570" s="228"/>
      <c r="AH570" s="228"/>
      <c r="AI570" s="228"/>
      <c r="AJ570" s="228"/>
      <c r="AK570" s="228"/>
      <c r="AL570" s="228"/>
      <c r="AM570" s="228"/>
      <c r="AN570" s="228"/>
      <c r="AO570" s="228"/>
      <c r="AP570" s="228"/>
      <c r="AQ570" s="228"/>
      <c r="AR570" s="228"/>
      <c r="AS570" s="228"/>
      <c r="AT570" s="228"/>
      <c r="AU570" s="228"/>
      <c r="AV570" s="228"/>
      <c r="AW570" s="228"/>
      <c r="AX570" s="228"/>
      <c r="AY570" s="228"/>
      <c r="AZ570" s="228"/>
      <c r="BA570" s="228"/>
      <c r="BB570" s="228"/>
      <c r="BC570" s="228"/>
      <c r="BD570" s="228"/>
      <c r="BE570" s="228"/>
      <c r="BF570" s="228"/>
      <c r="BG570" s="228"/>
      <c r="BH570" s="228"/>
      <c r="BI570" s="228"/>
      <c r="BJ570" s="228"/>
      <c r="BK570" s="228"/>
      <c r="BL570" s="228"/>
      <c r="BM570" s="228"/>
      <c r="BN570" s="228"/>
      <c r="BO570" s="228"/>
      <c r="BP570" s="228"/>
      <c r="BQ570" s="228"/>
      <c r="BR570" s="228"/>
      <c r="BS570" s="228"/>
      <c r="BT570" s="228"/>
      <c r="BU570" s="228"/>
      <c r="BV570" s="228"/>
      <c r="BW570" s="228"/>
      <c r="BX570" s="228"/>
      <c r="BY570" s="228"/>
      <c r="BZ570" s="228"/>
      <c r="CA570" s="228"/>
      <c r="CB570" s="228"/>
      <c r="CC570" s="228"/>
      <c r="CD570" s="228"/>
      <c r="CE570" s="228"/>
      <c r="CF570" s="228"/>
      <c r="CG570" s="228"/>
      <c r="CH570" s="228"/>
      <c r="CI570" s="228"/>
      <c r="CJ570" s="228"/>
      <c r="CK570" s="228"/>
      <c r="CL570" s="228"/>
      <c r="CM570" s="228"/>
      <c r="CN570" s="228"/>
      <c r="CO570" s="228"/>
      <c r="CP570" s="228"/>
      <c r="CQ570" s="228"/>
      <c r="CR570" s="228"/>
      <c r="CS570" s="228"/>
      <c r="CT570" s="228"/>
      <c r="CU570" s="228"/>
      <c r="CV570" s="228"/>
      <c r="CW570" s="228"/>
      <c r="CX570" s="228"/>
      <c r="CY570" s="228"/>
      <c r="CZ570" s="228"/>
      <c r="DA570" s="228"/>
      <c r="DB570" s="228"/>
    </row>
    <row r="571" ht="12.0" customHeight="1">
      <c r="A571" s="228"/>
      <c r="B571" s="228"/>
      <c r="C571" s="228"/>
      <c r="D571" s="228"/>
      <c r="E571" s="228"/>
      <c r="F571" s="228"/>
      <c r="G571" s="228"/>
      <c r="H571" s="228"/>
      <c r="I571" s="228"/>
      <c r="J571" s="228"/>
      <c r="K571" s="228"/>
      <c r="L571" s="228"/>
      <c r="M571" s="228"/>
      <c r="N571" s="228"/>
      <c r="O571" s="228"/>
      <c r="P571" s="228"/>
      <c r="Q571" s="228"/>
      <c r="R571" s="228"/>
      <c r="S571" s="228"/>
      <c r="T571" s="228"/>
      <c r="U571" s="228"/>
      <c r="V571" s="228"/>
      <c r="W571" s="228"/>
      <c r="X571" s="228"/>
      <c r="Y571" s="228"/>
      <c r="Z571" s="228"/>
      <c r="AA571" s="228"/>
      <c r="AB571" s="228"/>
      <c r="AC571" s="228"/>
      <c r="AD571" s="228"/>
      <c r="AE571" s="228"/>
      <c r="AF571" s="228"/>
      <c r="AG571" s="228"/>
      <c r="AH571" s="228"/>
      <c r="AI571" s="228"/>
      <c r="AJ571" s="228"/>
      <c r="AK571" s="228"/>
      <c r="AL571" s="228"/>
      <c r="AM571" s="228"/>
      <c r="AN571" s="228"/>
      <c r="AO571" s="228"/>
      <c r="AP571" s="228"/>
      <c r="AQ571" s="228"/>
      <c r="AR571" s="228"/>
      <c r="AS571" s="228"/>
      <c r="AT571" s="228"/>
      <c r="AU571" s="228"/>
      <c r="AV571" s="228"/>
      <c r="AW571" s="228"/>
      <c r="AX571" s="228"/>
      <c r="AY571" s="228"/>
      <c r="AZ571" s="228"/>
      <c r="BA571" s="228"/>
      <c r="BB571" s="228"/>
      <c r="BC571" s="228"/>
      <c r="BD571" s="228"/>
      <c r="BE571" s="228"/>
      <c r="BF571" s="228"/>
      <c r="BG571" s="228"/>
      <c r="BH571" s="228"/>
      <c r="BI571" s="228"/>
      <c r="BJ571" s="228"/>
      <c r="BK571" s="228"/>
      <c r="BL571" s="228"/>
      <c r="BM571" s="228"/>
      <c r="BN571" s="228"/>
      <c r="BO571" s="228"/>
      <c r="BP571" s="228"/>
      <c r="BQ571" s="228"/>
      <c r="BR571" s="228"/>
      <c r="BS571" s="228"/>
      <c r="BT571" s="228"/>
      <c r="BU571" s="228"/>
      <c r="BV571" s="228"/>
      <c r="BW571" s="228"/>
      <c r="BX571" s="228"/>
      <c r="BY571" s="228"/>
      <c r="BZ571" s="228"/>
      <c r="CA571" s="228"/>
      <c r="CB571" s="228"/>
      <c r="CC571" s="228"/>
      <c r="CD571" s="228"/>
      <c r="CE571" s="228"/>
      <c r="CF571" s="228"/>
      <c r="CG571" s="228"/>
      <c r="CH571" s="228"/>
      <c r="CI571" s="228"/>
      <c r="CJ571" s="228"/>
      <c r="CK571" s="228"/>
      <c r="CL571" s="228"/>
      <c r="CM571" s="228"/>
      <c r="CN571" s="228"/>
      <c r="CO571" s="228"/>
      <c r="CP571" s="228"/>
      <c r="CQ571" s="228"/>
      <c r="CR571" s="228"/>
      <c r="CS571" s="228"/>
      <c r="CT571" s="228"/>
      <c r="CU571" s="228"/>
      <c r="CV571" s="228"/>
      <c r="CW571" s="228"/>
      <c r="CX571" s="228"/>
      <c r="CY571" s="228"/>
      <c r="CZ571" s="228"/>
      <c r="DA571" s="228"/>
      <c r="DB571" s="228"/>
    </row>
    <row r="572" ht="12.0" customHeight="1">
      <c r="A572" s="228"/>
      <c r="B572" s="228"/>
      <c r="C572" s="228"/>
      <c r="D572" s="228"/>
      <c r="E572" s="228"/>
      <c r="F572" s="228"/>
      <c r="G572" s="228"/>
      <c r="H572" s="228"/>
      <c r="I572" s="228"/>
      <c r="J572" s="228"/>
      <c r="K572" s="228"/>
      <c r="L572" s="228"/>
      <c r="M572" s="228"/>
      <c r="N572" s="228"/>
      <c r="O572" s="228"/>
      <c r="P572" s="228"/>
      <c r="Q572" s="228"/>
      <c r="R572" s="228"/>
      <c r="S572" s="228"/>
      <c r="T572" s="228"/>
      <c r="U572" s="228"/>
      <c r="V572" s="228"/>
      <c r="W572" s="228"/>
      <c r="X572" s="228"/>
      <c r="Y572" s="228"/>
      <c r="Z572" s="228"/>
      <c r="AA572" s="228"/>
      <c r="AB572" s="228"/>
      <c r="AC572" s="228"/>
      <c r="AD572" s="228"/>
      <c r="AE572" s="228"/>
      <c r="AF572" s="228"/>
      <c r="AG572" s="228"/>
      <c r="AH572" s="228"/>
      <c r="AI572" s="228"/>
      <c r="AJ572" s="228"/>
      <c r="AK572" s="228"/>
      <c r="AL572" s="228"/>
      <c r="AM572" s="228"/>
      <c r="AN572" s="228"/>
      <c r="AO572" s="228"/>
      <c r="AP572" s="228"/>
      <c r="AQ572" s="228"/>
      <c r="AR572" s="228"/>
      <c r="AS572" s="228"/>
      <c r="AT572" s="228"/>
      <c r="AU572" s="228"/>
      <c r="AV572" s="228"/>
      <c r="AW572" s="228"/>
      <c r="AX572" s="228"/>
      <c r="AY572" s="228"/>
      <c r="AZ572" s="228"/>
      <c r="BA572" s="228"/>
      <c r="BB572" s="228"/>
      <c r="BC572" s="228"/>
      <c r="BD572" s="228"/>
      <c r="BE572" s="228"/>
      <c r="BF572" s="228"/>
      <c r="BG572" s="228"/>
      <c r="BH572" s="228"/>
      <c r="BI572" s="228"/>
      <c r="BJ572" s="228"/>
      <c r="BK572" s="228"/>
      <c r="BL572" s="228"/>
      <c r="BM572" s="228"/>
      <c r="BN572" s="228"/>
      <c r="BO572" s="228"/>
      <c r="BP572" s="228"/>
      <c r="BQ572" s="228"/>
      <c r="BR572" s="228"/>
      <c r="BS572" s="228"/>
      <c r="BT572" s="228"/>
      <c r="BU572" s="228"/>
      <c r="BV572" s="228"/>
      <c r="BW572" s="228"/>
      <c r="BX572" s="228"/>
      <c r="BY572" s="228"/>
      <c r="BZ572" s="228"/>
      <c r="CA572" s="228"/>
      <c r="CB572" s="228"/>
      <c r="CC572" s="228"/>
      <c r="CD572" s="228"/>
      <c r="CE572" s="228"/>
      <c r="CF572" s="228"/>
      <c r="CG572" s="228"/>
      <c r="CH572" s="228"/>
      <c r="CI572" s="228"/>
      <c r="CJ572" s="228"/>
      <c r="CK572" s="228"/>
      <c r="CL572" s="228"/>
      <c r="CM572" s="228"/>
      <c r="CN572" s="228"/>
      <c r="CO572" s="228"/>
      <c r="CP572" s="228"/>
      <c r="CQ572" s="228"/>
      <c r="CR572" s="228"/>
      <c r="CS572" s="228"/>
      <c r="CT572" s="228"/>
      <c r="CU572" s="228"/>
      <c r="CV572" s="228"/>
      <c r="CW572" s="228"/>
      <c r="CX572" s="228"/>
      <c r="CY572" s="228"/>
      <c r="CZ572" s="228"/>
      <c r="DA572" s="228"/>
      <c r="DB572" s="228"/>
    </row>
    <row r="573" ht="12.0" customHeight="1">
      <c r="A573" s="228"/>
      <c r="B573" s="228"/>
      <c r="C573" s="228"/>
      <c r="D573" s="228"/>
      <c r="E573" s="228"/>
      <c r="F573" s="228"/>
      <c r="G573" s="228"/>
      <c r="H573" s="228"/>
      <c r="I573" s="228"/>
      <c r="J573" s="228"/>
      <c r="K573" s="228"/>
      <c r="L573" s="228"/>
      <c r="M573" s="228"/>
      <c r="N573" s="228"/>
      <c r="O573" s="228"/>
      <c r="P573" s="228"/>
      <c r="Q573" s="228"/>
      <c r="R573" s="228"/>
      <c r="S573" s="228"/>
      <c r="T573" s="228"/>
      <c r="U573" s="228"/>
      <c r="V573" s="228"/>
      <c r="W573" s="228"/>
      <c r="X573" s="228"/>
      <c r="Y573" s="228"/>
      <c r="Z573" s="228"/>
      <c r="AA573" s="228"/>
      <c r="AB573" s="228"/>
      <c r="AC573" s="228"/>
      <c r="AD573" s="228"/>
      <c r="AE573" s="228"/>
      <c r="AF573" s="228"/>
      <c r="AG573" s="228"/>
      <c r="AH573" s="228"/>
      <c r="AI573" s="228"/>
      <c r="AJ573" s="228"/>
      <c r="AK573" s="228"/>
      <c r="AL573" s="228"/>
      <c r="AM573" s="228"/>
      <c r="AN573" s="228"/>
      <c r="AO573" s="228"/>
      <c r="AP573" s="228"/>
      <c r="AQ573" s="228"/>
      <c r="AR573" s="228"/>
      <c r="AS573" s="228"/>
      <c r="AT573" s="228"/>
      <c r="AU573" s="228"/>
      <c r="AV573" s="228"/>
      <c r="AW573" s="228"/>
      <c r="AX573" s="228"/>
      <c r="AY573" s="228"/>
      <c r="AZ573" s="228"/>
      <c r="BA573" s="228"/>
      <c r="BB573" s="228"/>
      <c r="BC573" s="228"/>
      <c r="BD573" s="228"/>
      <c r="BE573" s="228"/>
      <c r="BF573" s="228"/>
      <c r="BG573" s="228"/>
      <c r="BH573" s="228"/>
      <c r="BI573" s="228"/>
      <c r="BJ573" s="228"/>
      <c r="BK573" s="228"/>
      <c r="BL573" s="228"/>
      <c r="BM573" s="228"/>
      <c r="BN573" s="228"/>
      <c r="BO573" s="228"/>
      <c r="BP573" s="228"/>
      <c r="BQ573" s="228"/>
      <c r="BR573" s="228"/>
      <c r="BS573" s="228"/>
      <c r="BT573" s="228"/>
      <c r="BU573" s="228"/>
      <c r="BV573" s="228"/>
      <c r="BW573" s="228"/>
      <c r="BX573" s="228"/>
      <c r="BY573" s="228"/>
      <c r="BZ573" s="228"/>
      <c r="CA573" s="228"/>
      <c r="CB573" s="228"/>
      <c r="CC573" s="228"/>
      <c r="CD573" s="228"/>
      <c r="CE573" s="228"/>
      <c r="CF573" s="228"/>
      <c r="CG573" s="228"/>
      <c r="CH573" s="228"/>
      <c r="CI573" s="228"/>
      <c r="CJ573" s="228"/>
      <c r="CK573" s="228"/>
      <c r="CL573" s="228"/>
      <c r="CM573" s="228"/>
      <c r="CN573" s="228"/>
      <c r="CO573" s="228"/>
      <c r="CP573" s="228"/>
      <c r="CQ573" s="228"/>
      <c r="CR573" s="228"/>
      <c r="CS573" s="228"/>
      <c r="CT573" s="228"/>
      <c r="CU573" s="228"/>
      <c r="CV573" s="228"/>
      <c r="CW573" s="228"/>
      <c r="CX573" s="228"/>
      <c r="CY573" s="228"/>
      <c r="CZ573" s="228"/>
      <c r="DA573" s="228"/>
      <c r="DB573" s="228"/>
    </row>
    <row r="574" ht="12.0" customHeight="1">
      <c r="A574" s="228"/>
      <c r="B574" s="228"/>
      <c r="C574" s="228"/>
      <c r="D574" s="228"/>
      <c r="E574" s="228"/>
      <c r="F574" s="228"/>
      <c r="G574" s="228"/>
      <c r="H574" s="228"/>
      <c r="I574" s="228"/>
      <c r="J574" s="228"/>
      <c r="K574" s="228"/>
      <c r="L574" s="228"/>
      <c r="M574" s="228"/>
      <c r="N574" s="228"/>
      <c r="O574" s="228"/>
      <c r="P574" s="228"/>
      <c r="Q574" s="228"/>
      <c r="R574" s="228"/>
      <c r="S574" s="228"/>
      <c r="T574" s="228"/>
      <c r="U574" s="228"/>
      <c r="V574" s="228"/>
      <c r="W574" s="228"/>
      <c r="X574" s="228"/>
      <c r="Y574" s="228"/>
      <c r="Z574" s="228"/>
      <c r="AA574" s="228"/>
      <c r="AB574" s="228"/>
      <c r="AC574" s="228"/>
      <c r="AD574" s="228"/>
      <c r="AE574" s="228"/>
      <c r="AF574" s="228"/>
      <c r="AG574" s="228"/>
      <c r="AH574" s="228"/>
      <c r="AI574" s="228"/>
      <c r="AJ574" s="228"/>
      <c r="AK574" s="228"/>
      <c r="AL574" s="228"/>
      <c r="AM574" s="228"/>
      <c r="AN574" s="228"/>
      <c r="AO574" s="228"/>
      <c r="AP574" s="228"/>
      <c r="AQ574" s="228"/>
      <c r="AR574" s="228"/>
      <c r="AS574" s="228"/>
      <c r="AT574" s="228"/>
      <c r="AU574" s="228"/>
      <c r="AV574" s="228"/>
      <c r="AW574" s="228"/>
      <c r="AX574" s="228"/>
      <c r="AY574" s="228"/>
      <c r="AZ574" s="228"/>
      <c r="BA574" s="228"/>
      <c r="BB574" s="228"/>
      <c r="BC574" s="228"/>
      <c r="BD574" s="228"/>
      <c r="BE574" s="228"/>
      <c r="BF574" s="228"/>
      <c r="BG574" s="228"/>
      <c r="BH574" s="228"/>
      <c r="BI574" s="228"/>
      <c r="BJ574" s="228"/>
      <c r="BK574" s="228"/>
      <c r="BL574" s="228"/>
      <c r="BM574" s="228"/>
      <c r="BN574" s="228"/>
      <c r="BO574" s="228"/>
      <c r="BP574" s="228"/>
      <c r="BQ574" s="228"/>
      <c r="BR574" s="228"/>
      <c r="BS574" s="228"/>
      <c r="BT574" s="228"/>
      <c r="BU574" s="228"/>
      <c r="BV574" s="228"/>
      <c r="BW574" s="228"/>
      <c r="BX574" s="228"/>
      <c r="BY574" s="228"/>
      <c r="BZ574" s="228"/>
      <c r="CA574" s="228"/>
      <c r="CB574" s="228"/>
      <c r="CC574" s="228"/>
      <c r="CD574" s="228"/>
      <c r="CE574" s="228"/>
      <c r="CF574" s="228"/>
      <c r="CG574" s="228"/>
      <c r="CH574" s="228"/>
      <c r="CI574" s="228"/>
      <c r="CJ574" s="228"/>
      <c r="CK574" s="228"/>
      <c r="CL574" s="228"/>
      <c r="CM574" s="228"/>
      <c r="CN574" s="228"/>
      <c r="CO574" s="228"/>
      <c r="CP574" s="228"/>
      <c r="CQ574" s="228"/>
      <c r="CR574" s="228"/>
      <c r="CS574" s="228"/>
      <c r="CT574" s="228"/>
      <c r="CU574" s="228"/>
      <c r="CV574" s="228"/>
      <c r="CW574" s="228"/>
      <c r="CX574" s="228"/>
      <c r="CY574" s="228"/>
      <c r="CZ574" s="228"/>
      <c r="DA574" s="228"/>
      <c r="DB574" s="228"/>
    </row>
    <row r="575" ht="12.0" customHeight="1">
      <c r="A575" s="228"/>
      <c r="B575" s="228"/>
      <c r="C575" s="228"/>
      <c r="D575" s="228"/>
      <c r="E575" s="228"/>
      <c r="F575" s="228"/>
      <c r="G575" s="228"/>
      <c r="H575" s="228"/>
      <c r="I575" s="228"/>
      <c r="J575" s="228"/>
      <c r="K575" s="228"/>
      <c r="L575" s="228"/>
      <c r="M575" s="228"/>
      <c r="N575" s="228"/>
      <c r="O575" s="228"/>
      <c r="P575" s="228"/>
      <c r="Q575" s="228"/>
      <c r="R575" s="228"/>
      <c r="S575" s="228"/>
      <c r="T575" s="228"/>
      <c r="U575" s="228"/>
      <c r="V575" s="228"/>
      <c r="W575" s="228"/>
      <c r="X575" s="228"/>
      <c r="Y575" s="228"/>
      <c r="Z575" s="228"/>
      <c r="AA575" s="228"/>
      <c r="AB575" s="228"/>
      <c r="AC575" s="228"/>
      <c r="AD575" s="228"/>
      <c r="AE575" s="228"/>
      <c r="AF575" s="228"/>
      <c r="AG575" s="228"/>
      <c r="AH575" s="228"/>
      <c r="AI575" s="228"/>
      <c r="AJ575" s="228"/>
      <c r="AK575" s="228"/>
      <c r="AL575" s="228"/>
      <c r="AM575" s="228"/>
      <c r="AN575" s="228"/>
      <c r="AO575" s="228"/>
      <c r="AP575" s="228"/>
      <c r="AQ575" s="228"/>
      <c r="AR575" s="228"/>
      <c r="AS575" s="228"/>
      <c r="AT575" s="228"/>
      <c r="AU575" s="228"/>
      <c r="AV575" s="228"/>
      <c r="AW575" s="228"/>
      <c r="AX575" s="228"/>
      <c r="AY575" s="228"/>
      <c r="AZ575" s="228"/>
      <c r="BA575" s="228"/>
      <c r="BB575" s="228"/>
      <c r="BC575" s="228"/>
      <c r="BD575" s="228"/>
      <c r="BE575" s="228"/>
      <c r="BF575" s="228"/>
      <c r="BG575" s="228"/>
      <c r="BH575" s="228"/>
      <c r="BI575" s="228"/>
      <c r="BJ575" s="228"/>
      <c r="BK575" s="228"/>
      <c r="BL575" s="228"/>
      <c r="BM575" s="228"/>
      <c r="BN575" s="228"/>
      <c r="BO575" s="228"/>
      <c r="BP575" s="228"/>
      <c r="BQ575" s="228"/>
      <c r="BR575" s="228"/>
      <c r="BS575" s="228"/>
      <c r="BT575" s="228"/>
      <c r="BU575" s="228"/>
      <c r="BV575" s="228"/>
      <c r="BW575" s="228"/>
      <c r="BX575" s="228"/>
      <c r="BY575" s="228"/>
      <c r="BZ575" s="228"/>
      <c r="CA575" s="228"/>
      <c r="CB575" s="228"/>
      <c r="CC575" s="228"/>
      <c r="CD575" s="228"/>
      <c r="CE575" s="228"/>
      <c r="CF575" s="228"/>
      <c r="CG575" s="228"/>
      <c r="CH575" s="228"/>
      <c r="CI575" s="228"/>
      <c r="CJ575" s="228"/>
      <c r="CK575" s="228"/>
      <c r="CL575" s="228"/>
      <c r="CM575" s="228"/>
      <c r="CN575" s="228"/>
      <c r="CO575" s="228"/>
      <c r="CP575" s="228"/>
      <c r="CQ575" s="228"/>
      <c r="CR575" s="228"/>
      <c r="CS575" s="228"/>
      <c r="CT575" s="228"/>
      <c r="CU575" s="228"/>
      <c r="CV575" s="228"/>
      <c r="CW575" s="228"/>
      <c r="CX575" s="228"/>
      <c r="CY575" s="228"/>
      <c r="CZ575" s="228"/>
      <c r="DA575" s="228"/>
      <c r="DB575" s="228"/>
    </row>
    <row r="576" ht="12.0" customHeight="1">
      <c r="A576" s="228"/>
      <c r="B576" s="228"/>
      <c r="C576" s="228"/>
      <c r="D576" s="228"/>
      <c r="E576" s="228"/>
      <c r="F576" s="228"/>
      <c r="G576" s="228"/>
      <c r="H576" s="228"/>
      <c r="I576" s="228"/>
      <c r="J576" s="228"/>
      <c r="K576" s="228"/>
      <c r="L576" s="228"/>
      <c r="M576" s="228"/>
      <c r="N576" s="228"/>
      <c r="O576" s="228"/>
      <c r="P576" s="228"/>
      <c r="Q576" s="228"/>
      <c r="R576" s="228"/>
      <c r="S576" s="228"/>
      <c r="T576" s="228"/>
      <c r="U576" s="228"/>
      <c r="V576" s="228"/>
      <c r="W576" s="228"/>
      <c r="X576" s="228"/>
      <c r="Y576" s="228"/>
      <c r="Z576" s="228"/>
      <c r="AA576" s="228"/>
      <c r="AB576" s="228"/>
      <c r="AC576" s="228"/>
      <c r="AD576" s="228"/>
      <c r="AE576" s="228"/>
      <c r="AF576" s="228"/>
      <c r="AG576" s="228"/>
      <c r="AH576" s="228"/>
      <c r="AI576" s="228"/>
      <c r="AJ576" s="228"/>
      <c r="AK576" s="228"/>
      <c r="AL576" s="228"/>
      <c r="AM576" s="228"/>
      <c r="AN576" s="228"/>
      <c r="AO576" s="228"/>
      <c r="AP576" s="228"/>
      <c r="AQ576" s="228"/>
      <c r="AR576" s="228"/>
      <c r="AS576" s="228"/>
      <c r="AT576" s="228"/>
      <c r="AU576" s="228"/>
      <c r="AV576" s="228"/>
      <c r="AW576" s="228"/>
      <c r="AX576" s="228"/>
      <c r="AY576" s="228"/>
      <c r="AZ576" s="228"/>
      <c r="BA576" s="228"/>
      <c r="BB576" s="228"/>
      <c r="BC576" s="228"/>
      <c r="BD576" s="228"/>
      <c r="BE576" s="228"/>
      <c r="BF576" s="228"/>
      <c r="BG576" s="228"/>
      <c r="BH576" s="228"/>
      <c r="BI576" s="228"/>
      <c r="BJ576" s="228"/>
      <c r="BK576" s="228"/>
      <c r="BL576" s="228"/>
      <c r="BM576" s="228"/>
      <c r="BN576" s="228"/>
      <c r="BO576" s="228"/>
      <c r="BP576" s="228"/>
      <c r="BQ576" s="228"/>
      <c r="BR576" s="228"/>
      <c r="BS576" s="228"/>
      <c r="BT576" s="228"/>
      <c r="BU576" s="228"/>
      <c r="BV576" s="228"/>
      <c r="BW576" s="228"/>
      <c r="BX576" s="228"/>
      <c r="BY576" s="228"/>
      <c r="BZ576" s="228"/>
      <c r="CA576" s="228"/>
      <c r="CB576" s="228"/>
      <c r="CC576" s="228"/>
      <c r="CD576" s="228"/>
      <c r="CE576" s="228"/>
      <c r="CF576" s="228"/>
      <c r="CG576" s="228"/>
      <c r="CH576" s="228"/>
      <c r="CI576" s="228"/>
      <c r="CJ576" s="228"/>
      <c r="CK576" s="228"/>
      <c r="CL576" s="228"/>
      <c r="CM576" s="228"/>
      <c r="CN576" s="228"/>
      <c r="CO576" s="228"/>
      <c r="CP576" s="228"/>
      <c r="CQ576" s="228"/>
      <c r="CR576" s="228"/>
      <c r="CS576" s="228"/>
      <c r="CT576" s="228"/>
      <c r="CU576" s="228"/>
      <c r="CV576" s="228"/>
      <c r="CW576" s="228"/>
      <c r="CX576" s="228"/>
      <c r="CY576" s="228"/>
      <c r="CZ576" s="228"/>
      <c r="DA576" s="228"/>
      <c r="DB576" s="228"/>
    </row>
    <row r="577" ht="12.0" customHeight="1">
      <c r="A577" s="228"/>
      <c r="B577" s="228"/>
      <c r="C577" s="228"/>
      <c r="D577" s="228"/>
      <c r="E577" s="228"/>
      <c r="F577" s="228"/>
      <c r="G577" s="228"/>
      <c r="H577" s="228"/>
      <c r="I577" s="228"/>
      <c r="J577" s="228"/>
      <c r="K577" s="228"/>
      <c r="L577" s="228"/>
      <c r="M577" s="228"/>
      <c r="N577" s="228"/>
      <c r="O577" s="228"/>
      <c r="P577" s="228"/>
      <c r="Q577" s="228"/>
      <c r="R577" s="228"/>
      <c r="S577" s="228"/>
      <c r="T577" s="228"/>
      <c r="U577" s="228"/>
      <c r="V577" s="228"/>
      <c r="W577" s="228"/>
      <c r="X577" s="228"/>
      <c r="Y577" s="228"/>
      <c r="Z577" s="228"/>
      <c r="AA577" s="228"/>
      <c r="AB577" s="228"/>
      <c r="AC577" s="228"/>
      <c r="AD577" s="228"/>
      <c r="AE577" s="228"/>
      <c r="AF577" s="228"/>
      <c r="AG577" s="228"/>
      <c r="AH577" s="228"/>
      <c r="AI577" s="228"/>
      <c r="AJ577" s="228"/>
      <c r="AK577" s="228"/>
      <c r="AL577" s="228"/>
      <c r="AM577" s="228"/>
      <c r="AN577" s="228"/>
      <c r="AO577" s="228"/>
      <c r="AP577" s="228"/>
      <c r="AQ577" s="228"/>
      <c r="AR577" s="228"/>
      <c r="AS577" s="228"/>
      <c r="AT577" s="228"/>
      <c r="AU577" s="228"/>
      <c r="AV577" s="228"/>
      <c r="AW577" s="228"/>
      <c r="AX577" s="228"/>
      <c r="AY577" s="228"/>
      <c r="AZ577" s="228"/>
      <c r="BA577" s="228"/>
      <c r="BB577" s="228"/>
      <c r="BC577" s="228"/>
      <c r="BD577" s="228"/>
      <c r="BE577" s="228"/>
      <c r="BF577" s="228"/>
      <c r="BG577" s="228"/>
      <c r="BH577" s="228"/>
      <c r="BI577" s="228"/>
      <c r="BJ577" s="228"/>
      <c r="BK577" s="228"/>
      <c r="BL577" s="228"/>
      <c r="BM577" s="228"/>
      <c r="BN577" s="228"/>
      <c r="BO577" s="228"/>
      <c r="BP577" s="228"/>
      <c r="BQ577" s="228"/>
      <c r="BR577" s="228"/>
      <c r="BS577" s="228"/>
      <c r="BT577" s="228"/>
      <c r="BU577" s="228"/>
      <c r="BV577" s="228"/>
      <c r="BW577" s="228"/>
      <c r="BX577" s="228"/>
      <c r="BY577" s="228"/>
      <c r="BZ577" s="228"/>
      <c r="CA577" s="228"/>
      <c r="CB577" s="228"/>
      <c r="CC577" s="228"/>
      <c r="CD577" s="228"/>
      <c r="CE577" s="228"/>
      <c r="CF577" s="228"/>
      <c r="CG577" s="228"/>
      <c r="CH577" s="228"/>
      <c r="CI577" s="228"/>
      <c r="CJ577" s="228"/>
      <c r="CK577" s="228"/>
      <c r="CL577" s="228"/>
      <c r="CM577" s="228"/>
      <c r="CN577" s="228"/>
      <c r="CO577" s="228"/>
      <c r="CP577" s="228"/>
      <c r="CQ577" s="228"/>
      <c r="CR577" s="228"/>
      <c r="CS577" s="228"/>
      <c r="CT577" s="228"/>
      <c r="CU577" s="228"/>
      <c r="CV577" s="228"/>
      <c r="CW577" s="228"/>
      <c r="CX577" s="228"/>
      <c r="CY577" s="228"/>
      <c r="CZ577" s="228"/>
      <c r="DA577" s="228"/>
      <c r="DB577" s="228"/>
    </row>
    <row r="578" ht="12.0" customHeight="1">
      <c r="A578" s="228"/>
      <c r="B578" s="228"/>
      <c r="C578" s="228"/>
      <c r="D578" s="228"/>
      <c r="E578" s="228"/>
      <c r="F578" s="228"/>
      <c r="G578" s="228"/>
      <c r="H578" s="228"/>
      <c r="I578" s="228"/>
      <c r="J578" s="228"/>
      <c r="K578" s="228"/>
      <c r="L578" s="228"/>
      <c r="M578" s="228"/>
      <c r="N578" s="228"/>
      <c r="O578" s="228"/>
      <c r="P578" s="228"/>
      <c r="Q578" s="228"/>
      <c r="R578" s="228"/>
      <c r="S578" s="228"/>
      <c r="T578" s="228"/>
      <c r="U578" s="228"/>
      <c r="V578" s="228"/>
      <c r="W578" s="228"/>
      <c r="X578" s="228"/>
      <c r="Y578" s="228"/>
      <c r="Z578" s="228"/>
      <c r="AA578" s="228"/>
      <c r="AB578" s="228"/>
      <c r="AC578" s="228"/>
      <c r="AD578" s="228"/>
      <c r="AE578" s="228"/>
      <c r="AF578" s="228"/>
      <c r="AG578" s="228"/>
      <c r="AH578" s="228"/>
      <c r="AI578" s="228"/>
      <c r="AJ578" s="228"/>
      <c r="AK578" s="228"/>
      <c r="AL578" s="228"/>
      <c r="AM578" s="228"/>
      <c r="AN578" s="228"/>
      <c r="AO578" s="228"/>
      <c r="AP578" s="228"/>
      <c r="AQ578" s="228"/>
      <c r="AR578" s="228"/>
      <c r="AS578" s="228"/>
      <c r="AT578" s="228"/>
      <c r="AU578" s="228"/>
      <c r="AV578" s="228"/>
      <c r="AW578" s="228"/>
      <c r="AX578" s="228"/>
      <c r="AY578" s="228"/>
      <c r="AZ578" s="228"/>
      <c r="BA578" s="228"/>
      <c r="BB578" s="228"/>
      <c r="BC578" s="228"/>
      <c r="BD578" s="228"/>
      <c r="BE578" s="228"/>
      <c r="BF578" s="228"/>
      <c r="BG578" s="228"/>
      <c r="BH578" s="228"/>
      <c r="BI578" s="228"/>
      <c r="BJ578" s="228"/>
      <c r="BK578" s="228"/>
      <c r="BL578" s="228"/>
      <c r="BM578" s="228"/>
      <c r="BN578" s="228"/>
      <c r="BO578" s="228"/>
      <c r="BP578" s="228"/>
      <c r="BQ578" s="228"/>
      <c r="BR578" s="228"/>
      <c r="BS578" s="228"/>
      <c r="BT578" s="228"/>
      <c r="BU578" s="228"/>
      <c r="BV578" s="228"/>
      <c r="BW578" s="228"/>
      <c r="BX578" s="228"/>
      <c r="BY578" s="228"/>
      <c r="BZ578" s="228"/>
      <c r="CA578" s="228"/>
      <c r="CB578" s="228"/>
      <c r="CC578" s="228"/>
      <c r="CD578" s="228"/>
      <c r="CE578" s="228"/>
      <c r="CF578" s="228"/>
      <c r="CG578" s="228"/>
      <c r="CH578" s="228"/>
      <c r="CI578" s="228"/>
      <c r="CJ578" s="228"/>
      <c r="CK578" s="228"/>
      <c r="CL578" s="228"/>
      <c r="CM578" s="228"/>
      <c r="CN578" s="228"/>
      <c r="CO578" s="228"/>
      <c r="CP578" s="228"/>
      <c r="CQ578" s="228"/>
      <c r="CR578" s="228"/>
      <c r="CS578" s="228"/>
      <c r="CT578" s="228"/>
      <c r="CU578" s="228"/>
      <c r="CV578" s="228"/>
      <c r="CW578" s="228"/>
      <c r="CX578" s="228"/>
      <c r="CY578" s="228"/>
      <c r="CZ578" s="228"/>
      <c r="DA578" s="228"/>
      <c r="DB578" s="228"/>
    </row>
    <row r="579" ht="12.0" customHeight="1">
      <c r="A579" s="228"/>
      <c r="B579" s="228"/>
      <c r="C579" s="228"/>
      <c r="D579" s="228"/>
      <c r="E579" s="228"/>
      <c r="F579" s="228"/>
      <c r="G579" s="228"/>
      <c r="H579" s="228"/>
      <c r="I579" s="228"/>
      <c r="J579" s="228"/>
      <c r="K579" s="228"/>
      <c r="L579" s="228"/>
      <c r="M579" s="228"/>
      <c r="N579" s="228"/>
      <c r="O579" s="228"/>
      <c r="P579" s="228"/>
      <c r="Q579" s="228"/>
      <c r="R579" s="228"/>
      <c r="S579" s="228"/>
      <c r="T579" s="228"/>
      <c r="U579" s="228"/>
      <c r="V579" s="228"/>
      <c r="W579" s="228"/>
      <c r="X579" s="228"/>
      <c r="Y579" s="228"/>
      <c r="Z579" s="228"/>
      <c r="AA579" s="228"/>
      <c r="AB579" s="228"/>
      <c r="AC579" s="228"/>
      <c r="AD579" s="228"/>
      <c r="AE579" s="228"/>
      <c r="AF579" s="228"/>
      <c r="AG579" s="228"/>
      <c r="AH579" s="228"/>
      <c r="AI579" s="228"/>
      <c r="AJ579" s="228"/>
      <c r="AK579" s="228"/>
      <c r="AL579" s="228"/>
      <c r="AM579" s="228"/>
      <c r="AN579" s="228"/>
      <c r="AO579" s="228"/>
      <c r="AP579" s="228"/>
      <c r="AQ579" s="228"/>
      <c r="AR579" s="228"/>
      <c r="AS579" s="228"/>
      <c r="AT579" s="228"/>
      <c r="AU579" s="228"/>
      <c r="AV579" s="228"/>
      <c r="AW579" s="228"/>
      <c r="AX579" s="228"/>
      <c r="AY579" s="228"/>
      <c r="AZ579" s="228"/>
      <c r="BA579" s="228"/>
      <c r="BB579" s="228"/>
      <c r="BC579" s="228"/>
      <c r="BD579" s="228"/>
      <c r="BE579" s="228"/>
      <c r="BF579" s="228"/>
      <c r="BG579" s="228"/>
      <c r="BH579" s="228"/>
      <c r="BI579" s="228"/>
      <c r="BJ579" s="228"/>
      <c r="BK579" s="228"/>
      <c r="BL579" s="228"/>
      <c r="BM579" s="228"/>
      <c r="BN579" s="228"/>
      <c r="BO579" s="228"/>
      <c r="BP579" s="228"/>
      <c r="BQ579" s="228"/>
      <c r="BR579" s="228"/>
      <c r="BS579" s="228"/>
      <c r="BT579" s="228"/>
      <c r="BU579" s="228"/>
      <c r="BV579" s="228"/>
      <c r="BW579" s="228"/>
      <c r="BX579" s="228"/>
      <c r="BY579" s="228"/>
      <c r="BZ579" s="228"/>
      <c r="CA579" s="228"/>
      <c r="CB579" s="228"/>
      <c r="CC579" s="228"/>
      <c r="CD579" s="228"/>
      <c r="CE579" s="228"/>
      <c r="CF579" s="228"/>
      <c r="CG579" s="228"/>
      <c r="CH579" s="228"/>
      <c r="CI579" s="228"/>
      <c r="CJ579" s="228"/>
      <c r="CK579" s="228"/>
      <c r="CL579" s="228"/>
      <c r="CM579" s="228"/>
      <c r="CN579" s="228"/>
      <c r="CO579" s="228"/>
      <c r="CP579" s="228"/>
      <c r="CQ579" s="228"/>
      <c r="CR579" s="228"/>
      <c r="CS579" s="228"/>
      <c r="CT579" s="228"/>
      <c r="CU579" s="228"/>
      <c r="CV579" s="228"/>
      <c r="CW579" s="228"/>
      <c r="CX579" s="228"/>
      <c r="CY579" s="228"/>
      <c r="CZ579" s="228"/>
      <c r="DA579" s="228"/>
      <c r="DB579" s="228"/>
    </row>
    <row r="580" ht="12.0" customHeight="1">
      <c r="A580" s="228"/>
      <c r="B580" s="228"/>
      <c r="C580" s="228"/>
      <c r="D580" s="228"/>
      <c r="E580" s="228"/>
      <c r="F580" s="228"/>
      <c r="G580" s="228"/>
      <c r="H580" s="228"/>
      <c r="I580" s="228"/>
      <c r="J580" s="228"/>
      <c r="K580" s="228"/>
      <c r="L580" s="228"/>
      <c r="M580" s="228"/>
      <c r="N580" s="228"/>
      <c r="O580" s="228"/>
      <c r="P580" s="228"/>
      <c r="Q580" s="228"/>
      <c r="R580" s="228"/>
      <c r="S580" s="228"/>
      <c r="T580" s="228"/>
      <c r="U580" s="228"/>
      <c r="V580" s="228"/>
      <c r="W580" s="228"/>
      <c r="X580" s="228"/>
      <c r="Y580" s="228"/>
      <c r="Z580" s="228"/>
      <c r="AA580" s="228"/>
      <c r="AB580" s="228"/>
      <c r="AC580" s="228"/>
      <c r="AD580" s="228"/>
      <c r="AE580" s="228"/>
      <c r="AF580" s="228"/>
      <c r="AG580" s="228"/>
      <c r="AH580" s="228"/>
      <c r="AI580" s="228"/>
      <c r="AJ580" s="228"/>
      <c r="AK580" s="228"/>
      <c r="AL580" s="228"/>
      <c r="AM580" s="228"/>
      <c r="AN580" s="228"/>
      <c r="AO580" s="228"/>
      <c r="AP580" s="228"/>
      <c r="AQ580" s="228"/>
      <c r="AR580" s="228"/>
      <c r="AS580" s="228"/>
      <c r="AT580" s="228"/>
      <c r="AU580" s="228"/>
      <c r="AV580" s="228"/>
      <c r="AW580" s="228"/>
      <c r="AX580" s="228"/>
      <c r="AY580" s="228"/>
      <c r="AZ580" s="228"/>
      <c r="BA580" s="228"/>
      <c r="BB580" s="228"/>
      <c r="BC580" s="228"/>
      <c r="BD580" s="228"/>
      <c r="BE580" s="228"/>
      <c r="BF580" s="228"/>
      <c r="BG580" s="228"/>
      <c r="BH580" s="228"/>
      <c r="BI580" s="228"/>
      <c r="BJ580" s="228"/>
      <c r="BK580" s="228"/>
      <c r="BL580" s="228"/>
      <c r="BM580" s="228"/>
      <c r="BN580" s="228"/>
      <c r="BO580" s="228"/>
      <c r="BP580" s="228"/>
      <c r="BQ580" s="228"/>
      <c r="BR580" s="228"/>
      <c r="BS580" s="228"/>
      <c r="BT580" s="228"/>
      <c r="BU580" s="228"/>
      <c r="BV580" s="228"/>
      <c r="BW580" s="228"/>
      <c r="BX580" s="228"/>
      <c r="BY580" s="228"/>
      <c r="BZ580" s="228"/>
      <c r="CA580" s="228"/>
      <c r="CB580" s="228"/>
      <c r="CC580" s="228"/>
      <c r="CD580" s="228"/>
      <c r="CE580" s="228"/>
      <c r="CF580" s="228"/>
      <c r="CG580" s="228"/>
      <c r="CH580" s="228"/>
      <c r="CI580" s="228"/>
      <c r="CJ580" s="228"/>
      <c r="CK580" s="228"/>
      <c r="CL580" s="228"/>
      <c r="CM580" s="228"/>
      <c r="CN580" s="228"/>
      <c r="CO580" s="228"/>
      <c r="CP580" s="228"/>
      <c r="CQ580" s="228"/>
      <c r="CR580" s="228"/>
      <c r="CS580" s="228"/>
      <c r="CT580" s="228"/>
      <c r="CU580" s="228"/>
      <c r="CV580" s="228"/>
      <c r="CW580" s="228"/>
      <c r="CX580" s="228"/>
      <c r="CY580" s="228"/>
      <c r="CZ580" s="228"/>
      <c r="DA580" s="228"/>
      <c r="DB580" s="228"/>
    </row>
    <row r="581" ht="12.0" customHeight="1">
      <c r="A581" s="228"/>
      <c r="B581" s="228"/>
      <c r="C581" s="228"/>
      <c r="D581" s="228"/>
      <c r="E581" s="228"/>
      <c r="F581" s="228"/>
      <c r="G581" s="228"/>
      <c r="H581" s="228"/>
      <c r="I581" s="228"/>
      <c r="J581" s="228"/>
      <c r="K581" s="228"/>
      <c r="L581" s="228"/>
      <c r="M581" s="228"/>
      <c r="N581" s="228"/>
      <c r="O581" s="228"/>
      <c r="P581" s="228"/>
      <c r="Q581" s="228"/>
      <c r="R581" s="228"/>
      <c r="S581" s="228"/>
      <c r="T581" s="228"/>
      <c r="U581" s="228"/>
      <c r="V581" s="228"/>
      <c r="W581" s="228"/>
      <c r="X581" s="228"/>
      <c r="Y581" s="228"/>
      <c r="Z581" s="228"/>
      <c r="AA581" s="228"/>
      <c r="AB581" s="228"/>
      <c r="AC581" s="228"/>
      <c r="AD581" s="228"/>
      <c r="AE581" s="228"/>
      <c r="AF581" s="228"/>
      <c r="AG581" s="228"/>
      <c r="AH581" s="228"/>
      <c r="AI581" s="228"/>
      <c r="AJ581" s="228"/>
      <c r="AK581" s="228"/>
      <c r="AL581" s="228"/>
      <c r="AM581" s="228"/>
      <c r="AN581" s="228"/>
      <c r="AO581" s="228"/>
      <c r="AP581" s="228"/>
      <c r="AQ581" s="228"/>
      <c r="AR581" s="228"/>
      <c r="AS581" s="228"/>
      <c r="AT581" s="228"/>
      <c r="AU581" s="228"/>
      <c r="AV581" s="228"/>
      <c r="AW581" s="228"/>
      <c r="AX581" s="228"/>
      <c r="AY581" s="228"/>
      <c r="AZ581" s="228"/>
      <c r="BA581" s="228"/>
      <c r="BB581" s="228"/>
      <c r="BC581" s="228"/>
      <c r="BD581" s="228"/>
      <c r="BE581" s="228"/>
      <c r="BF581" s="228"/>
      <c r="BG581" s="228"/>
      <c r="BH581" s="228"/>
      <c r="BI581" s="228"/>
      <c r="BJ581" s="228"/>
      <c r="BK581" s="228"/>
      <c r="BL581" s="228"/>
      <c r="BM581" s="228"/>
      <c r="BN581" s="228"/>
      <c r="BO581" s="228"/>
      <c r="BP581" s="228"/>
      <c r="BQ581" s="228"/>
      <c r="BR581" s="228"/>
      <c r="BS581" s="228"/>
      <c r="BT581" s="228"/>
      <c r="BU581" s="228"/>
      <c r="BV581" s="228"/>
      <c r="BW581" s="228"/>
      <c r="BX581" s="228"/>
      <c r="BY581" s="228"/>
      <c r="BZ581" s="228"/>
      <c r="CA581" s="228"/>
      <c r="CB581" s="228"/>
      <c r="CC581" s="228"/>
      <c r="CD581" s="228"/>
      <c r="CE581" s="228"/>
      <c r="CF581" s="228"/>
      <c r="CG581" s="228"/>
      <c r="CH581" s="228"/>
      <c r="CI581" s="228"/>
      <c r="CJ581" s="228"/>
      <c r="CK581" s="228"/>
      <c r="CL581" s="228"/>
      <c r="CM581" s="228"/>
      <c r="CN581" s="228"/>
      <c r="CO581" s="228"/>
      <c r="CP581" s="228"/>
      <c r="CQ581" s="228"/>
      <c r="CR581" s="228"/>
      <c r="CS581" s="228"/>
      <c r="CT581" s="228"/>
      <c r="CU581" s="228"/>
      <c r="CV581" s="228"/>
      <c r="CW581" s="228"/>
      <c r="CX581" s="228"/>
      <c r="CY581" s="228"/>
      <c r="CZ581" s="228"/>
      <c r="DA581" s="228"/>
      <c r="DB581" s="228"/>
    </row>
    <row r="582" ht="12.0" customHeight="1">
      <c r="A582" s="228"/>
      <c r="B582" s="228"/>
      <c r="C582" s="228"/>
      <c r="D582" s="228"/>
      <c r="E582" s="228"/>
      <c r="F582" s="228"/>
      <c r="G582" s="228"/>
      <c r="H582" s="228"/>
      <c r="I582" s="228"/>
      <c r="J582" s="228"/>
      <c r="K582" s="228"/>
      <c r="L582" s="228"/>
      <c r="M582" s="228"/>
      <c r="N582" s="228"/>
      <c r="O582" s="228"/>
      <c r="P582" s="228"/>
      <c r="Q582" s="228"/>
      <c r="R582" s="228"/>
      <c r="S582" s="228"/>
      <c r="T582" s="228"/>
      <c r="U582" s="228"/>
      <c r="V582" s="228"/>
      <c r="W582" s="228"/>
      <c r="X582" s="228"/>
      <c r="Y582" s="228"/>
      <c r="Z582" s="228"/>
      <c r="AA582" s="228"/>
      <c r="AB582" s="228"/>
      <c r="AC582" s="228"/>
      <c r="AD582" s="228"/>
      <c r="AE582" s="228"/>
      <c r="AF582" s="228"/>
      <c r="AG582" s="228"/>
      <c r="AH582" s="228"/>
      <c r="AI582" s="228"/>
      <c r="AJ582" s="228"/>
      <c r="AK582" s="228"/>
      <c r="AL582" s="228"/>
      <c r="AM582" s="228"/>
      <c r="AN582" s="228"/>
      <c r="AO582" s="228"/>
      <c r="AP582" s="228"/>
      <c r="AQ582" s="228"/>
      <c r="AR582" s="228"/>
      <c r="AS582" s="228"/>
      <c r="AT582" s="228"/>
      <c r="AU582" s="228"/>
      <c r="AV582" s="228"/>
      <c r="AW582" s="228"/>
      <c r="AX582" s="228"/>
      <c r="AY582" s="228"/>
      <c r="AZ582" s="228"/>
      <c r="BA582" s="228"/>
      <c r="BB582" s="228"/>
      <c r="BC582" s="228"/>
      <c r="BD582" s="228"/>
      <c r="BE582" s="228"/>
      <c r="BF582" s="228"/>
      <c r="BG582" s="228"/>
      <c r="BH582" s="228"/>
      <c r="BI582" s="228"/>
      <c r="BJ582" s="228"/>
      <c r="BK582" s="228"/>
      <c r="BL582" s="228"/>
      <c r="BM582" s="228"/>
      <c r="BN582" s="228"/>
      <c r="BO582" s="228"/>
      <c r="BP582" s="228"/>
      <c r="BQ582" s="228"/>
      <c r="BR582" s="228"/>
      <c r="BS582" s="228"/>
      <c r="BT582" s="228"/>
      <c r="BU582" s="228"/>
      <c r="BV582" s="228"/>
      <c r="BW582" s="228"/>
      <c r="BX582" s="228"/>
      <c r="BY582" s="228"/>
      <c r="BZ582" s="228"/>
      <c r="CA582" s="228"/>
      <c r="CB582" s="228"/>
      <c r="CC582" s="228"/>
      <c r="CD582" s="228"/>
      <c r="CE582" s="228"/>
      <c r="CF582" s="228"/>
      <c r="CG582" s="228"/>
      <c r="CH582" s="228"/>
      <c r="CI582" s="228"/>
      <c r="CJ582" s="228"/>
      <c r="CK582" s="228"/>
      <c r="CL582" s="228"/>
      <c r="CM582" s="228"/>
      <c r="CN582" s="228"/>
      <c r="CO582" s="228"/>
      <c r="CP582" s="228"/>
      <c r="CQ582" s="228"/>
      <c r="CR582" s="228"/>
      <c r="CS582" s="228"/>
      <c r="CT582" s="228"/>
      <c r="CU582" s="228"/>
      <c r="CV582" s="228"/>
      <c r="CW582" s="228"/>
      <c r="CX582" s="228"/>
      <c r="CY582" s="228"/>
      <c r="CZ582" s="228"/>
      <c r="DA582" s="228"/>
      <c r="DB582" s="228"/>
    </row>
    <row r="583" ht="12.0" customHeight="1">
      <c r="A583" s="228"/>
      <c r="B583" s="228"/>
      <c r="C583" s="228"/>
      <c r="D583" s="228"/>
      <c r="E583" s="228"/>
      <c r="F583" s="228"/>
      <c r="G583" s="228"/>
      <c r="H583" s="228"/>
      <c r="I583" s="228"/>
      <c r="J583" s="228"/>
      <c r="K583" s="228"/>
      <c r="L583" s="228"/>
      <c r="M583" s="228"/>
      <c r="N583" s="228"/>
      <c r="O583" s="228"/>
      <c r="P583" s="228"/>
      <c r="Q583" s="228"/>
      <c r="R583" s="228"/>
      <c r="S583" s="228"/>
      <c r="T583" s="228"/>
      <c r="U583" s="228"/>
      <c r="V583" s="228"/>
      <c r="W583" s="228"/>
      <c r="X583" s="228"/>
      <c r="Y583" s="228"/>
      <c r="Z583" s="228"/>
      <c r="AA583" s="228"/>
      <c r="AB583" s="228"/>
      <c r="AC583" s="228"/>
      <c r="AD583" s="228"/>
      <c r="AE583" s="228"/>
      <c r="AF583" s="228"/>
      <c r="AG583" s="228"/>
      <c r="AH583" s="228"/>
      <c r="AI583" s="228"/>
      <c r="AJ583" s="228"/>
      <c r="AK583" s="228"/>
      <c r="AL583" s="228"/>
      <c r="AM583" s="228"/>
      <c r="AN583" s="228"/>
      <c r="AO583" s="228"/>
      <c r="AP583" s="228"/>
      <c r="AQ583" s="228"/>
      <c r="AR583" s="228"/>
      <c r="AS583" s="228"/>
      <c r="AT583" s="228"/>
      <c r="AU583" s="228"/>
      <c r="AV583" s="228"/>
      <c r="AW583" s="228"/>
      <c r="AX583" s="228"/>
      <c r="AY583" s="228"/>
      <c r="AZ583" s="228"/>
      <c r="BA583" s="228"/>
      <c r="BB583" s="228"/>
      <c r="BC583" s="228"/>
      <c r="BD583" s="228"/>
      <c r="BE583" s="228"/>
      <c r="BF583" s="228"/>
      <c r="BG583" s="228"/>
      <c r="BH583" s="228"/>
      <c r="BI583" s="228"/>
      <c r="BJ583" s="228"/>
      <c r="BK583" s="228"/>
      <c r="BL583" s="228"/>
      <c r="BM583" s="228"/>
      <c r="BN583" s="228"/>
      <c r="BO583" s="228"/>
      <c r="BP583" s="228"/>
      <c r="BQ583" s="228"/>
      <c r="BR583" s="228"/>
      <c r="BS583" s="228"/>
      <c r="BT583" s="228"/>
      <c r="BU583" s="228"/>
      <c r="BV583" s="228"/>
      <c r="BW583" s="228"/>
      <c r="BX583" s="228"/>
      <c r="BY583" s="228"/>
      <c r="BZ583" s="228"/>
      <c r="CA583" s="228"/>
      <c r="CB583" s="228"/>
      <c r="CC583" s="228"/>
      <c r="CD583" s="228"/>
      <c r="CE583" s="228"/>
      <c r="CF583" s="228"/>
      <c r="CG583" s="228"/>
      <c r="CH583" s="228"/>
      <c r="CI583" s="228"/>
      <c r="CJ583" s="228"/>
      <c r="CK583" s="228"/>
      <c r="CL583" s="228"/>
      <c r="CM583" s="228"/>
      <c r="CN583" s="228"/>
      <c r="CO583" s="228"/>
      <c r="CP583" s="228"/>
      <c r="CQ583" s="228"/>
      <c r="CR583" s="228"/>
      <c r="CS583" s="228"/>
      <c r="CT583" s="228"/>
      <c r="CU583" s="228"/>
      <c r="CV583" s="228"/>
      <c r="CW583" s="228"/>
      <c r="CX583" s="228"/>
      <c r="CY583" s="228"/>
      <c r="CZ583" s="228"/>
      <c r="DA583" s="228"/>
      <c r="DB583" s="228"/>
    </row>
    <row r="584" ht="12.0" customHeight="1">
      <c r="A584" s="228"/>
      <c r="B584" s="228"/>
      <c r="C584" s="228"/>
      <c r="D584" s="228"/>
      <c r="E584" s="228"/>
      <c r="F584" s="228"/>
      <c r="G584" s="228"/>
      <c r="H584" s="228"/>
      <c r="I584" s="228"/>
      <c r="J584" s="228"/>
      <c r="K584" s="228"/>
      <c r="L584" s="228"/>
      <c r="M584" s="228"/>
      <c r="N584" s="228"/>
      <c r="O584" s="228"/>
      <c r="P584" s="228"/>
      <c r="Q584" s="228"/>
      <c r="R584" s="228"/>
      <c r="S584" s="228"/>
      <c r="T584" s="228"/>
      <c r="U584" s="228"/>
      <c r="V584" s="228"/>
      <c r="W584" s="228"/>
      <c r="X584" s="228"/>
      <c r="Y584" s="228"/>
      <c r="Z584" s="228"/>
      <c r="AA584" s="228"/>
      <c r="AB584" s="228"/>
      <c r="AC584" s="228"/>
      <c r="AD584" s="228"/>
      <c r="AE584" s="228"/>
      <c r="AF584" s="228"/>
      <c r="AG584" s="228"/>
      <c r="AH584" s="228"/>
      <c r="AI584" s="228"/>
      <c r="AJ584" s="228"/>
      <c r="AK584" s="228"/>
      <c r="AL584" s="228"/>
      <c r="AM584" s="228"/>
      <c r="AN584" s="228"/>
      <c r="AO584" s="228"/>
      <c r="AP584" s="228"/>
      <c r="AQ584" s="228"/>
      <c r="AR584" s="228"/>
      <c r="AS584" s="228"/>
      <c r="AT584" s="228"/>
      <c r="AU584" s="228"/>
      <c r="AV584" s="228"/>
      <c r="AW584" s="228"/>
      <c r="AX584" s="228"/>
      <c r="AY584" s="228"/>
      <c r="AZ584" s="228"/>
      <c r="BA584" s="228"/>
      <c r="BB584" s="228"/>
      <c r="BC584" s="228"/>
      <c r="BD584" s="228"/>
      <c r="BE584" s="228"/>
      <c r="BF584" s="228"/>
      <c r="BG584" s="228"/>
      <c r="BH584" s="228"/>
      <c r="BI584" s="228"/>
      <c r="BJ584" s="228"/>
      <c r="BK584" s="228"/>
      <c r="BL584" s="228"/>
      <c r="BM584" s="228"/>
      <c r="BN584" s="228"/>
      <c r="BO584" s="228"/>
      <c r="BP584" s="228"/>
      <c r="BQ584" s="228"/>
      <c r="BR584" s="228"/>
      <c r="BS584" s="228"/>
      <c r="BT584" s="228"/>
      <c r="BU584" s="228"/>
      <c r="BV584" s="228"/>
      <c r="BW584" s="228"/>
      <c r="BX584" s="228"/>
      <c r="BY584" s="228"/>
      <c r="BZ584" s="228"/>
      <c r="CA584" s="228"/>
      <c r="CB584" s="228"/>
      <c r="CC584" s="228"/>
      <c r="CD584" s="228"/>
      <c r="CE584" s="228"/>
      <c r="CF584" s="228"/>
      <c r="CG584" s="228"/>
      <c r="CH584" s="228"/>
      <c r="CI584" s="228"/>
      <c r="CJ584" s="228"/>
      <c r="CK584" s="228"/>
      <c r="CL584" s="228"/>
      <c r="CM584" s="228"/>
      <c r="CN584" s="228"/>
      <c r="CO584" s="228"/>
      <c r="CP584" s="228"/>
      <c r="CQ584" s="228"/>
      <c r="CR584" s="228"/>
      <c r="CS584" s="228"/>
      <c r="CT584" s="228"/>
      <c r="CU584" s="228"/>
      <c r="CV584" s="228"/>
      <c r="CW584" s="228"/>
      <c r="CX584" s="228"/>
      <c r="CY584" s="228"/>
      <c r="CZ584" s="228"/>
      <c r="DA584" s="228"/>
      <c r="DB584" s="228"/>
    </row>
    <row r="585" ht="12.0" customHeight="1">
      <c r="A585" s="228"/>
      <c r="B585" s="228"/>
      <c r="C585" s="228"/>
      <c r="D585" s="228"/>
      <c r="E585" s="228"/>
      <c r="F585" s="228"/>
      <c r="G585" s="228"/>
      <c r="H585" s="228"/>
      <c r="I585" s="228"/>
      <c r="J585" s="228"/>
      <c r="K585" s="228"/>
      <c r="L585" s="228"/>
      <c r="M585" s="228"/>
      <c r="N585" s="228"/>
      <c r="O585" s="228"/>
      <c r="P585" s="228"/>
      <c r="Q585" s="228"/>
      <c r="R585" s="228"/>
      <c r="S585" s="228"/>
      <c r="T585" s="228"/>
      <c r="U585" s="228"/>
      <c r="V585" s="228"/>
      <c r="W585" s="228"/>
      <c r="X585" s="228"/>
      <c r="Y585" s="228"/>
      <c r="Z585" s="228"/>
      <c r="AA585" s="228"/>
      <c r="AB585" s="228"/>
      <c r="AC585" s="228"/>
      <c r="AD585" s="228"/>
      <c r="AE585" s="228"/>
      <c r="AF585" s="228"/>
      <c r="AG585" s="228"/>
      <c r="AH585" s="228"/>
      <c r="AI585" s="228"/>
      <c r="AJ585" s="228"/>
      <c r="AK585" s="228"/>
      <c r="AL585" s="228"/>
      <c r="AM585" s="228"/>
      <c r="AN585" s="228"/>
      <c r="AO585" s="228"/>
      <c r="AP585" s="228"/>
      <c r="AQ585" s="228"/>
      <c r="AR585" s="228"/>
      <c r="AS585" s="228"/>
      <c r="AT585" s="228"/>
      <c r="AU585" s="228"/>
      <c r="AV585" s="228"/>
      <c r="AW585" s="228"/>
      <c r="AX585" s="228"/>
      <c r="AY585" s="228"/>
      <c r="AZ585" s="228"/>
      <c r="BA585" s="228"/>
      <c r="BB585" s="228"/>
      <c r="BC585" s="228"/>
      <c r="BD585" s="228"/>
      <c r="BE585" s="228"/>
      <c r="BF585" s="228"/>
      <c r="BG585" s="228"/>
      <c r="BH585" s="228"/>
      <c r="BI585" s="228"/>
      <c r="BJ585" s="228"/>
      <c r="BK585" s="228"/>
      <c r="BL585" s="228"/>
      <c r="BM585" s="228"/>
      <c r="BN585" s="228"/>
      <c r="BO585" s="228"/>
      <c r="BP585" s="228"/>
      <c r="BQ585" s="228"/>
      <c r="BR585" s="228"/>
      <c r="BS585" s="228"/>
      <c r="BT585" s="228"/>
      <c r="BU585" s="228"/>
      <c r="BV585" s="228"/>
      <c r="BW585" s="228"/>
      <c r="BX585" s="228"/>
      <c r="BY585" s="228"/>
      <c r="BZ585" s="228"/>
      <c r="CA585" s="228"/>
      <c r="CB585" s="228"/>
      <c r="CC585" s="228"/>
      <c r="CD585" s="228"/>
      <c r="CE585" s="228"/>
      <c r="CF585" s="228"/>
      <c r="CG585" s="228"/>
      <c r="CH585" s="228"/>
      <c r="CI585" s="228"/>
      <c r="CJ585" s="228"/>
      <c r="CK585" s="228"/>
      <c r="CL585" s="228"/>
      <c r="CM585" s="228"/>
      <c r="CN585" s="228"/>
      <c r="CO585" s="228"/>
      <c r="CP585" s="228"/>
      <c r="CQ585" s="228"/>
      <c r="CR585" s="228"/>
      <c r="CS585" s="228"/>
      <c r="CT585" s="228"/>
      <c r="CU585" s="228"/>
      <c r="CV585" s="228"/>
      <c r="CW585" s="228"/>
      <c r="CX585" s="228"/>
      <c r="CY585" s="228"/>
      <c r="CZ585" s="228"/>
      <c r="DA585" s="228"/>
      <c r="DB585" s="228"/>
    </row>
    <row r="586" ht="12.0" customHeight="1">
      <c r="A586" s="228"/>
      <c r="B586" s="228"/>
      <c r="C586" s="228"/>
      <c r="D586" s="228"/>
      <c r="E586" s="228"/>
      <c r="F586" s="228"/>
      <c r="G586" s="228"/>
      <c r="H586" s="228"/>
      <c r="I586" s="228"/>
      <c r="J586" s="228"/>
      <c r="K586" s="228"/>
      <c r="L586" s="228"/>
      <c r="M586" s="228"/>
      <c r="N586" s="228"/>
      <c r="O586" s="228"/>
      <c r="P586" s="228"/>
      <c r="Q586" s="228"/>
      <c r="R586" s="228"/>
      <c r="S586" s="228"/>
      <c r="T586" s="228"/>
      <c r="U586" s="228"/>
      <c r="V586" s="228"/>
      <c r="W586" s="228"/>
      <c r="X586" s="228"/>
      <c r="Y586" s="228"/>
      <c r="Z586" s="228"/>
      <c r="AA586" s="228"/>
      <c r="AB586" s="228"/>
      <c r="AC586" s="228"/>
      <c r="AD586" s="228"/>
      <c r="AE586" s="228"/>
      <c r="AF586" s="228"/>
      <c r="AG586" s="228"/>
      <c r="AH586" s="228"/>
      <c r="AI586" s="228"/>
      <c r="AJ586" s="228"/>
      <c r="AK586" s="228"/>
      <c r="AL586" s="228"/>
      <c r="AM586" s="228"/>
      <c r="AN586" s="228"/>
      <c r="AO586" s="228"/>
      <c r="AP586" s="228"/>
      <c r="AQ586" s="228"/>
      <c r="AR586" s="228"/>
      <c r="AS586" s="228"/>
      <c r="AT586" s="228"/>
      <c r="AU586" s="228"/>
      <c r="AV586" s="228"/>
      <c r="AW586" s="228"/>
      <c r="AX586" s="228"/>
      <c r="AY586" s="228"/>
      <c r="AZ586" s="228"/>
      <c r="BA586" s="228"/>
      <c r="BB586" s="228"/>
      <c r="BC586" s="228"/>
      <c r="BD586" s="228"/>
      <c r="BE586" s="228"/>
      <c r="BF586" s="228"/>
      <c r="BG586" s="228"/>
      <c r="BH586" s="228"/>
      <c r="BI586" s="228"/>
      <c r="BJ586" s="228"/>
      <c r="BK586" s="228"/>
      <c r="BL586" s="228"/>
      <c r="BM586" s="228"/>
      <c r="BN586" s="228"/>
      <c r="BO586" s="228"/>
      <c r="BP586" s="228"/>
      <c r="BQ586" s="228"/>
      <c r="BR586" s="228"/>
      <c r="BS586" s="228"/>
      <c r="BT586" s="228"/>
      <c r="BU586" s="228"/>
      <c r="BV586" s="228"/>
      <c r="BW586" s="228"/>
      <c r="BX586" s="228"/>
      <c r="BY586" s="228"/>
      <c r="BZ586" s="228"/>
      <c r="CA586" s="228"/>
      <c r="CB586" s="228"/>
      <c r="CC586" s="228"/>
      <c r="CD586" s="228"/>
      <c r="CE586" s="228"/>
      <c r="CF586" s="228"/>
      <c r="CG586" s="228"/>
      <c r="CH586" s="228"/>
      <c r="CI586" s="228"/>
      <c r="CJ586" s="228"/>
      <c r="CK586" s="228"/>
      <c r="CL586" s="228"/>
      <c r="CM586" s="228"/>
      <c r="CN586" s="228"/>
      <c r="CO586" s="228"/>
      <c r="CP586" s="228"/>
      <c r="CQ586" s="228"/>
      <c r="CR586" s="228"/>
      <c r="CS586" s="228"/>
      <c r="CT586" s="228"/>
      <c r="CU586" s="228"/>
      <c r="CV586" s="228"/>
      <c r="CW586" s="228"/>
      <c r="CX586" s="228"/>
      <c r="CY586" s="228"/>
      <c r="CZ586" s="228"/>
      <c r="DA586" s="228"/>
      <c r="DB586" s="228"/>
    </row>
    <row r="587" ht="12.0" customHeight="1">
      <c r="A587" s="228"/>
      <c r="B587" s="228"/>
      <c r="C587" s="228"/>
      <c r="D587" s="228"/>
      <c r="E587" s="228"/>
      <c r="F587" s="228"/>
      <c r="G587" s="228"/>
      <c r="H587" s="228"/>
      <c r="I587" s="228"/>
      <c r="J587" s="228"/>
      <c r="K587" s="228"/>
      <c r="L587" s="228"/>
      <c r="M587" s="228"/>
      <c r="N587" s="228"/>
      <c r="O587" s="228"/>
      <c r="P587" s="228"/>
      <c r="Q587" s="228"/>
      <c r="R587" s="228"/>
      <c r="S587" s="228"/>
      <c r="T587" s="228"/>
      <c r="U587" s="228"/>
      <c r="V587" s="228"/>
      <c r="W587" s="228"/>
      <c r="X587" s="228"/>
      <c r="Y587" s="228"/>
      <c r="Z587" s="228"/>
      <c r="AA587" s="228"/>
      <c r="AB587" s="228"/>
      <c r="AC587" s="228"/>
      <c r="AD587" s="228"/>
      <c r="AE587" s="228"/>
      <c r="AF587" s="228"/>
      <c r="AG587" s="228"/>
      <c r="AH587" s="228"/>
      <c r="AI587" s="228"/>
      <c r="AJ587" s="228"/>
      <c r="AK587" s="228"/>
      <c r="AL587" s="228"/>
      <c r="AM587" s="228"/>
      <c r="AN587" s="228"/>
      <c r="AO587" s="228"/>
      <c r="AP587" s="228"/>
      <c r="AQ587" s="228"/>
      <c r="AR587" s="228"/>
      <c r="AS587" s="228"/>
      <c r="AT587" s="228"/>
      <c r="AU587" s="228"/>
      <c r="AV587" s="228"/>
      <c r="AW587" s="228"/>
      <c r="AX587" s="228"/>
      <c r="AY587" s="228"/>
      <c r="AZ587" s="228"/>
      <c r="BA587" s="228"/>
      <c r="BB587" s="228"/>
      <c r="BC587" s="228"/>
      <c r="BD587" s="228"/>
      <c r="BE587" s="228"/>
      <c r="BF587" s="228"/>
      <c r="BG587" s="228"/>
      <c r="BH587" s="228"/>
      <c r="BI587" s="228"/>
      <c r="BJ587" s="228"/>
      <c r="BK587" s="228"/>
      <c r="BL587" s="228"/>
      <c r="BM587" s="228"/>
      <c r="BN587" s="228"/>
      <c r="BO587" s="228"/>
      <c r="BP587" s="228"/>
      <c r="BQ587" s="228"/>
      <c r="BR587" s="228"/>
      <c r="BS587" s="228"/>
      <c r="BT587" s="228"/>
      <c r="BU587" s="228"/>
      <c r="BV587" s="228"/>
      <c r="BW587" s="228"/>
      <c r="BX587" s="228"/>
      <c r="BY587" s="228"/>
      <c r="BZ587" s="228"/>
      <c r="CA587" s="228"/>
      <c r="CB587" s="228"/>
      <c r="CC587" s="228"/>
      <c r="CD587" s="228"/>
      <c r="CE587" s="228"/>
      <c r="CF587" s="228"/>
      <c r="CG587" s="228"/>
      <c r="CH587" s="228"/>
      <c r="CI587" s="228"/>
      <c r="CJ587" s="228"/>
      <c r="CK587" s="228"/>
      <c r="CL587" s="228"/>
      <c r="CM587" s="228"/>
      <c r="CN587" s="228"/>
      <c r="CO587" s="228"/>
      <c r="CP587" s="228"/>
      <c r="CQ587" s="228"/>
      <c r="CR587" s="228"/>
      <c r="CS587" s="228"/>
      <c r="CT587" s="228"/>
      <c r="CU587" s="228"/>
      <c r="CV587" s="228"/>
      <c r="CW587" s="228"/>
      <c r="CX587" s="228"/>
      <c r="CY587" s="228"/>
      <c r="CZ587" s="228"/>
      <c r="DA587" s="228"/>
      <c r="DB587" s="228"/>
    </row>
    <row r="588" ht="12.0" customHeight="1">
      <c r="A588" s="228"/>
      <c r="B588" s="228"/>
      <c r="C588" s="228"/>
      <c r="D588" s="228"/>
      <c r="E588" s="228"/>
      <c r="F588" s="228"/>
      <c r="G588" s="228"/>
      <c r="H588" s="228"/>
      <c r="I588" s="228"/>
      <c r="J588" s="228"/>
      <c r="K588" s="228"/>
      <c r="L588" s="228"/>
      <c r="M588" s="228"/>
      <c r="N588" s="228"/>
      <c r="O588" s="228"/>
      <c r="P588" s="228"/>
      <c r="Q588" s="228"/>
      <c r="R588" s="228"/>
      <c r="S588" s="228"/>
      <c r="T588" s="228"/>
      <c r="U588" s="228"/>
      <c r="V588" s="228"/>
      <c r="W588" s="228"/>
      <c r="X588" s="228"/>
      <c r="Y588" s="228"/>
      <c r="Z588" s="228"/>
      <c r="AA588" s="228"/>
      <c r="AB588" s="228"/>
      <c r="AC588" s="228"/>
      <c r="AD588" s="228"/>
      <c r="AE588" s="228"/>
      <c r="AF588" s="228"/>
      <c r="AG588" s="228"/>
      <c r="AH588" s="228"/>
      <c r="AI588" s="228"/>
      <c r="AJ588" s="228"/>
      <c r="AK588" s="228"/>
      <c r="AL588" s="228"/>
      <c r="AM588" s="228"/>
      <c r="AN588" s="228"/>
      <c r="AO588" s="228"/>
      <c r="AP588" s="228"/>
      <c r="AQ588" s="228"/>
      <c r="AR588" s="228"/>
      <c r="AS588" s="228"/>
      <c r="AT588" s="228"/>
      <c r="AU588" s="228"/>
      <c r="AV588" s="228"/>
      <c r="AW588" s="228"/>
      <c r="AX588" s="228"/>
      <c r="AY588" s="228"/>
      <c r="AZ588" s="228"/>
      <c r="BA588" s="228"/>
      <c r="BB588" s="228"/>
      <c r="BC588" s="228"/>
      <c r="BD588" s="228"/>
      <c r="BE588" s="228"/>
      <c r="BF588" s="228"/>
      <c r="BG588" s="228"/>
      <c r="BH588" s="228"/>
      <c r="BI588" s="228"/>
      <c r="BJ588" s="228"/>
      <c r="BK588" s="228"/>
      <c r="BL588" s="228"/>
      <c r="BM588" s="228"/>
      <c r="BN588" s="228"/>
      <c r="BO588" s="228"/>
      <c r="BP588" s="228"/>
      <c r="BQ588" s="228"/>
      <c r="BR588" s="228"/>
      <c r="BS588" s="228"/>
      <c r="BT588" s="228"/>
      <c r="BU588" s="228"/>
      <c r="BV588" s="228"/>
      <c r="BW588" s="228"/>
      <c r="BX588" s="228"/>
      <c r="BY588" s="228"/>
      <c r="BZ588" s="228"/>
      <c r="CA588" s="228"/>
      <c r="CB588" s="228"/>
      <c r="CC588" s="228"/>
      <c r="CD588" s="228"/>
      <c r="CE588" s="228"/>
      <c r="CF588" s="228"/>
      <c r="CG588" s="228"/>
      <c r="CH588" s="228"/>
      <c r="CI588" s="228"/>
      <c r="CJ588" s="228"/>
      <c r="CK588" s="228"/>
      <c r="CL588" s="228"/>
      <c r="CM588" s="228"/>
      <c r="CN588" s="228"/>
      <c r="CO588" s="228"/>
      <c r="CP588" s="228"/>
      <c r="CQ588" s="228"/>
      <c r="CR588" s="228"/>
      <c r="CS588" s="228"/>
      <c r="CT588" s="228"/>
      <c r="CU588" s="228"/>
      <c r="CV588" s="228"/>
      <c r="CW588" s="228"/>
      <c r="CX588" s="228"/>
      <c r="CY588" s="228"/>
      <c r="CZ588" s="228"/>
      <c r="DA588" s="228"/>
      <c r="DB588" s="228"/>
    </row>
    <row r="589" ht="12.0" customHeight="1">
      <c r="A589" s="228"/>
      <c r="B589" s="228"/>
      <c r="C589" s="228"/>
      <c r="D589" s="228"/>
      <c r="E589" s="228"/>
      <c r="F589" s="228"/>
      <c r="G589" s="228"/>
      <c r="H589" s="228"/>
      <c r="I589" s="228"/>
      <c r="J589" s="228"/>
      <c r="K589" s="228"/>
      <c r="L589" s="228"/>
      <c r="M589" s="228"/>
      <c r="N589" s="228"/>
      <c r="O589" s="228"/>
      <c r="P589" s="228"/>
      <c r="Q589" s="228"/>
      <c r="R589" s="228"/>
      <c r="S589" s="228"/>
      <c r="T589" s="228"/>
      <c r="U589" s="228"/>
      <c r="V589" s="228"/>
      <c r="W589" s="228"/>
      <c r="X589" s="228"/>
      <c r="Y589" s="228"/>
      <c r="Z589" s="228"/>
      <c r="AA589" s="228"/>
      <c r="AB589" s="228"/>
      <c r="AC589" s="228"/>
      <c r="AD589" s="228"/>
      <c r="AE589" s="228"/>
      <c r="AF589" s="228"/>
      <c r="AG589" s="228"/>
      <c r="AH589" s="228"/>
      <c r="AI589" s="228"/>
      <c r="AJ589" s="228"/>
      <c r="AK589" s="228"/>
      <c r="AL589" s="228"/>
      <c r="AM589" s="228"/>
      <c r="AN589" s="228"/>
      <c r="AO589" s="228"/>
      <c r="AP589" s="228"/>
      <c r="AQ589" s="228"/>
      <c r="AR589" s="228"/>
      <c r="AS589" s="228"/>
      <c r="AT589" s="228"/>
      <c r="AU589" s="228"/>
      <c r="AV589" s="228"/>
      <c r="AW589" s="228"/>
      <c r="AX589" s="228"/>
      <c r="AY589" s="228"/>
      <c r="AZ589" s="228"/>
      <c r="BA589" s="228"/>
      <c r="BB589" s="228"/>
      <c r="BC589" s="228"/>
      <c r="BD589" s="228"/>
      <c r="BE589" s="228"/>
      <c r="BF589" s="228"/>
      <c r="BG589" s="228"/>
      <c r="BH589" s="228"/>
      <c r="BI589" s="228"/>
      <c r="BJ589" s="228"/>
      <c r="BK589" s="228"/>
      <c r="BL589" s="228"/>
      <c r="BM589" s="228"/>
      <c r="BN589" s="228"/>
      <c r="BO589" s="228"/>
      <c r="BP589" s="228"/>
      <c r="BQ589" s="228"/>
      <c r="BR589" s="228"/>
      <c r="BS589" s="228"/>
      <c r="BT589" s="228"/>
      <c r="BU589" s="228"/>
      <c r="BV589" s="228"/>
      <c r="BW589" s="228"/>
      <c r="BX589" s="228"/>
      <c r="BY589" s="228"/>
      <c r="BZ589" s="228"/>
      <c r="CA589" s="228"/>
      <c r="CB589" s="228"/>
      <c r="CC589" s="228"/>
      <c r="CD589" s="228"/>
      <c r="CE589" s="228"/>
      <c r="CF589" s="228"/>
      <c r="CG589" s="228"/>
      <c r="CH589" s="228"/>
      <c r="CI589" s="228"/>
      <c r="CJ589" s="228"/>
      <c r="CK589" s="228"/>
      <c r="CL589" s="228"/>
      <c r="CM589" s="228"/>
      <c r="CN589" s="228"/>
      <c r="CO589" s="228"/>
      <c r="CP589" s="228"/>
      <c r="CQ589" s="228"/>
      <c r="CR589" s="228"/>
      <c r="CS589" s="228"/>
      <c r="CT589" s="228"/>
      <c r="CU589" s="228"/>
      <c r="CV589" s="228"/>
      <c r="CW589" s="228"/>
      <c r="CX589" s="228"/>
      <c r="CY589" s="228"/>
      <c r="CZ589" s="228"/>
      <c r="DA589" s="228"/>
      <c r="DB589" s="228"/>
    </row>
    <row r="590" ht="12.0" customHeight="1">
      <c r="A590" s="228"/>
      <c r="B590" s="228"/>
      <c r="C590" s="228"/>
      <c r="D590" s="228"/>
      <c r="E590" s="228"/>
      <c r="F590" s="228"/>
      <c r="G590" s="228"/>
      <c r="H590" s="228"/>
      <c r="I590" s="228"/>
      <c r="J590" s="228"/>
      <c r="K590" s="228"/>
      <c r="L590" s="228"/>
      <c r="M590" s="228"/>
      <c r="N590" s="228"/>
      <c r="O590" s="228"/>
      <c r="P590" s="228"/>
      <c r="Q590" s="228"/>
      <c r="R590" s="228"/>
      <c r="S590" s="228"/>
      <c r="T590" s="228"/>
      <c r="U590" s="228"/>
      <c r="V590" s="228"/>
      <c r="W590" s="228"/>
      <c r="X590" s="228"/>
      <c r="Y590" s="228"/>
      <c r="Z590" s="228"/>
      <c r="AA590" s="228"/>
      <c r="AB590" s="228"/>
      <c r="AC590" s="228"/>
      <c r="AD590" s="228"/>
      <c r="AE590" s="228"/>
      <c r="AF590" s="228"/>
      <c r="AG590" s="228"/>
      <c r="AH590" s="228"/>
      <c r="AI590" s="228"/>
      <c r="AJ590" s="228"/>
      <c r="AK590" s="228"/>
      <c r="AL590" s="228"/>
      <c r="AM590" s="228"/>
      <c r="AN590" s="228"/>
      <c r="AO590" s="228"/>
      <c r="AP590" s="228"/>
      <c r="AQ590" s="228"/>
      <c r="AR590" s="228"/>
      <c r="AS590" s="228"/>
      <c r="AT590" s="228"/>
      <c r="AU590" s="228"/>
      <c r="AV590" s="228"/>
      <c r="AW590" s="228"/>
      <c r="AX590" s="228"/>
      <c r="AY590" s="228"/>
      <c r="AZ590" s="228"/>
      <c r="BA590" s="228"/>
      <c r="BB590" s="228"/>
      <c r="BC590" s="228"/>
      <c r="BD590" s="228"/>
      <c r="BE590" s="228"/>
      <c r="BF590" s="228"/>
      <c r="BG590" s="228"/>
      <c r="BH590" s="228"/>
      <c r="BI590" s="228"/>
      <c r="BJ590" s="228"/>
      <c r="BK590" s="228"/>
      <c r="BL590" s="228"/>
      <c r="BM590" s="228"/>
      <c r="BN590" s="228"/>
      <c r="BO590" s="228"/>
      <c r="BP590" s="228"/>
      <c r="BQ590" s="228"/>
      <c r="BR590" s="228"/>
      <c r="BS590" s="228"/>
      <c r="BT590" s="228"/>
      <c r="BU590" s="228"/>
      <c r="BV590" s="228"/>
      <c r="BW590" s="228"/>
      <c r="BX590" s="228"/>
      <c r="BY590" s="228"/>
      <c r="BZ590" s="228"/>
      <c r="CA590" s="228"/>
      <c r="CB590" s="228"/>
      <c r="CC590" s="228"/>
      <c r="CD590" s="228"/>
      <c r="CE590" s="228"/>
      <c r="CF590" s="228"/>
      <c r="CG590" s="228"/>
      <c r="CH590" s="228"/>
      <c r="CI590" s="228"/>
      <c r="CJ590" s="228"/>
      <c r="CK590" s="228"/>
      <c r="CL590" s="228"/>
      <c r="CM590" s="228"/>
      <c r="CN590" s="228"/>
      <c r="CO590" s="228"/>
      <c r="CP590" s="228"/>
      <c r="CQ590" s="228"/>
      <c r="CR590" s="228"/>
      <c r="CS590" s="228"/>
      <c r="CT590" s="228"/>
      <c r="CU590" s="228"/>
      <c r="CV590" s="228"/>
      <c r="CW590" s="228"/>
      <c r="CX590" s="228"/>
      <c r="CY590" s="228"/>
      <c r="CZ590" s="228"/>
      <c r="DA590" s="228"/>
      <c r="DB590" s="228"/>
    </row>
    <row r="591" ht="12.0" customHeight="1">
      <c r="A591" s="228"/>
      <c r="B591" s="228"/>
      <c r="C591" s="228"/>
      <c r="D591" s="228"/>
      <c r="E591" s="228"/>
      <c r="F591" s="228"/>
      <c r="G591" s="228"/>
      <c r="H591" s="228"/>
      <c r="I591" s="228"/>
      <c r="J591" s="228"/>
      <c r="K591" s="228"/>
      <c r="L591" s="228"/>
      <c r="M591" s="228"/>
      <c r="N591" s="228"/>
      <c r="O591" s="228"/>
      <c r="P591" s="228"/>
      <c r="Q591" s="228"/>
      <c r="R591" s="228"/>
      <c r="S591" s="228"/>
      <c r="T591" s="228"/>
      <c r="U591" s="228"/>
      <c r="V591" s="228"/>
      <c r="W591" s="228"/>
      <c r="X591" s="228"/>
      <c r="Y591" s="228"/>
      <c r="Z591" s="228"/>
      <c r="AA591" s="228"/>
      <c r="AB591" s="228"/>
      <c r="AC591" s="228"/>
      <c r="AD591" s="228"/>
      <c r="AE591" s="228"/>
      <c r="AF591" s="228"/>
      <c r="AG591" s="228"/>
      <c r="AH591" s="228"/>
      <c r="AI591" s="228"/>
      <c r="AJ591" s="228"/>
      <c r="AK591" s="228"/>
      <c r="AL591" s="228"/>
      <c r="AM591" s="228"/>
      <c r="AN591" s="228"/>
      <c r="AO591" s="228"/>
      <c r="AP591" s="228"/>
      <c r="AQ591" s="228"/>
      <c r="AR591" s="228"/>
      <c r="AS591" s="228"/>
      <c r="AT591" s="228"/>
      <c r="AU591" s="228"/>
      <c r="AV591" s="228"/>
      <c r="AW591" s="228"/>
      <c r="AX591" s="228"/>
      <c r="AY591" s="228"/>
      <c r="AZ591" s="228"/>
      <c r="BA591" s="228"/>
      <c r="BB591" s="228"/>
      <c r="BC591" s="228"/>
      <c r="BD591" s="228"/>
      <c r="BE591" s="228"/>
      <c r="BF591" s="228"/>
      <c r="BG591" s="228"/>
      <c r="BH591" s="228"/>
      <c r="BI591" s="228"/>
      <c r="BJ591" s="228"/>
      <c r="BK591" s="228"/>
      <c r="BL591" s="228"/>
      <c r="BM591" s="228"/>
      <c r="BN591" s="228"/>
      <c r="BO591" s="228"/>
      <c r="BP591" s="228"/>
      <c r="BQ591" s="228"/>
      <c r="BR591" s="228"/>
      <c r="BS591" s="228"/>
      <c r="BT591" s="228"/>
      <c r="BU591" s="228"/>
      <c r="BV591" s="228"/>
      <c r="BW591" s="228"/>
      <c r="BX591" s="228"/>
      <c r="BY591" s="228"/>
      <c r="BZ591" s="228"/>
      <c r="CA591" s="228"/>
      <c r="CB591" s="228"/>
      <c r="CC591" s="228"/>
      <c r="CD591" s="228"/>
      <c r="CE591" s="228"/>
      <c r="CF591" s="228"/>
      <c r="CG591" s="228"/>
      <c r="CH591" s="228"/>
      <c r="CI591" s="228"/>
      <c r="CJ591" s="228"/>
      <c r="CK591" s="228"/>
      <c r="CL591" s="228"/>
      <c r="CM591" s="228"/>
      <c r="CN591" s="228"/>
      <c r="CO591" s="228"/>
      <c r="CP591" s="228"/>
      <c r="CQ591" s="228"/>
      <c r="CR591" s="228"/>
      <c r="CS591" s="228"/>
      <c r="CT591" s="228"/>
      <c r="CU591" s="228"/>
      <c r="CV591" s="228"/>
      <c r="CW591" s="228"/>
      <c r="CX591" s="228"/>
      <c r="CY591" s="228"/>
      <c r="CZ591" s="228"/>
      <c r="DA591" s="228"/>
      <c r="DB591" s="228"/>
    </row>
    <row r="592" ht="12.0" customHeight="1">
      <c r="A592" s="228"/>
      <c r="B592" s="228"/>
      <c r="C592" s="228"/>
      <c r="D592" s="228"/>
      <c r="E592" s="228"/>
      <c r="F592" s="228"/>
      <c r="G592" s="228"/>
      <c r="H592" s="228"/>
      <c r="I592" s="228"/>
      <c r="J592" s="228"/>
      <c r="K592" s="228"/>
      <c r="L592" s="228"/>
      <c r="M592" s="228"/>
      <c r="N592" s="228"/>
      <c r="O592" s="228"/>
      <c r="P592" s="228"/>
      <c r="Q592" s="228"/>
      <c r="R592" s="228"/>
      <c r="S592" s="228"/>
      <c r="T592" s="228"/>
      <c r="U592" s="228"/>
      <c r="V592" s="228"/>
      <c r="W592" s="228"/>
      <c r="X592" s="228"/>
      <c r="Y592" s="228"/>
      <c r="Z592" s="228"/>
      <c r="AA592" s="228"/>
      <c r="AB592" s="228"/>
      <c r="AC592" s="228"/>
      <c r="AD592" s="228"/>
      <c r="AE592" s="228"/>
      <c r="AF592" s="228"/>
      <c r="AG592" s="228"/>
      <c r="AH592" s="228"/>
      <c r="AI592" s="228"/>
      <c r="AJ592" s="228"/>
      <c r="AK592" s="228"/>
      <c r="AL592" s="228"/>
      <c r="AM592" s="228"/>
      <c r="AN592" s="228"/>
      <c r="AO592" s="228"/>
      <c r="AP592" s="228"/>
      <c r="AQ592" s="228"/>
      <c r="AR592" s="228"/>
      <c r="AS592" s="228"/>
      <c r="AT592" s="228"/>
      <c r="AU592" s="228"/>
      <c r="AV592" s="228"/>
      <c r="AW592" s="228"/>
      <c r="AX592" s="228"/>
      <c r="AY592" s="228"/>
      <c r="AZ592" s="228"/>
      <c r="BA592" s="228"/>
      <c r="BB592" s="228"/>
      <c r="BC592" s="228"/>
      <c r="BD592" s="228"/>
      <c r="BE592" s="228"/>
      <c r="BF592" s="228"/>
      <c r="BG592" s="228"/>
      <c r="BH592" s="228"/>
      <c r="BI592" s="228"/>
      <c r="BJ592" s="228"/>
      <c r="BK592" s="228"/>
      <c r="BL592" s="228"/>
      <c r="BM592" s="228"/>
      <c r="BN592" s="228"/>
      <c r="BO592" s="228"/>
      <c r="BP592" s="228"/>
      <c r="BQ592" s="228"/>
      <c r="BR592" s="228"/>
      <c r="BS592" s="228"/>
      <c r="BT592" s="228"/>
      <c r="BU592" s="228"/>
      <c r="BV592" s="228"/>
      <c r="BW592" s="228"/>
      <c r="BX592" s="228"/>
      <c r="BY592" s="228"/>
      <c r="BZ592" s="228"/>
      <c r="CA592" s="228"/>
      <c r="CB592" s="228"/>
      <c r="CC592" s="228"/>
      <c r="CD592" s="228"/>
      <c r="CE592" s="228"/>
      <c r="CF592" s="228"/>
      <c r="CG592" s="228"/>
      <c r="CH592" s="228"/>
      <c r="CI592" s="228"/>
      <c r="CJ592" s="228"/>
      <c r="CK592" s="228"/>
      <c r="CL592" s="228"/>
      <c r="CM592" s="228"/>
      <c r="CN592" s="228"/>
      <c r="CO592" s="228"/>
      <c r="CP592" s="228"/>
      <c r="CQ592" s="228"/>
      <c r="CR592" s="228"/>
      <c r="CS592" s="228"/>
      <c r="CT592" s="228"/>
      <c r="CU592" s="228"/>
      <c r="CV592" s="228"/>
      <c r="CW592" s="228"/>
      <c r="CX592" s="228"/>
      <c r="CY592" s="228"/>
      <c r="CZ592" s="228"/>
      <c r="DA592" s="228"/>
      <c r="DB592" s="228"/>
    </row>
    <row r="593" ht="12.0" customHeight="1">
      <c r="A593" s="228"/>
      <c r="B593" s="228"/>
      <c r="C593" s="228"/>
      <c r="D593" s="228"/>
      <c r="E593" s="228"/>
      <c r="F593" s="228"/>
      <c r="G593" s="228"/>
      <c r="H593" s="228"/>
      <c r="I593" s="228"/>
      <c r="J593" s="228"/>
      <c r="K593" s="228"/>
      <c r="L593" s="228"/>
      <c r="M593" s="228"/>
      <c r="N593" s="228"/>
      <c r="O593" s="228"/>
      <c r="P593" s="228"/>
      <c r="Q593" s="228"/>
      <c r="R593" s="228"/>
      <c r="S593" s="228"/>
      <c r="T593" s="228"/>
      <c r="U593" s="228"/>
      <c r="V593" s="228"/>
      <c r="W593" s="228"/>
      <c r="X593" s="228"/>
      <c r="Y593" s="228"/>
      <c r="Z593" s="228"/>
      <c r="AA593" s="228"/>
      <c r="AB593" s="228"/>
      <c r="AC593" s="228"/>
      <c r="AD593" s="228"/>
      <c r="AE593" s="228"/>
      <c r="AF593" s="228"/>
      <c r="AG593" s="228"/>
      <c r="AH593" s="228"/>
      <c r="AI593" s="228"/>
      <c r="AJ593" s="228"/>
      <c r="AK593" s="228"/>
      <c r="AL593" s="228"/>
      <c r="AM593" s="228"/>
      <c r="AN593" s="228"/>
      <c r="AO593" s="228"/>
      <c r="AP593" s="228"/>
      <c r="AQ593" s="228"/>
      <c r="AR593" s="228"/>
      <c r="AS593" s="228"/>
      <c r="AT593" s="228"/>
      <c r="AU593" s="228"/>
      <c r="AV593" s="228"/>
      <c r="AW593" s="228"/>
      <c r="AX593" s="228"/>
      <c r="AY593" s="228"/>
      <c r="AZ593" s="228"/>
      <c r="BA593" s="228"/>
      <c r="BB593" s="228"/>
      <c r="BC593" s="228"/>
      <c r="BD593" s="228"/>
      <c r="BE593" s="228"/>
      <c r="BF593" s="228"/>
      <c r="BG593" s="228"/>
      <c r="BH593" s="228"/>
      <c r="BI593" s="228"/>
      <c r="BJ593" s="228"/>
      <c r="BK593" s="228"/>
      <c r="BL593" s="228"/>
      <c r="BM593" s="228"/>
      <c r="BN593" s="228"/>
      <c r="BO593" s="228"/>
      <c r="BP593" s="228"/>
      <c r="BQ593" s="228"/>
      <c r="BR593" s="228"/>
      <c r="BS593" s="228"/>
      <c r="BT593" s="228"/>
      <c r="BU593" s="228"/>
      <c r="BV593" s="228"/>
      <c r="BW593" s="228"/>
      <c r="BX593" s="228"/>
      <c r="BY593" s="228"/>
      <c r="BZ593" s="228"/>
      <c r="CA593" s="228"/>
      <c r="CB593" s="228"/>
      <c r="CC593" s="228"/>
      <c r="CD593" s="228"/>
      <c r="CE593" s="228"/>
      <c r="CF593" s="228"/>
      <c r="CG593" s="228"/>
      <c r="CH593" s="228"/>
      <c r="CI593" s="228"/>
      <c r="CJ593" s="228"/>
      <c r="CK593" s="228"/>
      <c r="CL593" s="228"/>
      <c r="CM593" s="228"/>
      <c r="CN593" s="228"/>
      <c r="CO593" s="228"/>
      <c r="CP593" s="228"/>
      <c r="CQ593" s="228"/>
      <c r="CR593" s="228"/>
      <c r="CS593" s="228"/>
      <c r="CT593" s="228"/>
      <c r="CU593" s="228"/>
      <c r="CV593" s="228"/>
      <c r="CW593" s="228"/>
      <c r="CX593" s="228"/>
      <c r="CY593" s="228"/>
      <c r="CZ593" s="228"/>
      <c r="DA593" s="228"/>
      <c r="DB593" s="228"/>
    </row>
    <row r="594" ht="12.0" customHeight="1">
      <c r="A594" s="228"/>
      <c r="B594" s="228"/>
      <c r="C594" s="228"/>
      <c r="D594" s="228"/>
      <c r="E594" s="228"/>
      <c r="F594" s="228"/>
      <c r="G594" s="228"/>
      <c r="H594" s="228"/>
      <c r="I594" s="228"/>
      <c r="J594" s="228"/>
      <c r="K594" s="228"/>
      <c r="L594" s="228"/>
      <c r="M594" s="228"/>
      <c r="N594" s="228"/>
      <c r="O594" s="228"/>
      <c r="P594" s="228"/>
      <c r="Q594" s="228"/>
      <c r="R594" s="228"/>
      <c r="S594" s="228"/>
      <c r="T594" s="228"/>
      <c r="U594" s="228"/>
      <c r="V594" s="228"/>
      <c r="W594" s="228"/>
      <c r="X594" s="228"/>
      <c r="Y594" s="228"/>
      <c r="Z594" s="228"/>
      <c r="AA594" s="228"/>
      <c r="AB594" s="228"/>
      <c r="AC594" s="228"/>
      <c r="AD594" s="228"/>
      <c r="AE594" s="228"/>
      <c r="AF594" s="228"/>
      <c r="AG594" s="228"/>
      <c r="AH594" s="228"/>
      <c r="AI594" s="228"/>
      <c r="AJ594" s="228"/>
      <c r="AK594" s="228"/>
      <c r="AL594" s="228"/>
      <c r="AM594" s="228"/>
      <c r="AN594" s="228"/>
      <c r="AO594" s="228"/>
      <c r="AP594" s="228"/>
      <c r="AQ594" s="228"/>
      <c r="AR594" s="228"/>
      <c r="AS594" s="228"/>
      <c r="AT594" s="228"/>
      <c r="AU594" s="228"/>
      <c r="AV594" s="228"/>
      <c r="AW594" s="228"/>
      <c r="AX594" s="228"/>
      <c r="AY594" s="228"/>
      <c r="AZ594" s="228"/>
      <c r="BA594" s="228"/>
      <c r="BB594" s="228"/>
      <c r="BC594" s="228"/>
      <c r="BD594" s="228"/>
      <c r="BE594" s="228"/>
      <c r="BF594" s="228"/>
      <c r="BG594" s="228"/>
      <c r="BH594" s="228"/>
      <c r="BI594" s="228"/>
      <c r="BJ594" s="228"/>
      <c r="BK594" s="228"/>
      <c r="BL594" s="228"/>
      <c r="BM594" s="228"/>
      <c r="BN594" s="228"/>
      <c r="BO594" s="228"/>
      <c r="BP594" s="228"/>
      <c r="BQ594" s="228"/>
      <c r="BR594" s="228"/>
      <c r="BS594" s="228"/>
      <c r="BT594" s="228"/>
      <c r="BU594" s="228"/>
      <c r="BV594" s="228"/>
      <c r="BW594" s="228"/>
      <c r="BX594" s="228"/>
      <c r="BY594" s="228"/>
      <c r="BZ594" s="228"/>
      <c r="CA594" s="228"/>
      <c r="CB594" s="228"/>
      <c r="CC594" s="228"/>
      <c r="CD594" s="228"/>
      <c r="CE594" s="228"/>
      <c r="CF594" s="228"/>
      <c r="CG594" s="228"/>
      <c r="CH594" s="228"/>
      <c r="CI594" s="228"/>
      <c r="CJ594" s="228"/>
      <c r="CK594" s="228"/>
      <c r="CL594" s="228"/>
      <c r="CM594" s="228"/>
      <c r="CN594" s="228"/>
      <c r="CO594" s="228"/>
      <c r="CP594" s="228"/>
      <c r="CQ594" s="228"/>
      <c r="CR594" s="228"/>
      <c r="CS594" s="228"/>
      <c r="CT594" s="228"/>
      <c r="CU594" s="228"/>
      <c r="CV594" s="228"/>
      <c r="CW594" s="228"/>
      <c r="CX594" s="228"/>
      <c r="CY594" s="228"/>
      <c r="CZ594" s="228"/>
      <c r="DA594" s="228"/>
      <c r="DB594" s="228"/>
    </row>
    <row r="595" ht="12.0" customHeight="1">
      <c r="A595" s="228"/>
      <c r="B595" s="228"/>
      <c r="C595" s="228"/>
      <c r="D595" s="228"/>
      <c r="E595" s="228"/>
      <c r="F595" s="228"/>
      <c r="G595" s="228"/>
      <c r="H595" s="228"/>
      <c r="I595" s="228"/>
      <c r="J595" s="228"/>
      <c r="K595" s="228"/>
      <c r="L595" s="228"/>
      <c r="M595" s="228"/>
      <c r="N595" s="228"/>
      <c r="O595" s="228"/>
      <c r="P595" s="228"/>
      <c r="Q595" s="228"/>
      <c r="R595" s="228"/>
      <c r="S595" s="228"/>
      <c r="T595" s="228"/>
      <c r="U595" s="228"/>
      <c r="V595" s="228"/>
      <c r="W595" s="228"/>
      <c r="X595" s="228"/>
      <c r="Y595" s="228"/>
      <c r="Z595" s="228"/>
      <c r="AA595" s="228"/>
      <c r="AB595" s="228"/>
      <c r="AC595" s="228"/>
      <c r="AD595" s="228"/>
      <c r="AE595" s="228"/>
      <c r="AF595" s="228"/>
      <c r="AG595" s="228"/>
      <c r="AH595" s="228"/>
      <c r="AI595" s="228"/>
      <c r="AJ595" s="228"/>
      <c r="AK595" s="228"/>
      <c r="AL595" s="228"/>
      <c r="AM595" s="228"/>
      <c r="AN595" s="228"/>
      <c r="AO595" s="228"/>
      <c r="AP595" s="228"/>
      <c r="AQ595" s="228"/>
      <c r="AR595" s="228"/>
      <c r="AS595" s="228"/>
      <c r="AT595" s="228"/>
      <c r="AU595" s="228"/>
      <c r="AV595" s="228"/>
      <c r="AW595" s="228"/>
      <c r="AX595" s="228"/>
      <c r="AY595" s="228"/>
      <c r="AZ595" s="228"/>
      <c r="BA595" s="228"/>
      <c r="BB595" s="228"/>
      <c r="BC595" s="228"/>
      <c r="BD595" s="228"/>
      <c r="BE595" s="228"/>
      <c r="BF595" s="228"/>
      <c r="BG595" s="228"/>
      <c r="BH595" s="228"/>
      <c r="BI595" s="228"/>
      <c r="BJ595" s="228"/>
      <c r="BK595" s="228"/>
      <c r="BL595" s="228"/>
      <c r="BM595" s="228"/>
      <c r="BN595" s="228"/>
      <c r="BO595" s="228"/>
      <c r="BP595" s="228"/>
      <c r="BQ595" s="228"/>
      <c r="BR595" s="228"/>
      <c r="BS595" s="228"/>
      <c r="BT595" s="228"/>
      <c r="BU595" s="228"/>
      <c r="BV595" s="228"/>
      <c r="BW595" s="228"/>
      <c r="BX595" s="228"/>
      <c r="BY595" s="228"/>
      <c r="BZ595" s="228"/>
      <c r="CA595" s="228"/>
      <c r="CB595" s="228"/>
      <c r="CC595" s="228"/>
      <c r="CD595" s="228"/>
      <c r="CE595" s="228"/>
      <c r="CF595" s="228"/>
      <c r="CG595" s="228"/>
      <c r="CH595" s="228"/>
      <c r="CI595" s="228"/>
      <c r="CJ595" s="228"/>
      <c r="CK595" s="228"/>
      <c r="CL595" s="228"/>
      <c r="CM595" s="228"/>
      <c r="CN595" s="228"/>
      <c r="CO595" s="228"/>
      <c r="CP595" s="228"/>
      <c r="CQ595" s="228"/>
      <c r="CR595" s="228"/>
      <c r="CS595" s="228"/>
      <c r="CT595" s="228"/>
      <c r="CU595" s="228"/>
      <c r="CV595" s="228"/>
      <c r="CW595" s="228"/>
      <c r="CX595" s="228"/>
      <c r="CY595" s="228"/>
      <c r="CZ595" s="228"/>
      <c r="DA595" s="228"/>
      <c r="DB595" s="228"/>
    </row>
    <row r="596" ht="12.0" customHeight="1">
      <c r="A596" s="228"/>
      <c r="B596" s="228"/>
      <c r="C596" s="228"/>
      <c r="D596" s="228"/>
      <c r="E596" s="228"/>
      <c r="F596" s="228"/>
      <c r="G596" s="228"/>
      <c r="H596" s="228"/>
      <c r="I596" s="228"/>
      <c r="J596" s="228"/>
      <c r="K596" s="228"/>
      <c r="L596" s="228"/>
      <c r="M596" s="228"/>
      <c r="N596" s="228"/>
      <c r="O596" s="228"/>
      <c r="P596" s="228"/>
      <c r="Q596" s="228"/>
      <c r="R596" s="228"/>
      <c r="S596" s="228"/>
      <c r="T596" s="228"/>
      <c r="U596" s="228"/>
      <c r="V596" s="228"/>
      <c r="W596" s="228"/>
      <c r="X596" s="228"/>
      <c r="Y596" s="228"/>
      <c r="Z596" s="228"/>
      <c r="AA596" s="228"/>
      <c r="AB596" s="228"/>
      <c r="AC596" s="228"/>
      <c r="AD596" s="228"/>
      <c r="AE596" s="228"/>
      <c r="AF596" s="228"/>
      <c r="AG596" s="228"/>
      <c r="AH596" s="228"/>
      <c r="AI596" s="228"/>
      <c r="AJ596" s="228"/>
      <c r="AK596" s="228"/>
      <c r="AL596" s="228"/>
      <c r="AM596" s="228"/>
      <c r="AN596" s="228"/>
      <c r="AO596" s="228"/>
      <c r="AP596" s="228"/>
      <c r="AQ596" s="228"/>
      <c r="AR596" s="228"/>
      <c r="AS596" s="228"/>
      <c r="AT596" s="228"/>
      <c r="AU596" s="228"/>
      <c r="AV596" s="228"/>
      <c r="AW596" s="228"/>
      <c r="AX596" s="228"/>
      <c r="AY596" s="228"/>
      <c r="AZ596" s="228"/>
      <c r="BA596" s="228"/>
      <c r="BB596" s="228"/>
      <c r="BC596" s="228"/>
      <c r="BD596" s="228"/>
      <c r="BE596" s="228"/>
      <c r="BF596" s="228"/>
      <c r="BG596" s="228"/>
      <c r="BH596" s="228"/>
      <c r="BI596" s="228"/>
      <c r="BJ596" s="228"/>
      <c r="BK596" s="228"/>
      <c r="BL596" s="228"/>
      <c r="BM596" s="228"/>
      <c r="BN596" s="228"/>
      <c r="BO596" s="228"/>
      <c r="BP596" s="228"/>
      <c r="BQ596" s="228"/>
      <c r="BR596" s="228"/>
      <c r="BS596" s="228"/>
      <c r="BT596" s="228"/>
      <c r="BU596" s="228"/>
      <c r="BV596" s="228"/>
      <c r="BW596" s="228"/>
      <c r="BX596" s="228"/>
      <c r="BY596" s="228"/>
      <c r="BZ596" s="228"/>
      <c r="CA596" s="228"/>
      <c r="CB596" s="228"/>
      <c r="CC596" s="228"/>
      <c r="CD596" s="228"/>
      <c r="CE596" s="228"/>
      <c r="CF596" s="228"/>
      <c r="CG596" s="228"/>
      <c r="CH596" s="228"/>
      <c r="CI596" s="228"/>
      <c r="CJ596" s="228"/>
      <c r="CK596" s="228"/>
      <c r="CL596" s="228"/>
      <c r="CM596" s="228"/>
      <c r="CN596" s="228"/>
      <c r="CO596" s="228"/>
      <c r="CP596" s="228"/>
      <c r="CQ596" s="228"/>
      <c r="CR596" s="228"/>
      <c r="CS596" s="228"/>
      <c r="CT596" s="228"/>
      <c r="CU596" s="228"/>
      <c r="CV596" s="228"/>
      <c r="CW596" s="228"/>
      <c r="CX596" s="228"/>
      <c r="CY596" s="228"/>
      <c r="CZ596" s="228"/>
      <c r="DA596" s="228"/>
      <c r="DB596" s="228"/>
    </row>
    <row r="597" ht="12.0" customHeight="1">
      <c r="A597" s="228"/>
      <c r="B597" s="228"/>
      <c r="C597" s="228"/>
      <c r="D597" s="228"/>
      <c r="E597" s="228"/>
      <c r="F597" s="228"/>
      <c r="G597" s="228"/>
      <c r="H597" s="228"/>
      <c r="I597" s="228"/>
      <c r="J597" s="228"/>
      <c r="K597" s="228"/>
      <c r="L597" s="228"/>
      <c r="M597" s="228"/>
      <c r="N597" s="228"/>
      <c r="O597" s="228"/>
      <c r="P597" s="228"/>
      <c r="Q597" s="228"/>
      <c r="R597" s="228"/>
      <c r="S597" s="228"/>
      <c r="T597" s="228"/>
      <c r="U597" s="228"/>
      <c r="V597" s="228"/>
      <c r="W597" s="228"/>
      <c r="X597" s="228"/>
      <c r="Y597" s="228"/>
      <c r="Z597" s="228"/>
      <c r="AA597" s="228"/>
      <c r="AB597" s="228"/>
      <c r="AC597" s="228"/>
      <c r="AD597" s="228"/>
      <c r="AE597" s="228"/>
      <c r="AF597" s="228"/>
      <c r="AG597" s="228"/>
      <c r="AH597" s="228"/>
      <c r="AI597" s="228"/>
      <c r="AJ597" s="228"/>
      <c r="AK597" s="228"/>
      <c r="AL597" s="228"/>
      <c r="AM597" s="228"/>
      <c r="AN597" s="228"/>
      <c r="AO597" s="228"/>
      <c r="AP597" s="228"/>
      <c r="AQ597" s="228"/>
      <c r="AR597" s="228"/>
      <c r="AS597" s="228"/>
      <c r="AT597" s="228"/>
      <c r="AU597" s="228"/>
      <c r="AV597" s="228"/>
      <c r="AW597" s="228"/>
      <c r="AX597" s="228"/>
      <c r="AY597" s="228"/>
      <c r="AZ597" s="228"/>
      <c r="BA597" s="228"/>
      <c r="BB597" s="228"/>
      <c r="BC597" s="228"/>
      <c r="BD597" s="228"/>
      <c r="BE597" s="228"/>
      <c r="BF597" s="228"/>
      <c r="BG597" s="228"/>
      <c r="BH597" s="228"/>
      <c r="BI597" s="228"/>
      <c r="BJ597" s="228"/>
      <c r="BK597" s="228"/>
      <c r="BL597" s="228"/>
      <c r="BM597" s="228"/>
      <c r="BN597" s="228"/>
      <c r="BO597" s="228"/>
      <c r="BP597" s="228"/>
      <c r="BQ597" s="228"/>
      <c r="BR597" s="228"/>
      <c r="BS597" s="228"/>
      <c r="BT597" s="228"/>
      <c r="BU597" s="228"/>
      <c r="BV597" s="228"/>
      <c r="BW597" s="228"/>
      <c r="BX597" s="228"/>
      <c r="BY597" s="228"/>
      <c r="BZ597" s="228"/>
      <c r="CA597" s="228"/>
      <c r="CB597" s="228"/>
      <c r="CC597" s="228"/>
      <c r="CD597" s="228"/>
      <c r="CE597" s="228"/>
      <c r="CF597" s="228"/>
      <c r="CG597" s="228"/>
      <c r="CH597" s="228"/>
      <c r="CI597" s="228"/>
      <c r="CJ597" s="228"/>
      <c r="CK597" s="228"/>
      <c r="CL597" s="228"/>
      <c r="CM597" s="228"/>
      <c r="CN597" s="228"/>
      <c r="CO597" s="228"/>
      <c r="CP597" s="228"/>
      <c r="CQ597" s="228"/>
      <c r="CR597" s="228"/>
      <c r="CS597" s="228"/>
      <c r="CT597" s="228"/>
      <c r="CU597" s="228"/>
      <c r="CV597" s="228"/>
      <c r="CW597" s="228"/>
      <c r="CX597" s="228"/>
      <c r="CY597" s="228"/>
      <c r="CZ597" s="228"/>
      <c r="DA597" s="228"/>
      <c r="DB597" s="228"/>
    </row>
    <row r="598" ht="12.0" customHeight="1">
      <c r="A598" s="228"/>
      <c r="B598" s="228"/>
      <c r="C598" s="228"/>
      <c r="D598" s="228"/>
      <c r="E598" s="228"/>
      <c r="F598" s="228"/>
      <c r="G598" s="228"/>
      <c r="H598" s="228"/>
      <c r="I598" s="228"/>
      <c r="J598" s="228"/>
      <c r="K598" s="228"/>
      <c r="L598" s="228"/>
      <c r="M598" s="228"/>
      <c r="N598" s="228"/>
      <c r="O598" s="228"/>
      <c r="P598" s="228"/>
      <c r="Q598" s="228"/>
      <c r="R598" s="228"/>
      <c r="S598" s="228"/>
      <c r="T598" s="228"/>
      <c r="U598" s="228"/>
      <c r="V598" s="228"/>
      <c r="W598" s="228"/>
      <c r="X598" s="228"/>
      <c r="Y598" s="228"/>
      <c r="Z598" s="228"/>
      <c r="AA598" s="228"/>
      <c r="AB598" s="228"/>
      <c r="AC598" s="228"/>
      <c r="AD598" s="228"/>
      <c r="AE598" s="228"/>
      <c r="AF598" s="228"/>
      <c r="AG598" s="228"/>
      <c r="AH598" s="228"/>
      <c r="AI598" s="228"/>
      <c r="AJ598" s="228"/>
      <c r="AK598" s="228"/>
      <c r="AL598" s="228"/>
      <c r="AM598" s="228"/>
      <c r="AN598" s="228"/>
      <c r="AO598" s="228"/>
      <c r="AP598" s="228"/>
      <c r="AQ598" s="228"/>
      <c r="AR598" s="228"/>
      <c r="AS598" s="228"/>
      <c r="AT598" s="228"/>
      <c r="AU598" s="228"/>
      <c r="AV598" s="228"/>
      <c r="AW598" s="228"/>
      <c r="AX598" s="228"/>
      <c r="AY598" s="228"/>
      <c r="AZ598" s="228"/>
      <c r="BA598" s="228"/>
      <c r="BB598" s="228"/>
      <c r="BC598" s="228"/>
      <c r="BD598" s="228"/>
      <c r="BE598" s="228"/>
      <c r="BF598" s="228"/>
      <c r="BG598" s="228"/>
      <c r="BH598" s="228"/>
      <c r="BI598" s="228"/>
      <c r="BJ598" s="228"/>
      <c r="BK598" s="228"/>
      <c r="BL598" s="228"/>
      <c r="BM598" s="228"/>
      <c r="BN598" s="228"/>
      <c r="BO598" s="228"/>
      <c r="BP598" s="228"/>
      <c r="BQ598" s="228"/>
      <c r="BR598" s="228"/>
      <c r="BS598" s="228"/>
      <c r="BT598" s="228"/>
      <c r="BU598" s="228"/>
      <c r="BV598" s="228"/>
      <c r="BW598" s="228"/>
      <c r="BX598" s="228"/>
      <c r="BY598" s="228"/>
      <c r="BZ598" s="228"/>
      <c r="CA598" s="228"/>
      <c r="CB598" s="228"/>
      <c r="CC598" s="228"/>
      <c r="CD598" s="228"/>
      <c r="CE598" s="228"/>
      <c r="CF598" s="228"/>
      <c r="CG598" s="228"/>
      <c r="CH598" s="228"/>
      <c r="CI598" s="228"/>
      <c r="CJ598" s="228"/>
      <c r="CK598" s="228"/>
      <c r="CL598" s="228"/>
      <c r="CM598" s="228"/>
      <c r="CN598" s="228"/>
      <c r="CO598" s="228"/>
      <c r="CP598" s="228"/>
      <c r="CQ598" s="228"/>
      <c r="CR598" s="228"/>
      <c r="CS598" s="228"/>
      <c r="CT598" s="228"/>
      <c r="CU598" s="228"/>
      <c r="CV598" s="228"/>
      <c r="CW598" s="228"/>
      <c r="CX598" s="228"/>
      <c r="CY598" s="228"/>
      <c r="CZ598" s="228"/>
      <c r="DA598" s="228"/>
      <c r="DB598" s="228"/>
    </row>
    <row r="599" ht="12.0" customHeight="1">
      <c r="A599" s="228"/>
      <c r="B599" s="228"/>
      <c r="C599" s="228"/>
      <c r="D599" s="228"/>
      <c r="E599" s="228"/>
      <c r="F599" s="228"/>
      <c r="G599" s="228"/>
      <c r="H599" s="228"/>
      <c r="I599" s="228"/>
      <c r="J599" s="228"/>
      <c r="K599" s="228"/>
      <c r="L599" s="228"/>
      <c r="M599" s="228"/>
      <c r="N599" s="228"/>
      <c r="O599" s="228"/>
      <c r="P599" s="228"/>
      <c r="Q599" s="228"/>
      <c r="R599" s="228"/>
      <c r="S599" s="228"/>
      <c r="T599" s="228"/>
      <c r="U599" s="228"/>
      <c r="V599" s="228"/>
      <c r="W599" s="228"/>
      <c r="X599" s="228"/>
      <c r="Y599" s="228"/>
      <c r="Z599" s="228"/>
      <c r="AA599" s="228"/>
      <c r="AB599" s="228"/>
      <c r="AC599" s="228"/>
      <c r="AD599" s="228"/>
      <c r="AE599" s="228"/>
      <c r="AF599" s="228"/>
      <c r="AG599" s="228"/>
      <c r="AH599" s="228"/>
      <c r="AI599" s="228"/>
      <c r="AJ599" s="228"/>
      <c r="AK599" s="228"/>
      <c r="AL599" s="228"/>
      <c r="AM599" s="228"/>
      <c r="AN599" s="228"/>
      <c r="AO599" s="228"/>
      <c r="AP599" s="228"/>
      <c r="AQ599" s="228"/>
      <c r="AR599" s="228"/>
      <c r="AS599" s="228"/>
      <c r="AT599" s="228"/>
      <c r="AU599" s="228"/>
      <c r="AV599" s="228"/>
      <c r="AW599" s="228"/>
      <c r="AX599" s="228"/>
      <c r="AY599" s="228"/>
      <c r="AZ599" s="228"/>
      <c r="BA599" s="228"/>
      <c r="BB599" s="228"/>
      <c r="BC599" s="228"/>
      <c r="BD599" s="228"/>
      <c r="BE599" s="228"/>
      <c r="BF599" s="228"/>
      <c r="BG599" s="228"/>
      <c r="BH599" s="228"/>
      <c r="BI599" s="228"/>
      <c r="BJ599" s="228"/>
      <c r="BK599" s="228"/>
      <c r="BL599" s="228"/>
      <c r="BM599" s="228"/>
      <c r="BN599" s="228"/>
      <c r="BO599" s="228"/>
      <c r="BP599" s="228"/>
      <c r="BQ599" s="228"/>
      <c r="BR599" s="228"/>
      <c r="BS599" s="228"/>
      <c r="BT599" s="228"/>
      <c r="BU599" s="228"/>
      <c r="BV599" s="228"/>
      <c r="BW599" s="228"/>
      <c r="BX599" s="228"/>
      <c r="BY599" s="228"/>
      <c r="BZ599" s="228"/>
      <c r="CA599" s="228"/>
      <c r="CB599" s="228"/>
      <c r="CC599" s="228"/>
      <c r="CD599" s="228"/>
      <c r="CE599" s="228"/>
      <c r="CF599" s="228"/>
      <c r="CG599" s="228"/>
      <c r="CH599" s="228"/>
      <c r="CI599" s="228"/>
      <c r="CJ599" s="228"/>
      <c r="CK599" s="228"/>
      <c r="CL599" s="228"/>
      <c r="CM599" s="228"/>
      <c r="CN599" s="228"/>
      <c r="CO599" s="228"/>
      <c r="CP599" s="228"/>
      <c r="CQ599" s="228"/>
      <c r="CR599" s="228"/>
      <c r="CS599" s="228"/>
      <c r="CT599" s="228"/>
      <c r="CU599" s="228"/>
      <c r="CV599" s="228"/>
      <c r="CW599" s="228"/>
      <c r="CX599" s="228"/>
      <c r="CY599" s="228"/>
      <c r="CZ599" s="228"/>
      <c r="DA599" s="228"/>
      <c r="DB599" s="228"/>
    </row>
    <row r="600" ht="12.0" customHeight="1">
      <c r="A600" s="228"/>
      <c r="B600" s="228"/>
      <c r="C600" s="228"/>
      <c r="D600" s="228"/>
      <c r="E600" s="228"/>
      <c r="F600" s="228"/>
      <c r="G600" s="228"/>
      <c r="H600" s="228"/>
      <c r="I600" s="228"/>
      <c r="J600" s="228"/>
      <c r="K600" s="228"/>
      <c r="L600" s="228"/>
      <c r="M600" s="228"/>
      <c r="N600" s="228"/>
      <c r="O600" s="228"/>
      <c r="P600" s="228"/>
      <c r="Q600" s="228"/>
      <c r="R600" s="228"/>
      <c r="S600" s="228"/>
      <c r="T600" s="228"/>
      <c r="U600" s="228"/>
      <c r="V600" s="228"/>
      <c r="W600" s="228"/>
      <c r="X600" s="228"/>
      <c r="Y600" s="228"/>
      <c r="Z600" s="228"/>
      <c r="AA600" s="228"/>
      <c r="AB600" s="228"/>
      <c r="AC600" s="228"/>
      <c r="AD600" s="228"/>
      <c r="AE600" s="228"/>
      <c r="AF600" s="228"/>
      <c r="AG600" s="228"/>
      <c r="AH600" s="228"/>
      <c r="AI600" s="228"/>
      <c r="AJ600" s="228"/>
      <c r="AK600" s="228"/>
      <c r="AL600" s="228"/>
      <c r="AM600" s="228"/>
      <c r="AN600" s="228"/>
      <c r="AO600" s="228"/>
      <c r="AP600" s="228"/>
      <c r="AQ600" s="228"/>
      <c r="AR600" s="228"/>
      <c r="AS600" s="228"/>
      <c r="AT600" s="228"/>
      <c r="AU600" s="228"/>
      <c r="AV600" s="228"/>
      <c r="AW600" s="228"/>
      <c r="AX600" s="228"/>
      <c r="AY600" s="228"/>
      <c r="AZ600" s="228"/>
      <c r="BA600" s="228"/>
      <c r="BB600" s="228"/>
      <c r="BC600" s="228"/>
      <c r="BD600" s="228"/>
      <c r="BE600" s="228"/>
      <c r="BF600" s="228"/>
      <c r="BG600" s="228"/>
      <c r="BH600" s="228"/>
      <c r="BI600" s="228"/>
      <c r="BJ600" s="228"/>
      <c r="BK600" s="228"/>
      <c r="BL600" s="228"/>
      <c r="BM600" s="228"/>
      <c r="BN600" s="228"/>
      <c r="BO600" s="228"/>
      <c r="BP600" s="228"/>
      <c r="BQ600" s="228"/>
      <c r="BR600" s="228"/>
      <c r="BS600" s="228"/>
      <c r="BT600" s="228"/>
      <c r="BU600" s="228"/>
      <c r="BV600" s="228"/>
      <c r="BW600" s="228"/>
      <c r="BX600" s="228"/>
      <c r="BY600" s="228"/>
      <c r="BZ600" s="228"/>
      <c r="CA600" s="228"/>
      <c r="CB600" s="228"/>
      <c r="CC600" s="228"/>
      <c r="CD600" s="228"/>
      <c r="CE600" s="228"/>
      <c r="CF600" s="228"/>
      <c r="CG600" s="228"/>
      <c r="CH600" s="228"/>
      <c r="CI600" s="228"/>
      <c r="CJ600" s="228"/>
      <c r="CK600" s="228"/>
      <c r="CL600" s="228"/>
      <c r="CM600" s="228"/>
      <c r="CN600" s="228"/>
      <c r="CO600" s="228"/>
      <c r="CP600" s="228"/>
      <c r="CQ600" s="228"/>
      <c r="CR600" s="228"/>
      <c r="CS600" s="228"/>
      <c r="CT600" s="228"/>
      <c r="CU600" s="228"/>
      <c r="CV600" s="228"/>
      <c r="CW600" s="228"/>
      <c r="CX600" s="228"/>
      <c r="CY600" s="228"/>
      <c r="CZ600" s="228"/>
      <c r="DA600" s="228"/>
      <c r="DB600" s="228"/>
    </row>
    <row r="601" ht="12.0" customHeight="1">
      <c r="A601" s="228"/>
      <c r="B601" s="228"/>
      <c r="C601" s="228"/>
      <c r="D601" s="228"/>
      <c r="E601" s="228"/>
      <c r="F601" s="228"/>
      <c r="G601" s="228"/>
      <c r="H601" s="228"/>
      <c r="I601" s="228"/>
      <c r="J601" s="228"/>
      <c r="K601" s="228"/>
      <c r="L601" s="228"/>
      <c r="M601" s="228"/>
      <c r="N601" s="228"/>
      <c r="O601" s="228"/>
      <c r="P601" s="228"/>
      <c r="Q601" s="228"/>
      <c r="R601" s="228"/>
      <c r="S601" s="228"/>
      <c r="T601" s="228"/>
      <c r="U601" s="228"/>
      <c r="V601" s="228"/>
      <c r="W601" s="228"/>
      <c r="X601" s="228"/>
      <c r="Y601" s="228"/>
      <c r="Z601" s="228"/>
      <c r="AA601" s="228"/>
      <c r="AB601" s="228"/>
      <c r="AC601" s="228"/>
      <c r="AD601" s="228"/>
      <c r="AE601" s="228"/>
      <c r="AF601" s="228"/>
      <c r="AG601" s="228"/>
      <c r="AH601" s="228"/>
      <c r="AI601" s="228"/>
      <c r="AJ601" s="228"/>
      <c r="AK601" s="228"/>
      <c r="AL601" s="228"/>
      <c r="AM601" s="228"/>
      <c r="AN601" s="228"/>
      <c r="AO601" s="228"/>
      <c r="AP601" s="228"/>
      <c r="AQ601" s="228"/>
      <c r="AR601" s="228"/>
      <c r="AS601" s="228"/>
      <c r="AT601" s="228"/>
      <c r="AU601" s="228"/>
      <c r="AV601" s="228"/>
      <c r="AW601" s="228"/>
      <c r="AX601" s="228"/>
      <c r="AY601" s="228"/>
      <c r="AZ601" s="228"/>
      <c r="BA601" s="228"/>
      <c r="BB601" s="228"/>
      <c r="BC601" s="228"/>
      <c r="BD601" s="228"/>
      <c r="BE601" s="228"/>
      <c r="BF601" s="228"/>
      <c r="BG601" s="228"/>
      <c r="BH601" s="228"/>
      <c r="BI601" s="228"/>
      <c r="BJ601" s="228"/>
      <c r="BK601" s="228"/>
      <c r="BL601" s="228"/>
      <c r="BM601" s="228"/>
      <c r="BN601" s="228"/>
      <c r="BO601" s="228"/>
      <c r="BP601" s="228"/>
      <c r="BQ601" s="228"/>
      <c r="BR601" s="228"/>
      <c r="BS601" s="228"/>
      <c r="BT601" s="228"/>
      <c r="BU601" s="228"/>
      <c r="BV601" s="228"/>
      <c r="BW601" s="228"/>
      <c r="BX601" s="228"/>
      <c r="BY601" s="228"/>
      <c r="BZ601" s="228"/>
      <c r="CA601" s="228"/>
      <c r="CB601" s="228"/>
      <c r="CC601" s="228"/>
      <c r="CD601" s="228"/>
      <c r="CE601" s="228"/>
      <c r="CF601" s="228"/>
      <c r="CG601" s="228"/>
      <c r="CH601" s="228"/>
      <c r="CI601" s="228"/>
      <c r="CJ601" s="228"/>
      <c r="CK601" s="228"/>
      <c r="CL601" s="228"/>
      <c r="CM601" s="228"/>
      <c r="CN601" s="228"/>
      <c r="CO601" s="228"/>
      <c r="CP601" s="228"/>
      <c r="CQ601" s="228"/>
      <c r="CR601" s="228"/>
      <c r="CS601" s="228"/>
      <c r="CT601" s="228"/>
      <c r="CU601" s="228"/>
      <c r="CV601" s="228"/>
      <c r="CW601" s="228"/>
      <c r="CX601" s="228"/>
      <c r="CY601" s="228"/>
      <c r="CZ601" s="228"/>
      <c r="DA601" s="228"/>
      <c r="DB601" s="228"/>
    </row>
    <row r="602" ht="12.0" customHeight="1">
      <c r="A602" s="228"/>
      <c r="B602" s="228"/>
      <c r="C602" s="228"/>
      <c r="D602" s="228"/>
      <c r="E602" s="228"/>
      <c r="F602" s="228"/>
      <c r="G602" s="228"/>
      <c r="H602" s="228"/>
      <c r="I602" s="228"/>
      <c r="J602" s="228"/>
      <c r="K602" s="228"/>
      <c r="L602" s="228"/>
      <c r="M602" s="228"/>
      <c r="N602" s="228"/>
      <c r="O602" s="228"/>
      <c r="P602" s="228"/>
      <c r="Q602" s="228"/>
      <c r="R602" s="228"/>
      <c r="S602" s="228"/>
      <c r="T602" s="228"/>
      <c r="U602" s="228"/>
      <c r="V602" s="228"/>
      <c r="W602" s="228"/>
      <c r="X602" s="228"/>
      <c r="Y602" s="228"/>
      <c r="Z602" s="228"/>
      <c r="AA602" s="228"/>
      <c r="AB602" s="228"/>
      <c r="AC602" s="228"/>
      <c r="AD602" s="228"/>
      <c r="AE602" s="228"/>
      <c r="AF602" s="228"/>
      <c r="AG602" s="228"/>
      <c r="AH602" s="228"/>
      <c r="AI602" s="228"/>
      <c r="AJ602" s="228"/>
      <c r="AK602" s="228"/>
      <c r="AL602" s="228"/>
      <c r="AM602" s="228"/>
      <c r="AN602" s="228"/>
      <c r="AO602" s="228"/>
      <c r="AP602" s="228"/>
      <c r="AQ602" s="228"/>
      <c r="AR602" s="228"/>
      <c r="AS602" s="228"/>
      <c r="AT602" s="228"/>
      <c r="AU602" s="228"/>
      <c r="AV602" s="228"/>
      <c r="AW602" s="228"/>
      <c r="AX602" s="228"/>
      <c r="AY602" s="228"/>
      <c r="AZ602" s="228"/>
      <c r="BA602" s="228"/>
      <c r="BB602" s="228"/>
      <c r="BC602" s="228"/>
      <c r="BD602" s="228"/>
      <c r="BE602" s="228"/>
      <c r="BF602" s="228"/>
      <c r="BG602" s="228"/>
      <c r="BH602" s="228"/>
      <c r="BI602" s="228"/>
      <c r="BJ602" s="228"/>
      <c r="BK602" s="228"/>
      <c r="BL602" s="228"/>
      <c r="BM602" s="228"/>
      <c r="BN602" s="228"/>
      <c r="BO602" s="228"/>
      <c r="BP602" s="228"/>
      <c r="BQ602" s="228"/>
      <c r="BR602" s="228"/>
      <c r="BS602" s="228"/>
      <c r="BT602" s="228"/>
      <c r="BU602" s="228"/>
      <c r="BV602" s="228"/>
      <c r="BW602" s="228"/>
      <c r="BX602" s="228"/>
      <c r="BY602" s="228"/>
      <c r="BZ602" s="228"/>
      <c r="CA602" s="228"/>
      <c r="CB602" s="228"/>
      <c r="CC602" s="228"/>
      <c r="CD602" s="228"/>
      <c r="CE602" s="228"/>
      <c r="CF602" s="228"/>
      <c r="CG602" s="228"/>
      <c r="CH602" s="228"/>
      <c r="CI602" s="228"/>
      <c r="CJ602" s="228"/>
      <c r="CK602" s="228"/>
      <c r="CL602" s="228"/>
      <c r="CM602" s="228"/>
      <c r="CN602" s="228"/>
      <c r="CO602" s="228"/>
      <c r="CP602" s="228"/>
      <c r="CQ602" s="228"/>
      <c r="CR602" s="228"/>
      <c r="CS602" s="228"/>
      <c r="CT602" s="228"/>
      <c r="CU602" s="228"/>
      <c r="CV602" s="228"/>
      <c r="CW602" s="228"/>
      <c r="CX602" s="228"/>
      <c r="CY602" s="228"/>
      <c r="CZ602" s="228"/>
      <c r="DA602" s="228"/>
      <c r="DB602" s="228"/>
    </row>
    <row r="603" ht="12.0" customHeight="1">
      <c r="A603" s="228"/>
      <c r="B603" s="228"/>
      <c r="C603" s="228"/>
      <c r="D603" s="228"/>
      <c r="E603" s="228"/>
      <c r="F603" s="228"/>
      <c r="G603" s="228"/>
      <c r="H603" s="228"/>
      <c r="I603" s="228"/>
      <c r="J603" s="228"/>
      <c r="K603" s="228"/>
      <c r="L603" s="228"/>
      <c r="M603" s="228"/>
      <c r="N603" s="228"/>
      <c r="O603" s="228"/>
      <c r="P603" s="228"/>
      <c r="Q603" s="228"/>
      <c r="R603" s="228"/>
      <c r="S603" s="228"/>
      <c r="T603" s="228"/>
      <c r="U603" s="228"/>
      <c r="V603" s="228"/>
      <c r="W603" s="228"/>
      <c r="X603" s="228"/>
      <c r="Y603" s="228"/>
      <c r="Z603" s="228"/>
      <c r="AA603" s="228"/>
      <c r="AB603" s="228"/>
      <c r="AC603" s="228"/>
      <c r="AD603" s="228"/>
      <c r="AE603" s="228"/>
      <c r="AF603" s="228"/>
      <c r="AG603" s="228"/>
      <c r="AH603" s="228"/>
      <c r="AI603" s="228"/>
      <c r="AJ603" s="228"/>
      <c r="AK603" s="228"/>
      <c r="AL603" s="228"/>
      <c r="AM603" s="228"/>
      <c r="AN603" s="228"/>
      <c r="AO603" s="228"/>
      <c r="AP603" s="228"/>
      <c r="AQ603" s="228"/>
      <c r="AR603" s="228"/>
      <c r="AS603" s="228"/>
      <c r="AT603" s="228"/>
      <c r="AU603" s="228"/>
      <c r="AV603" s="228"/>
      <c r="AW603" s="228"/>
      <c r="AX603" s="228"/>
      <c r="AY603" s="228"/>
      <c r="AZ603" s="228"/>
      <c r="BA603" s="228"/>
      <c r="BB603" s="228"/>
      <c r="BC603" s="228"/>
      <c r="BD603" s="228"/>
      <c r="BE603" s="228"/>
      <c r="BF603" s="228"/>
      <c r="BG603" s="228"/>
      <c r="BH603" s="228"/>
      <c r="BI603" s="228"/>
      <c r="BJ603" s="228"/>
      <c r="BK603" s="228"/>
      <c r="BL603" s="228"/>
      <c r="BM603" s="228"/>
      <c r="BN603" s="228"/>
      <c r="BO603" s="228"/>
      <c r="BP603" s="228"/>
      <c r="BQ603" s="228"/>
      <c r="BR603" s="228"/>
      <c r="BS603" s="228"/>
      <c r="BT603" s="228"/>
      <c r="BU603" s="228"/>
      <c r="BV603" s="228"/>
      <c r="BW603" s="228"/>
      <c r="BX603" s="228"/>
      <c r="BY603" s="228"/>
      <c r="BZ603" s="228"/>
      <c r="CA603" s="228"/>
      <c r="CB603" s="228"/>
      <c r="CC603" s="228"/>
      <c r="CD603" s="228"/>
      <c r="CE603" s="228"/>
      <c r="CF603" s="228"/>
      <c r="CG603" s="228"/>
      <c r="CH603" s="228"/>
      <c r="CI603" s="228"/>
      <c r="CJ603" s="228"/>
      <c r="CK603" s="228"/>
      <c r="CL603" s="228"/>
      <c r="CM603" s="228"/>
      <c r="CN603" s="228"/>
      <c r="CO603" s="228"/>
      <c r="CP603" s="228"/>
      <c r="CQ603" s="228"/>
      <c r="CR603" s="228"/>
      <c r="CS603" s="228"/>
      <c r="CT603" s="228"/>
      <c r="CU603" s="228"/>
      <c r="CV603" s="228"/>
      <c r="CW603" s="228"/>
      <c r="CX603" s="228"/>
      <c r="CY603" s="228"/>
      <c r="CZ603" s="228"/>
      <c r="DA603" s="228"/>
      <c r="DB603" s="228"/>
    </row>
    <row r="604" ht="12.0" customHeight="1">
      <c r="A604" s="228"/>
      <c r="B604" s="228"/>
      <c r="C604" s="228"/>
      <c r="D604" s="228"/>
      <c r="E604" s="228"/>
      <c r="F604" s="228"/>
      <c r="G604" s="228"/>
      <c r="H604" s="228"/>
      <c r="I604" s="228"/>
      <c r="J604" s="228"/>
      <c r="K604" s="228"/>
      <c r="L604" s="228"/>
      <c r="M604" s="228"/>
      <c r="N604" s="228"/>
      <c r="O604" s="228"/>
      <c r="P604" s="228"/>
      <c r="Q604" s="228"/>
      <c r="R604" s="228"/>
      <c r="S604" s="228"/>
      <c r="T604" s="228"/>
      <c r="U604" s="228"/>
      <c r="V604" s="228"/>
      <c r="W604" s="228"/>
      <c r="X604" s="228"/>
      <c r="Y604" s="228"/>
      <c r="Z604" s="228"/>
      <c r="AA604" s="228"/>
      <c r="AB604" s="228"/>
      <c r="AC604" s="228"/>
      <c r="AD604" s="228"/>
      <c r="AE604" s="228"/>
      <c r="AF604" s="228"/>
      <c r="AG604" s="228"/>
      <c r="AH604" s="228"/>
      <c r="AI604" s="228"/>
      <c r="AJ604" s="228"/>
      <c r="AK604" s="228"/>
      <c r="AL604" s="228"/>
      <c r="AM604" s="228"/>
      <c r="AN604" s="228"/>
      <c r="AO604" s="228"/>
      <c r="AP604" s="228"/>
      <c r="AQ604" s="228"/>
      <c r="AR604" s="228"/>
      <c r="AS604" s="228"/>
      <c r="AT604" s="228"/>
      <c r="AU604" s="228"/>
      <c r="AV604" s="228"/>
      <c r="AW604" s="228"/>
      <c r="AX604" s="228"/>
      <c r="AY604" s="228"/>
      <c r="AZ604" s="228"/>
      <c r="BA604" s="228"/>
      <c r="BB604" s="228"/>
      <c r="BC604" s="228"/>
      <c r="BD604" s="228"/>
      <c r="BE604" s="228"/>
      <c r="BF604" s="228"/>
      <c r="BG604" s="228"/>
      <c r="BH604" s="228"/>
      <c r="BI604" s="228"/>
      <c r="BJ604" s="228"/>
      <c r="BK604" s="228"/>
      <c r="BL604" s="228"/>
      <c r="BM604" s="228"/>
      <c r="BN604" s="228"/>
      <c r="BO604" s="228"/>
      <c r="BP604" s="228"/>
      <c r="BQ604" s="228"/>
      <c r="BR604" s="228"/>
      <c r="BS604" s="228"/>
      <c r="BT604" s="228"/>
      <c r="BU604" s="228"/>
      <c r="BV604" s="228"/>
      <c r="BW604" s="228"/>
      <c r="BX604" s="228"/>
      <c r="BY604" s="228"/>
      <c r="BZ604" s="228"/>
      <c r="CA604" s="228"/>
      <c r="CB604" s="228"/>
      <c r="CC604" s="228"/>
      <c r="CD604" s="228"/>
      <c r="CE604" s="228"/>
      <c r="CF604" s="228"/>
      <c r="CG604" s="228"/>
      <c r="CH604" s="228"/>
      <c r="CI604" s="228"/>
      <c r="CJ604" s="228"/>
      <c r="CK604" s="228"/>
      <c r="CL604" s="228"/>
      <c r="CM604" s="228"/>
      <c r="CN604" s="228"/>
      <c r="CO604" s="228"/>
      <c r="CP604" s="228"/>
      <c r="CQ604" s="228"/>
      <c r="CR604" s="228"/>
      <c r="CS604" s="228"/>
      <c r="CT604" s="228"/>
      <c r="CU604" s="228"/>
      <c r="CV604" s="228"/>
      <c r="CW604" s="228"/>
      <c r="CX604" s="228"/>
      <c r="CY604" s="228"/>
      <c r="CZ604" s="228"/>
      <c r="DA604" s="228"/>
      <c r="DB604" s="228"/>
    </row>
    <row r="605" ht="12.0" customHeight="1">
      <c r="A605" s="228"/>
      <c r="B605" s="228"/>
      <c r="C605" s="228"/>
      <c r="D605" s="228"/>
      <c r="E605" s="228"/>
      <c r="F605" s="228"/>
      <c r="G605" s="228"/>
      <c r="H605" s="228"/>
      <c r="I605" s="228"/>
      <c r="J605" s="228"/>
      <c r="K605" s="228"/>
      <c r="L605" s="228"/>
      <c r="M605" s="228"/>
      <c r="N605" s="228"/>
      <c r="O605" s="228"/>
      <c r="P605" s="228"/>
      <c r="Q605" s="228"/>
      <c r="R605" s="228"/>
      <c r="S605" s="228"/>
      <c r="T605" s="228"/>
      <c r="U605" s="228"/>
      <c r="V605" s="228"/>
      <c r="W605" s="228"/>
      <c r="X605" s="228"/>
      <c r="Y605" s="228"/>
      <c r="Z605" s="228"/>
      <c r="AA605" s="228"/>
      <c r="AB605" s="228"/>
      <c r="AC605" s="228"/>
      <c r="AD605" s="228"/>
      <c r="AE605" s="228"/>
      <c r="AF605" s="228"/>
      <c r="AG605" s="228"/>
      <c r="AH605" s="228"/>
      <c r="AI605" s="228"/>
      <c r="AJ605" s="228"/>
      <c r="AK605" s="228"/>
      <c r="AL605" s="228"/>
      <c r="AM605" s="228"/>
      <c r="AN605" s="228"/>
      <c r="AO605" s="228"/>
      <c r="AP605" s="228"/>
      <c r="AQ605" s="228"/>
      <c r="AR605" s="228"/>
      <c r="AS605" s="228"/>
      <c r="AT605" s="228"/>
      <c r="AU605" s="228"/>
      <c r="AV605" s="228"/>
      <c r="AW605" s="228"/>
      <c r="AX605" s="228"/>
      <c r="AY605" s="228"/>
      <c r="AZ605" s="228"/>
      <c r="BA605" s="228"/>
      <c r="BB605" s="228"/>
      <c r="BC605" s="228"/>
      <c r="BD605" s="228"/>
      <c r="BE605" s="228"/>
      <c r="BF605" s="228"/>
      <c r="BG605" s="228"/>
      <c r="BH605" s="228"/>
      <c r="BI605" s="228"/>
      <c r="BJ605" s="228"/>
      <c r="BK605" s="228"/>
      <c r="BL605" s="228"/>
      <c r="BM605" s="228"/>
      <c r="BN605" s="228"/>
      <c r="BO605" s="228"/>
      <c r="BP605" s="228"/>
      <c r="BQ605" s="228"/>
      <c r="BR605" s="228"/>
      <c r="BS605" s="228"/>
      <c r="BT605" s="228"/>
      <c r="BU605" s="228"/>
      <c r="BV605" s="228"/>
      <c r="BW605" s="228"/>
      <c r="BX605" s="228"/>
      <c r="BY605" s="228"/>
      <c r="BZ605" s="228"/>
      <c r="CA605" s="228"/>
      <c r="CB605" s="228"/>
      <c r="CC605" s="228"/>
      <c r="CD605" s="228"/>
      <c r="CE605" s="228"/>
      <c r="CF605" s="228"/>
      <c r="CG605" s="228"/>
      <c r="CH605" s="228"/>
      <c r="CI605" s="228"/>
      <c r="CJ605" s="228"/>
      <c r="CK605" s="228"/>
      <c r="CL605" s="228"/>
      <c r="CM605" s="228"/>
      <c r="CN605" s="228"/>
      <c r="CO605" s="228"/>
      <c r="CP605" s="228"/>
      <c r="CQ605" s="228"/>
      <c r="CR605" s="228"/>
      <c r="CS605" s="228"/>
      <c r="CT605" s="228"/>
      <c r="CU605" s="228"/>
      <c r="CV605" s="228"/>
      <c r="CW605" s="228"/>
      <c r="CX605" s="228"/>
      <c r="CY605" s="228"/>
      <c r="CZ605" s="228"/>
      <c r="DA605" s="228"/>
      <c r="DB605" s="228"/>
    </row>
    <row r="606" ht="12.0" customHeight="1">
      <c r="A606" s="228"/>
      <c r="B606" s="228"/>
      <c r="C606" s="228"/>
      <c r="D606" s="228"/>
      <c r="E606" s="228"/>
      <c r="F606" s="228"/>
      <c r="G606" s="228"/>
      <c r="H606" s="228"/>
      <c r="I606" s="228"/>
      <c r="J606" s="228"/>
      <c r="K606" s="228"/>
      <c r="L606" s="228"/>
      <c r="M606" s="228"/>
      <c r="N606" s="228"/>
      <c r="O606" s="228"/>
      <c r="P606" s="228"/>
      <c r="Q606" s="228"/>
      <c r="R606" s="228"/>
      <c r="S606" s="228"/>
      <c r="T606" s="228"/>
      <c r="U606" s="228"/>
      <c r="V606" s="228"/>
      <c r="W606" s="228"/>
      <c r="X606" s="228"/>
      <c r="Y606" s="228"/>
      <c r="Z606" s="228"/>
      <c r="AA606" s="228"/>
      <c r="AB606" s="228"/>
      <c r="AC606" s="228"/>
      <c r="AD606" s="228"/>
      <c r="AE606" s="228"/>
      <c r="AF606" s="228"/>
      <c r="AG606" s="228"/>
      <c r="AH606" s="228"/>
      <c r="AI606" s="228"/>
      <c r="AJ606" s="228"/>
      <c r="AK606" s="228"/>
      <c r="AL606" s="228"/>
      <c r="AM606" s="228"/>
      <c r="AN606" s="228"/>
      <c r="AO606" s="228"/>
      <c r="AP606" s="228"/>
      <c r="AQ606" s="228"/>
      <c r="AR606" s="228"/>
      <c r="AS606" s="228"/>
      <c r="AT606" s="228"/>
      <c r="AU606" s="228"/>
      <c r="AV606" s="228"/>
      <c r="AW606" s="228"/>
      <c r="AX606" s="228"/>
      <c r="AY606" s="228"/>
      <c r="AZ606" s="228"/>
      <c r="BA606" s="228"/>
      <c r="BB606" s="228"/>
      <c r="BC606" s="228"/>
      <c r="BD606" s="228"/>
      <c r="BE606" s="228"/>
      <c r="BF606" s="228"/>
      <c r="BG606" s="228"/>
      <c r="BH606" s="228"/>
      <c r="BI606" s="228"/>
      <c r="BJ606" s="228"/>
      <c r="BK606" s="228"/>
      <c r="BL606" s="228"/>
      <c r="BM606" s="228"/>
      <c r="BN606" s="228"/>
      <c r="BO606" s="228"/>
      <c r="BP606" s="228"/>
      <c r="BQ606" s="228"/>
      <c r="BR606" s="228"/>
      <c r="BS606" s="228"/>
      <c r="BT606" s="228"/>
      <c r="BU606" s="228"/>
      <c r="BV606" s="228"/>
      <c r="BW606" s="228"/>
      <c r="BX606" s="228"/>
      <c r="BY606" s="228"/>
      <c r="BZ606" s="228"/>
      <c r="CA606" s="228"/>
      <c r="CB606" s="228"/>
      <c r="CC606" s="228"/>
      <c r="CD606" s="228"/>
      <c r="CE606" s="228"/>
      <c r="CF606" s="228"/>
      <c r="CG606" s="228"/>
      <c r="CH606" s="228"/>
      <c r="CI606" s="228"/>
      <c r="CJ606" s="228"/>
      <c r="CK606" s="228"/>
      <c r="CL606" s="228"/>
      <c r="CM606" s="228"/>
      <c r="CN606" s="228"/>
      <c r="CO606" s="228"/>
      <c r="CP606" s="228"/>
      <c r="CQ606" s="228"/>
      <c r="CR606" s="228"/>
      <c r="CS606" s="228"/>
      <c r="CT606" s="228"/>
      <c r="CU606" s="228"/>
      <c r="CV606" s="228"/>
      <c r="CW606" s="228"/>
      <c r="CX606" s="228"/>
      <c r="CY606" s="228"/>
      <c r="CZ606" s="228"/>
      <c r="DA606" s="228"/>
      <c r="DB606" s="228"/>
    </row>
    <row r="607" ht="12.0" customHeight="1">
      <c r="A607" s="228"/>
      <c r="B607" s="228"/>
      <c r="C607" s="228"/>
      <c r="D607" s="228"/>
      <c r="E607" s="228"/>
      <c r="F607" s="228"/>
      <c r="G607" s="228"/>
      <c r="H607" s="228"/>
      <c r="I607" s="228"/>
      <c r="J607" s="228"/>
      <c r="K607" s="228"/>
      <c r="L607" s="228"/>
      <c r="M607" s="228"/>
      <c r="N607" s="228"/>
      <c r="O607" s="228"/>
      <c r="P607" s="228"/>
      <c r="Q607" s="228"/>
      <c r="R607" s="228"/>
      <c r="S607" s="228"/>
      <c r="T607" s="228"/>
      <c r="U607" s="228"/>
      <c r="V607" s="228"/>
      <c r="W607" s="228"/>
      <c r="X607" s="228"/>
      <c r="Y607" s="228"/>
      <c r="Z607" s="228"/>
      <c r="AA607" s="228"/>
      <c r="AB607" s="228"/>
      <c r="AC607" s="228"/>
      <c r="AD607" s="228"/>
      <c r="AE607" s="228"/>
      <c r="AF607" s="228"/>
      <c r="AG607" s="228"/>
      <c r="AH607" s="228"/>
      <c r="AI607" s="228"/>
      <c r="AJ607" s="228"/>
      <c r="AK607" s="228"/>
      <c r="AL607" s="228"/>
      <c r="AM607" s="228"/>
      <c r="AN607" s="228"/>
      <c r="AO607" s="228"/>
      <c r="AP607" s="228"/>
      <c r="AQ607" s="228"/>
      <c r="AR607" s="228"/>
      <c r="AS607" s="228"/>
      <c r="AT607" s="228"/>
      <c r="AU607" s="228"/>
      <c r="AV607" s="228"/>
      <c r="AW607" s="228"/>
      <c r="AX607" s="228"/>
      <c r="AY607" s="228"/>
      <c r="AZ607" s="228"/>
      <c r="BA607" s="228"/>
      <c r="BB607" s="228"/>
      <c r="BC607" s="228"/>
      <c r="BD607" s="228"/>
      <c r="BE607" s="228"/>
      <c r="BF607" s="228"/>
      <c r="BG607" s="228"/>
      <c r="BH607" s="228"/>
      <c r="BI607" s="228"/>
      <c r="BJ607" s="228"/>
      <c r="BK607" s="228"/>
      <c r="BL607" s="228"/>
      <c r="BM607" s="228"/>
      <c r="BN607" s="228"/>
      <c r="BO607" s="228"/>
      <c r="BP607" s="228"/>
      <c r="BQ607" s="228"/>
      <c r="BR607" s="228"/>
      <c r="BS607" s="228"/>
      <c r="BT607" s="228"/>
      <c r="BU607" s="228"/>
      <c r="BV607" s="228"/>
      <c r="BW607" s="228"/>
      <c r="BX607" s="228"/>
      <c r="BY607" s="228"/>
      <c r="BZ607" s="228"/>
      <c r="CA607" s="228"/>
      <c r="CB607" s="228"/>
      <c r="CC607" s="228"/>
      <c r="CD607" s="228"/>
      <c r="CE607" s="228"/>
      <c r="CF607" s="228"/>
      <c r="CG607" s="228"/>
      <c r="CH607" s="228"/>
      <c r="CI607" s="228"/>
      <c r="CJ607" s="228"/>
      <c r="CK607" s="228"/>
      <c r="CL607" s="228"/>
      <c r="CM607" s="228"/>
      <c r="CN607" s="228"/>
      <c r="CO607" s="228"/>
      <c r="CP607" s="228"/>
      <c r="CQ607" s="228"/>
      <c r="CR607" s="228"/>
      <c r="CS607" s="228"/>
      <c r="CT607" s="228"/>
      <c r="CU607" s="228"/>
      <c r="CV607" s="228"/>
      <c r="CW607" s="228"/>
      <c r="CX607" s="228"/>
      <c r="CY607" s="228"/>
      <c r="CZ607" s="228"/>
      <c r="DA607" s="228"/>
      <c r="DB607" s="228"/>
    </row>
    <row r="608" ht="12.0" customHeight="1">
      <c r="A608" s="228"/>
      <c r="B608" s="228"/>
      <c r="C608" s="228"/>
      <c r="D608" s="228"/>
      <c r="E608" s="228"/>
      <c r="F608" s="228"/>
      <c r="G608" s="228"/>
      <c r="H608" s="228"/>
      <c r="I608" s="228"/>
      <c r="J608" s="228"/>
      <c r="K608" s="228"/>
      <c r="L608" s="228"/>
      <c r="M608" s="228"/>
      <c r="N608" s="228"/>
      <c r="O608" s="228"/>
      <c r="P608" s="228"/>
      <c r="Q608" s="228"/>
      <c r="R608" s="228"/>
      <c r="S608" s="228"/>
      <c r="T608" s="228"/>
      <c r="U608" s="228"/>
      <c r="V608" s="228"/>
      <c r="W608" s="228"/>
      <c r="X608" s="228"/>
      <c r="Y608" s="228"/>
      <c r="Z608" s="228"/>
      <c r="AA608" s="228"/>
      <c r="AB608" s="228"/>
      <c r="AC608" s="228"/>
      <c r="AD608" s="228"/>
      <c r="AE608" s="228"/>
      <c r="AF608" s="228"/>
      <c r="AG608" s="228"/>
      <c r="AH608" s="228"/>
      <c r="AI608" s="228"/>
      <c r="AJ608" s="228"/>
      <c r="AK608" s="228"/>
      <c r="AL608" s="228"/>
      <c r="AM608" s="228"/>
      <c r="AN608" s="228"/>
      <c r="AO608" s="228"/>
      <c r="AP608" s="228"/>
      <c r="AQ608" s="228"/>
      <c r="AR608" s="228"/>
      <c r="AS608" s="228"/>
      <c r="AT608" s="228"/>
      <c r="AU608" s="228"/>
      <c r="AV608" s="228"/>
      <c r="AW608" s="228"/>
      <c r="AX608" s="228"/>
      <c r="AY608" s="228"/>
      <c r="AZ608" s="228"/>
      <c r="BA608" s="228"/>
      <c r="BB608" s="228"/>
      <c r="BC608" s="228"/>
      <c r="BD608" s="228"/>
      <c r="BE608" s="228"/>
      <c r="BF608" s="228"/>
      <c r="BG608" s="228"/>
      <c r="BH608" s="228"/>
      <c r="BI608" s="228"/>
      <c r="BJ608" s="228"/>
      <c r="BK608" s="228"/>
      <c r="BL608" s="228"/>
      <c r="BM608" s="228"/>
      <c r="BN608" s="228"/>
      <c r="BO608" s="228"/>
      <c r="BP608" s="228"/>
      <c r="BQ608" s="228"/>
      <c r="BR608" s="228"/>
      <c r="BS608" s="228"/>
      <c r="BT608" s="228"/>
      <c r="BU608" s="228"/>
      <c r="BV608" s="228"/>
      <c r="BW608" s="228"/>
      <c r="BX608" s="228"/>
      <c r="BY608" s="228"/>
      <c r="BZ608" s="228"/>
      <c r="CA608" s="228"/>
      <c r="CB608" s="228"/>
      <c r="CC608" s="228"/>
      <c r="CD608" s="228"/>
      <c r="CE608" s="228"/>
      <c r="CF608" s="228"/>
      <c r="CG608" s="228"/>
      <c r="CH608" s="228"/>
      <c r="CI608" s="228"/>
      <c r="CJ608" s="228"/>
      <c r="CK608" s="228"/>
      <c r="CL608" s="228"/>
      <c r="CM608" s="228"/>
      <c r="CN608" s="228"/>
      <c r="CO608" s="228"/>
      <c r="CP608" s="228"/>
      <c r="CQ608" s="228"/>
      <c r="CR608" s="228"/>
      <c r="CS608" s="228"/>
      <c r="CT608" s="228"/>
      <c r="CU608" s="228"/>
      <c r="CV608" s="228"/>
      <c r="CW608" s="228"/>
      <c r="CX608" s="228"/>
      <c r="CY608" s="228"/>
      <c r="CZ608" s="228"/>
      <c r="DA608" s="228"/>
      <c r="DB608" s="228"/>
    </row>
    <row r="609" ht="12.0" customHeight="1">
      <c r="A609" s="228"/>
      <c r="B609" s="228"/>
      <c r="C609" s="228"/>
      <c r="D609" s="228"/>
      <c r="E609" s="228"/>
      <c r="F609" s="228"/>
      <c r="G609" s="228"/>
      <c r="H609" s="228"/>
      <c r="I609" s="228"/>
      <c r="J609" s="228"/>
      <c r="K609" s="228"/>
      <c r="L609" s="228"/>
      <c r="M609" s="228"/>
      <c r="N609" s="228"/>
      <c r="O609" s="228"/>
      <c r="P609" s="228"/>
      <c r="Q609" s="228"/>
      <c r="R609" s="228"/>
      <c r="S609" s="228"/>
      <c r="T609" s="228"/>
      <c r="U609" s="228"/>
      <c r="V609" s="228"/>
      <c r="W609" s="228"/>
      <c r="X609" s="228"/>
      <c r="Y609" s="228"/>
      <c r="Z609" s="228"/>
      <c r="AA609" s="228"/>
      <c r="AB609" s="228"/>
      <c r="AC609" s="228"/>
      <c r="AD609" s="228"/>
      <c r="AE609" s="228"/>
      <c r="AF609" s="228"/>
      <c r="AG609" s="228"/>
      <c r="AH609" s="228"/>
      <c r="AI609" s="228"/>
      <c r="AJ609" s="228"/>
      <c r="AK609" s="228"/>
      <c r="AL609" s="228"/>
      <c r="AM609" s="228"/>
      <c r="AN609" s="228"/>
      <c r="AO609" s="228"/>
      <c r="AP609" s="228"/>
      <c r="AQ609" s="228"/>
      <c r="AR609" s="228"/>
      <c r="AS609" s="228"/>
      <c r="AT609" s="228"/>
      <c r="AU609" s="228"/>
      <c r="AV609" s="228"/>
      <c r="AW609" s="228"/>
      <c r="AX609" s="228"/>
      <c r="AY609" s="228"/>
      <c r="AZ609" s="228"/>
      <c r="BA609" s="228"/>
      <c r="BB609" s="228"/>
      <c r="BC609" s="228"/>
      <c r="BD609" s="228"/>
      <c r="BE609" s="228"/>
      <c r="BF609" s="228"/>
      <c r="BG609" s="228"/>
      <c r="BH609" s="228"/>
      <c r="BI609" s="228"/>
      <c r="BJ609" s="228"/>
      <c r="BK609" s="228"/>
      <c r="BL609" s="228"/>
      <c r="BM609" s="228"/>
      <c r="BN609" s="228"/>
      <c r="BO609" s="228"/>
      <c r="BP609" s="228"/>
      <c r="BQ609" s="228"/>
      <c r="BR609" s="228"/>
      <c r="BS609" s="228"/>
      <c r="BT609" s="228"/>
      <c r="BU609" s="228"/>
      <c r="BV609" s="228"/>
      <c r="BW609" s="228"/>
      <c r="BX609" s="228"/>
      <c r="BY609" s="228"/>
      <c r="BZ609" s="228"/>
      <c r="CA609" s="228"/>
      <c r="CB609" s="228"/>
      <c r="CC609" s="228"/>
      <c r="CD609" s="228"/>
      <c r="CE609" s="228"/>
      <c r="CF609" s="228"/>
      <c r="CG609" s="228"/>
      <c r="CH609" s="228"/>
      <c r="CI609" s="228"/>
      <c r="CJ609" s="228"/>
      <c r="CK609" s="228"/>
      <c r="CL609" s="228"/>
      <c r="CM609" s="228"/>
      <c r="CN609" s="228"/>
      <c r="CO609" s="228"/>
      <c r="CP609" s="228"/>
      <c r="CQ609" s="228"/>
      <c r="CR609" s="228"/>
      <c r="CS609" s="228"/>
      <c r="CT609" s="228"/>
      <c r="CU609" s="228"/>
      <c r="CV609" s="228"/>
      <c r="CW609" s="228"/>
      <c r="CX609" s="228"/>
      <c r="CY609" s="228"/>
      <c r="CZ609" s="228"/>
      <c r="DA609" s="228"/>
      <c r="DB609" s="228"/>
    </row>
    <row r="610" ht="12.0" customHeight="1">
      <c r="A610" s="228"/>
      <c r="B610" s="228"/>
      <c r="C610" s="228"/>
      <c r="D610" s="228"/>
      <c r="E610" s="228"/>
      <c r="F610" s="228"/>
      <c r="G610" s="228"/>
      <c r="H610" s="228"/>
      <c r="I610" s="228"/>
      <c r="J610" s="228"/>
      <c r="K610" s="228"/>
      <c r="L610" s="228"/>
      <c r="M610" s="228"/>
      <c r="N610" s="228"/>
      <c r="O610" s="228"/>
      <c r="P610" s="228"/>
      <c r="Q610" s="228"/>
      <c r="R610" s="228"/>
      <c r="S610" s="228"/>
      <c r="T610" s="228"/>
      <c r="U610" s="228"/>
      <c r="V610" s="228"/>
      <c r="W610" s="228"/>
      <c r="X610" s="228"/>
      <c r="Y610" s="228"/>
      <c r="Z610" s="228"/>
      <c r="AA610" s="228"/>
      <c r="AB610" s="228"/>
      <c r="AC610" s="228"/>
      <c r="AD610" s="228"/>
      <c r="AE610" s="228"/>
      <c r="AF610" s="228"/>
      <c r="AG610" s="228"/>
      <c r="AH610" s="228"/>
      <c r="AI610" s="228"/>
      <c r="AJ610" s="228"/>
      <c r="AK610" s="228"/>
      <c r="AL610" s="228"/>
      <c r="AM610" s="228"/>
      <c r="AN610" s="228"/>
      <c r="AO610" s="228"/>
      <c r="AP610" s="228"/>
      <c r="AQ610" s="228"/>
      <c r="AR610" s="228"/>
      <c r="AS610" s="228"/>
      <c r="AT610" s="228"/>
      <c r="AU610" s="228"/>
      <c r="AV610" s="228"/>
      <c r="AW610" s="228"/>
      <c r="AX610" s="228"/>
      <c r="AY610" s="228"/>
      <c r="AZ610" s="228"/>
      <c r="BA610" s="228"/>
      <c r="BB610" s="228"/>
      <c r="BC610" s="228"/>
      <c r="BD610" s="228"/>
      <c r="BE610" s="228"/>
      <c r="BF610" s="228"/>
      <c r="BG610" s="228"/>
      <c r="BH610" s="228"/>
      <c r="BI610" s="228"/>
      <c r="BJ610" s="228"/>
      <c r="BK610" s="228"/>
      <c r="BL610" s="228"/>
      <c r="BM610" s="228"/>
      <c r="BN610" s="228"/>
      <c r="BO610" s="228"/>
      <c r="BP610" s="228"/>
      <c r="BQ610" s="228"/>
      <c r="BR610" s="228"/>
      <c r="BS610" s="228"/>
      <c r="BT610" s="228"/>
      <c r="BU610" s="228"/>
      <c r="BV610" s="228"/>
      <c r="BW610" s="228"/>
      <c r="BX610" s="228"/>
      <c r="BY610" s="228"/>
      <c r="BZ610" s="228"/>
      <c r="CA610" s="228"/>
      <c r="CB610" s="228"/>
      <c r="CC610" s="228"/>
      <c r="CD610" s="228"/>
      <c r="CE610" s="228"/>
      <c r="CF610" s="228"/>
      <c r="CG610" s="228"/>
      <c r="CH610" s="228"/>
      <c r="CI610" s="228"/>
      <c r="CJ610" s="228"/>
      <c r="CK610" s="228"/>
      <c r="CL610" s="228"/>
      <c r="CM610" s="228"/>
      <c r="CN610" s="228"/>
      <c r="CO610" s="228"/>
      <c r="CP610" s="228"/>
      <c r="CQ610" s="228"/>
      <c r="CR610" s="228"/>
      <c r="CS610" s="228"/>
      <c r="CT610" s="228"/>
      <c r="CU610" s="228"/>
      <c r="CV610" s="228"/>
      <c r="CW610" s="228"/>
      <c r="CX610" s="228"/>
      <c r="CY610" s="228"/>
      <c r="CZ610" s="228"/>
      <c r="DA610" s="228"/>
      <c r="DB610" s="228"/>
    </row>
    <row r="611" ht="12.0" customHeight="1">
      <c r="A611" s="228"/>
      <c r="B611" s="228"/>
      <c r="C611" s="228"/>
      <c r="D611" s="228"/>
      <c r="E611" s="228"/>
      <c r="F611" s="228"/>
      <c r="G611" s="228"/>
      <c r="H611" s="228"/>
      <c r="I611" s="228"/>
      <c r="J611" s="228"/>
      <c r="K611" s="228"/>
      <c r="L611" s="228"/>
      <c r="M611" s="228"/>
      <c r="N611" s="228"/>
      <c r="O611" s="228"/>
      <c r="P611" s="228"/>
      <c r="Q611" s="228"/>
      <c r="R611" s="228"/>
      <c r="S611" s="228"/>
      <c r="T611" s="228"/>
      <c r="U611" s="228"/>
      <c r="V611" s="228"/>
      <c r="W611" s="228"/>
      <c r="X611" s="228"/>
      <c r="Y611" s="228"/>
      <c r="Z611" s="228"/>
      <c r="AA611" s="228"/>
      <c r="AB611" s="228"/>
      <c r="AC611" s="228"/>
      <c r="AD611" s="228"/>
      <c r="AE611" s="228"/>
      <c r="AF611" s="228"/>
      <c r="AG611" s="228"/>
      <c r="AH611" s="228"/>
      <c r="AI611" s="228"/>
      <c r="AJ611" s="228"/>
      <c r="AK611" s="228"/>
      <c r="AL611" s="228"/>
      <c r="AM611" s="228"/>
      <c r="AN611" s="228"/>
      <c r="AO611" s="228"/>
      <c r="AP611" s="228"/>
      <c r="AQ611" s="228"/>
      <c r="AR611" s="228"/>
      <c r="AS611" s="228"/>
      <c r="AT611" s="228"/>
      <c r="AU611" s="228"/>
      <c r="AV611" s="228"/>
      <c r="AW611" s="228"/>
      <c r="AX611" s="228"/>
      <c r="AY611" s="228"/>
      <c r="AZ611" s="228"/>
      <c r="BA611" s="228"/>
      <c r="BB611" s="228"/>
      <c r="BC611" s="228"/>
      <c r="BD611" s="228"/>
      <c r="BE611" s="228"/>
      <c r="BF611" s="228"/>
      <c r="BG611" s="228"/>
      <c r="BH611" s="228"/>
      <c r="BI611" s="228"/>
      <c r="BJ611" s="228"/>
      <c r="BK611" s="228"/>
      <c r="BL611" s="228"/>
      <c r="BM611" s="228"/>
      <c r="BN611" s="228"/>
      <c r="BO611" s="228"/>
      <c r="BP611" s="228"/>
      <c r="BQ611" s="228"/>
      <c r="BR611" s="228"/>
      <c r="BS611" s="228"/>
      <c r="BT611" s="228"/>
      <c r="BU611" s="228"/>
      <c r="BV611" s="228"/>
      <c r="BW611" s="228"/>
      <c r="BX611" s="228"/>
      <c r="BY611" s="228"/>
      <c r="BZ611" s="228"/>
      <c r="CA611" s="228"/>
      <c r="CB611" s="228"/>
      <c r="CC611" s="228"/>
      <c r="CD611" s="228"/>
      <c r="CE611" s="228"/>
      <c r="CF611" s="228"/>
      <c r="CG611" s="228"/>
      <c r="CH611" s="228"/>
      <c r="CI611" s="228"/>
      <c r="CJ611" s="228"/>
      <c r="CK611" s="228"/>
      <c r="CL611" s="228"/>
      <c r="CM611" s="228"/>
      <c r="CN611" s="228"/>
      <c r="CO611" s="228"/>
      <c r="CP611" s="228"/>
      <c r="CQ611" s="228"/>
      <c r="CR611" s="228"/>
      <c r="CS611" s="228"/>
      <c r="CT611" s="228"/>
      <c r="CU611" s="228"/>
      <c r="CV611" s="228"/>
      <c r="CW611" s="228"/>
      <c r="CX611" s="228"/>
      <c r="CY611" s="228"/>
      <c r="CZ611" s="228"/>
      <c r="DA611" s="228"/>
      <c r="DB611" s="228"/>
    </row>
    <row r="612" ht="12.0" customHeight="1">
      <c r="A612" s="228"/>
      <c r="B612" s="228"/>
      <c r="C612" s="228"/>
      <c r="D612" s="228"/>
      <c r="E612" s="228"/>
      <c r="F612" s="228"/>
      <c r="G612" s="228"/>
      <c r="H612" s="228"/>
      <c r="I612" s="228"/>
      <c r="J612" s="228"/>
      <c r="K612" s="228"/>
      <c r="L612" s="228"/>
      <c r="M612" s="228"/>
      <c r="N612" s="228"/>
      <c r="O612" s="228"/>
      <c r="P612" s="228"/>
      <c r="Q612" s="228"/>
      <c r="R612" s="228"/>
      <c r="S612" s="228"/>
      <c r="T612" s="228"/>
      <c r="U612" s="228"/>
      <c r="V612" s="228"/>
      <c r="W612" s="228"/>
      <c r="X612" s="228"/>
      <c r="Y612" s="228"/>
      <c r="Z612" s="228"/>
      <c r="AA612" s="228"/>
      <c r="AB612" s="228"/>
      <c r="AC612" s="228"/>
      <c r="AD612" s="228"/>
      <c r="AE612" s="228"/>
      <c r="AF612" s="228"/>
      <c r="AG612" s="228"/>
      <c r="AH612" s="228"/>
      <c r="AI612" s="228"/>
      <c r="AJ612" s="228"/>
      <c r="AK612" s="228"/>
      <c r="AL612" s="228"/>
      <c r="AM612" s="228"/>
      <c r="AN612" s="228"/>
      <c r="AO612" s="228"/>
      <c r="AP612" s="228"/>
      <c r="AQ612" s="228"/>
      <c r="AR612" s="228"/>
      <c r="AS612" s="228"/>
      <c r="AT612" s="228"/>
      <c r="AU612" s="228"/>
      <c r="AV612" s="228"/>
      <c r="AW612" s="228"/>
      <c r="AX612" s="228"/>
      <c r="AY612" s="228"/>
      <c r="AZ612" s="228"/>
      <c r="BA612" s="228"/>
      <c r="BB612" s="228"/>
      <c r="BC612" s="228"/>
      <c r="BD612" s="228"/>
      <c r="BE612" s="228"/>
      <c r="BF612" s="228"/>
      <c r="BG612" s="228"/>
      <c r="BH612" s="228"/>
      <c r="BI612" s="228"/>
      <c r="BJ612" s="228"/>
      <c r="BK612" s="228"/>
      <c r="BL612" s="228"/>
      <c r="BM612" s="228"/>
      <c r="BN612" s="228"/>
      <c r="BO612" s="228"/>
      <c r="BP612" s="228"/>
      <c r="BQ612" s="228"/>
      <c r="BR612" s="228"/>
      <c r="BS612" s="228"/>
      <c r="BT612" s="228"/>
      <c r="BU612" s="228"/>
      <c r="BV612" s="228"/>
      <c r="BW612" s="228"/>
      <c r="BX612" s="228"/>
      <c r="BY612" s="228"/>
      <c r="BZ612" s="228"/>
      <c r="CA612" s="228"/>
      <c r="CB612" s="228"/>
      <c r="CC612" s="228"/>
      <c r="CD612" s="228"/>
      <c r="CE612" s="228"/>
      <c r="CF612" s="228"/>
      <c r="CG612" s="228"/>
      <c r="CH612" s="228"/>
      <c r="CI612" s="228"/>
      <c r="CJ612" s="228"/>
      <c r="CK612" s="228"/>
      <c r="CL612" s="228"/>
      <c r="CM612" s="228"/>
      <c r="CN612" s="228"/>
      <c r="CO612" s="228"/>
      <c r="CP612" s="228"/>
      <c r="CQ612" s="228"/>
      <c r="CR612" s="228"/>
      <c r="CS612" s="228"/>
      <c r="CT612" s="228"/>
      <c r="CU612" s="228"/>
      <c r="CV612" s="228"/>
      <c r="CW612" s="228"/>
      <c r="CX612" s="228"/>
      <c r="CY612" s="228"/>
      <c r="CZ612" s="228"/>
      <c r="DA612" s="228"/>
      <c r="DB612" s="228"/>
    </row>
    <row r="613" ht="12.0" customHeight="1">
      <c r="A613" s="228"/>
      <c r="B613" s="228"/>
      <c r="C613" s="228"/>
      <c r="D613" s="228"/>
      <c r="E613" s="228"/>
      <c r="F613" s="228"/>
      <c r="G613" s="228"/>
      <c r="H613" s="228"/>
      <c r="I613" s="228"/>
      <c r="J613" s="228"/>
      <c r="K613" s="228"/>
      <c r="L613" s="228"/>
      <c r="M613" s="228"/>
      <c r="N613" s="228"/>
      <c r="O613" s="228"/>
      <c r="P613" s="228"/>
      <c r="Q613" s="228"/>
      <c r="R613" s="228"/>
      <c r="S613" s="228"/>
      <c r="T613" s="228"/>
      <c r="U613" s="228"/>
      <c r="V613" s="228"/>
      <c r="W613" s="228"/>
      <c r="X613" s="228"/>
      <c r="Y613" s="228"/>
      <c r="Z613" s="228"/>
      <c r="AA613" s="228"/>
      <c r="AB613" s="228"/>
      <c r="AC613" s="228"/>
      <c r="AD613" s="228"/>
      <c r="AE613" s="228"/>
      <c r="AF613" s="228"/>
      <c r="AG613" s="228"/>
      <c r="AH613" s="228"/>
      <c r="AI613" s="228"/>
      <c r="AJ613" s="228"/>
      <c r="AK613" s="228"/>
      <c r="AL613" s="228"/>
      <c r="AM613" s="228"/>
      <c r="AN613" s="228"/>
      <c r="AO613" s="228"/>
      <c r="AP613" s="228"/>
      <c r="AQ613" s="228"/>
      <c r="AR613" s="228"/>
      <c r="AS613" s="228"/>
      <c r="AT613" s="228"/>
      <c r="AU613" s="228"/>
      <c r="AV613" s="228"/>
      <c r="AW613" s="228"/>
      <c r="AX613" s="228"/>
      <c r="AY613" s="228"/>
      <c r="AZ613" s="228"/>
      <c r="BA613" s="228"/>
      <c r="BB613" s="228"/>
      <c r="BC613" s="228"/>
      <c r="BD613" s="228"/>
      <c r="BE613" s="228"/>
      <c r="BF613" s="228"/>
      <c r="BG613" s="228"/>
      <c r="BH613" s="228"/>
      <c r="BI613" s="228"/>
      <c r="BJ613" s="228"/>
      <c r="BK613" s="228"/>
      <c r="BL613" s="228"/>
      <c r="BM613" s="228"/>
      <c r="BN613" s="228"/>
      <c r="BO613" s="228"/>
      <c r="BP613" s="228"/>
      <c r="BQ613" s="228"/>
      <c r="BR613" s="228"/>
      <c r="BS613" s="228"/>
      <c r="BT613" s="228"/>
      <c r="BU613" s="228"/>
      <c r="BV613" s="228"/>
      <c r="BW613" s="228"/>
      <c r="BX613" s="228"/>
      <c r="BY613" s="228"/>
      <c r="BZ613" s="228"/>
      <c r="CA613" s="228"/>
      <c r="CB613" s="228"/>
      <c r="CC613" s="228"/>
      <c r="CD613" s="228"/>
      <c r="CE613" s="228"/>
      <c r="CF613" s="228"/>
      <c r="CG613" s="228"/>
      <c r="CH613" s="228"/>
      <c r="CI613" s="228"/>
      <c r="CJ613" s="228"/>
      <c r="CK613" s="228"/>
      <c r="CL613" s="228"/>
      <c r="CM613" s="228"/>
      <c r="CN613" s="228"/>
      <c r="CO613" s="228"/>
      <c r="CP613" s="228"/>
      <c r="CQ613" s="228"/>
      <c r="CR613" s="228"/>
      <c r="CS613" s="228"/>
      <c r="CT613" s="228"/>
      <c r="CU613" s="228"/>
      <c r="CV613" s="228"/>
      <c r="CW613" s="228"/>
      <c r="CX613" s="228"/>
      <c r="CY613" s="228"/>
      <c r="CZ613" s="228"/>
      <c r="DA613" s="228"/>
      <c r="DB613" s="228"/>
    </row>
    <row r="614" ht="12.0" customHeight="1">
      <c r="A614" s="228"/>
      <c r="B614" s="228"/>
      <c r="C614" s="228"/>
      <c r="D614" s="228"/>
      <c r="E614" s="228"/>
      <c r="F614" s="228"/>
      <c r="G614" s="228"/>
      <c r="H614" s="228"/>
      <c r="I614" s="228"/>
      <c r="J614" s="228"/>
      <c r="K614" s="228"/>
      <c r="L614" s="228"/>
      <c r="M614" s="228"/>
      <c r="N614" s="228"/>
      <c r="O614" s="228"/>
      <c r="P614" s="228"/>
      <c r="Q614" s="228"/>
      <c r="R614" s="228"/>
      <c r="S614" s="228"/>
      <c r="T614" s="228"/>
      <c r="U614" s="228"/>
      <c r="V614" s="228"/>
      <c r="W614" s="228"/>
      <c r="X614" s="228"/>
      <c r="Y614" s="228"/>
      <c r="Z614" s="228"/>
      <c r="AA614" s="228"/>
      <c r="AB614" s="228"/>
      <c r="AC614" s="228"/>
      <c r="AD614" s="228"/>
      <c r="AE614" s="228"/>
      <c r="AF614" s="228"/>
      <c r="AG614" s="228"/>
      <c r="AH614" s="228"/>
      <c r="AI614" s="228"/>
      <c r="AJ614" s="228"/>
      <c r="AK614" s="228"/>
      <c r="AL614" s="228"/>
      <c r="AM614" s="228"/>
      <c r="AN614" s="228"/>
      <c r="AO614" s="228"/>
      <c r="AP614" s="228"/>
      <c r="AQ614" s="228"/>
      <c r="AR614" s="228"/>
      <c r="AS614" s="228"/>
      <c r="AT614" s="228"/>
      <c r="AU614" s="228"/>
      <c r="AV614" s="228"/>
      <c r="AW614" s="228"/>
      <c r="AX614" s="228"/>
      <c r="AY614" s="228"/>
      <c r="AZ614" s="228"/>
      <c r="BA614" s="228"/>
      <c r="BB614" s="228"/>
      <c r="BC614" s="228"/>
      <c r="BD614" s="228"/>
      <c r="BE614" s="228"/>
      <c r="BF614" s="228"/>
      <c r="BG614" s="228"/>
      <c r="BH614" s="228"/>
      <c r="BI614" s="228"/>
      <c r="BJ614" s="228"/>
      <c r="BK614" s="228"/>
      <c r="BL614" s="228"/>
      <c r="BM614" s="228"/>
      <c r="BN614" s="228"/>
      <c r="BO614" s="228"/>
      <c r="BP614" s="228"/>
      <c r="BQ614" s="228"/>
      <c r="BR614" s="228"/>
      <c r="BS614" s="228"/>
      <c r="BT614" s="228"/>
      <c r="BU614" s="228"/>
      <c r="BV614" s="228"/>
      <c r="BW614" s="228"/>
      <c r="BX614" s="228"/>
      <c r="BY614" s="228"/>
      <c r="BZ614" s="228"/>
      <c r="CA614" s="228"/>
      <c r="CB614" s="228"/>
      <c r="CC614" s="228"/>
      <c r="CD614" s="228"/>
      <c r="CE614" s="228"/>
      <c r="CF614" s="228"/>
      <c r="CG614" s="228"/>
      <c r="CH614" s="228"/>
      <c r="CI614" s="228"/>
      <c r="CJ614" s="228"/>
      <c r="CK614" s="228"/>
      <c r="CL614" s="228"/>
      <c r="CM614" s="228"/>
      <c r="CN614" s="228"/>
      <c r="CO614" s="228"/>
      <c r="CP614" s="228"/>
      <c r="CQ614" s="228"/>
      <c r="CR614" s="228"/>
      <c r="CS614" s="228"/>
      <c r="CT614" s="228"/>
      <c r="CU614" s="228"/>
      <c r="CV614" s="228"/>
      <c r="CW614" s="228"/>
      <c r="CX614" s="228"/>
      <c r="CY614" s="228"/>
      <c r="CZ614" s="228"/>
      <c r="DA614" s="228"/>
      <c r="DB614" s="228"/>
    </row>
    <row r="615" ht="12.0" customHeight="1">
      <c r="A615" s="228"/>
      <c r="B615" s="228"/>
      <c r="C615" s="228"/>
      <c r="D615" s="228"/>
      <c r="E615" s="228"/>
      <c r="F615" s="228"/>
      <c r="G615" s="228"/>
      <c r="H615" s="228"/>
      <c r="I615" s="228"/>
      <c r="J615" s="228"/>
      <c r="K615" s="228"/>
      <c r="L615" s="228"/>
      <c r="M615" s="228"/>
      <c r="N615" s="228"/>
      <c r="O615" s="228"/>
      <c r="P615" s="228"/>
      <c r="Q615" s="228"/>
      <c r="R615" s="228"/>
      <c r="S615" s="228"/>
      <c r="T615" s="228"/>
      <c r="U615" s="228"/>
      <c r="V615" s="228"/>
      <c r="W615" s="228"/>
      <c r="X615" s="228"/>
      <c r="Y615" s="228"/>
      <c r="Z615" s="228"/>
      <c r="AA615" s="228"/>
      <c r="AB615" s="228"/>
      <c r="AC615" s="228"/>
      <c r="AD615" s="228"/>
      <c r="AE615" s="228"/>
      <c r="AF615" s="228"/>
      <c r="AG615" s="228"/>
      <c r="AH615" s="228"/>
      <c r="AI615" s="228"/>
      <c r="AJ615" s="228"/>
      <c r="AK615" s="228"/>
      <c r="AL615" s="228"/>
      <c r="AM615" s="228"/>
      <c r="AN615" s="228"/>
      <c r="AO615" s="228"/>
      <c r="AP615" s="228"/>
      <c r="AQ615" s="228"/>
      <c r="AR615" s="228"/>
      <c r="AS615" s="228"/>
      <c r="AT615" s="228"/>
      <c r="AU615" s="228"/>
      <c r="AV615" s="228"/>
      <c r="AW615" s="228"/>
      <c r="AX615" s="228"/>
      <c r="AY615" s="228"/>
      <c r="AZ615" s="228"/>
      <c r="BA615" s="228"/>
      <c r="BB615" s="228"/>
      <c r="BC615" s="228"/>
      <c r="BD615" s="228"/>
      <c r="BE615" s="228"/>
      <c r="BF615" s="228"/>
      <c r="BG615" s="228"/>
      <c r="BH615" s="228"/>
      <c r="BI615" s="228"/>
      <c r="BJ615" s="228"/>
      <c r="BK615" s="228"/>
      <c r="BL615" s="228"/>
      <c r="BM615" s="228"/>
      <c r="BN615" s="228"/>
      <c r="BO615" s="228"/>
      <c r="BP615" s="228"/>
      <c r="BQ615" s="228"/>
      <c r="BR615" s="228"/>
      <c r="BS615" s="228"/>
      <c r="BT615" s="228"/>
      <c r="BU615" s="228"/>
      <c r="BV615" s="228"/>
      <c r="BW615" s="228"/>
      <c r="BX615" s="228"/>
      <c r="BY615" s="228"/>
      <c r="BZ615" s="228"/>
      <c r="CA615" s="228"/>
      <c r="CB615" s="228"/>
      <c r="CC615" s="228"/>
      <c r="CD615" s="228"/>
      <c r="CE615" s="228"/>
      <c r="CF615" s="228"/>
      <c r="CG615" s="228"/>
      <c r="CH615" s="228"/>
      <c r="CI615" s="228"/>
      <c r="CJ615" s="228"/>
      <c r="CK615" s="228"/>
      <c r="CL615" s="228"/>
      <c r="CM615" s="228"/>
      <c r="CN615" s="228"/>
      <c r="CO615" s="228"/>
      <c r="CP615" s="228"/>
      <c r="CQ615" s="228"/>
      <c r="CR615" s="228"/>
      <c r="CS615" s="228"/>
      <c r="CT615" s="228"/>
      <c r="CU615" s="228"/>
      <c r="CV615" s="228"/>
      <c r="CW615" s="228"/>
      <c r="CX615" s="228"/>
      <c r="CY615" s="228"/>
      <c r="CZ615" s="228"/>
      <c r="DA615" s="228"/>
      <c r="DB615" s="228"/>
    </row>
    <row r="616" ht="12.0" customHeight="1">
      <c r="A616" s="228"/>
      <c r="B616" s="228"/>
      <c r="C616" s="228"/>
      <c r="D616" s="228"/>
      <c r="E616" s="228"/>
      <c r="F616" s="228"/>
      <c r="G616" s="228"/>
      <c r="H616" s="228"/>
      <c r="I616" s="228"/>
      <c r="J616" s="228"/>
      <c r="K616" s="228"/>
      <c r="L616" s="228"/>
      <c r="M616" s="228"/>
      <c r="N616" s="228"/>
      <c r="O616" s="228"/>
      <c r="P616" s="228"/>
      <c r="Q616" s="228"/>
      <c r="R616" s="228"/>
      <c r="S616" s="228"/>
      <c r="T616" s="228"/>
      <c r="U616" s="228"/>
      <c r="V616" s="228"/>
      <c r="W616" s="228"/>
      <c r="X616" s="228"/>
      <c r="Y616" s="228"/>
      <c r="Z616" s="228"/>
      <c r="AA616" s="228"/>
      <c r="AB616" s="228"/>
      <c r="AC616" s="228"/>
      <c r="AD616" s="228"/>
      <c r="AE616" s="228"/>
      <c r="AF616" s="228"/>
      <c r="AG616" s="228"/>
      <c r="AH616" s="228"/>
      <c r="AI616" s="228"/>
      <c r="AJ616" s="228"/>
      <c r="AK616" s="228"/>
      <c r="AL616" s="228"/>
      <c r="AM616" s="228"/>
      <c r="AN616" s="228"/>
      <c r="AO616" s="228"/>
      <c r="AP616" s="228"/>
      <c r="AQ616" s="228"/>
      <c r="AR616" s="228"/>
      <c r="AS616" s="228"/>
      <c r="AT616" s="228"/>
      <c r="AU616" s="228"/>
      <c r="AV616" s="228"/>
      <c r="AW616" s="228"/>
      <c r="AX616" s="228"/>
      <c r="AY616" s="228"/>
      <c r="AZ616" s="228"/>
      <c r="BA616" s="228"/>
      <c r="BB616" s="228"/>
      <c r="BC616" s="228"/>
      <c r="BD616" s="228"/>
      <c r="BE616" s="228"/>
      <c r="BF616" s="228"/>
      <c r="BG616" s="228"/>
      <c r="BH616" s="228"/>
      <c r="BI616" s="228"/>
      <c r="BJ616" s="228"/>
      <c r="BK616" s="228"/>
      <c r="BL616" s="228"/>
      <c r="BM616" s="228"/>
      <c r="BN616" s="228"/>
      <c r="BO616" s="228"/>
      <c r="BP616" s="228"/>
      <c r="BQ616" s="228"/>
      <c r="BR616" s="228"/>
      <c r="BS616" s="228"/>
      <c r="BT616" s="228"/>
      <c r="BU616" s="228"/>
      <c r="BV616" s="228"/>
      <c r="BW616" s="228"/>
      <c r="BX616" s="228"/>
      <c r="BY616" s="228"/>
      <c r="BZ616" s="228"/>
      <c r="CA616" s="228"/>
      <c r="CB616" s="228"/>
      <c r="CC616" s="228"/>
      <c r="CD616" s="228"/>
      <c r="CE616" s="228"/>
      <c r="CF616" s="228"/>
      <c r="CG616" s="228"/>
      <c r="CH616" s="228"/>
      <c r="CI616" s="228"/>
      <c r="CJ616" s="228"/>
      <c r="CK616" s="228"/>
      <c r="CL616" s="228"/>
      <c r="CM616" s="228"/>
      <c r="CN616" s="228"/>
      <c r="CO616" s="228"/>
      <c r="CP616" s="228"/>
      <c r="CQ616" s="228"/>
      <c r="CR616" s="228"/>
      <c r="CS616" s="228"/>
      <c r="CT616" s="228"/>
      <c r="CU616" s="228"/>
      <c r="CV616" s="228"/>
      <c r="CW616" s="228"/>
      <c r="CX616" s="228"/>
      <c r="CY616" s="228"/>
      <c r="CZ616" s="228"/>
      <c r="DA616" s="228"/>
      <c r="DB616" s="228"/>
    </row>
    <row r="617" ht="12.0" customHeight="1">
      <c r="A617" s="228"/>
      <c r="B617" s="228"/>
      <c r="C617" s="228"/>
      <c r="D617" s="228"/>
      <c r="E617" s="228"/>
      <c r="F617" s="228"/>
      <c r="G617" s="228"/>
      <c r="H617" s="228"/>
      <c r="I617" s="228"/>
      <c r="J617" s="228"/>
      <c r="K617" s="228"/>
      <c r="L617" s="228"/>
      <c r="M617" s="228"/>
      <c r="N617" s="228"/>
      <c r="O617" s="228"/>
      <c r="P617" s="228"/>
      <c r="Q617" s="228"/>
      <c r="R617" s="228"/>
      <c r="S617" s="228"/>
      <c r="T617" s="228"/>
      <c r="U617" s="228"/>
      <c r="V617" s="228"/>
      <c r="W617" s="228"/>
      <c r="X617" s="228"/>
      <c r="Y617" s="228"/>
      <c r="Z617" s="228"/>
      <c r="AA617" s="228"/>
      <c r="AB617" s="228"/>
      <c r="AC617" s="228"/>
      <c r="AD617" s="228"/>
      <c r="AE617" s="228"/>
      <c r="AF617" s="228"/>
      <c r="AG617" s="228"/>
      <c r="AH617" s="228"/>
      <c r="AI617" s="228"/>
      <c r="AJ617" s="228"/>
      <c r="AK617" s="228"/>
      <c r="AL617" s="228"/>
      <c r="AM617" s="228"/>
      <c r="AN617" s="228"/>
      <c r="AO617" s="228"/>
      <c r="AP617" s="228"/>
      <c r="AQ617" s="228"/>
      <c r="AR617" s="228"/>
      <c r="AS617" s="228"/>
      <c r="AT617" s="228"/>
      <c r="AU617" s="228"/>
      <c r="AV617" s="228"/>
      <c r="AW617" s="228"/>
      <c r="AX617" s="228"/>
      <c r="AY617" s="228"/>
      <c r="AZ617" s="228"/>
      <c r="BA617" s="228"/>
      <c r="BB617" s="228"/>
      <c r="BC617" s="228"/>
      <c r="BD617" s="228"/>
      <c r="BE617" s="228"/>
      <c r="BF617" s="228"/>
      <c r="BG617" s="228"/>
      <c r="BH617" s="228"/>
      <c r="BI617" s="228"/>
      <c r="BJ617" s="228"/>
      <c r="BK617" s="228"/>
      <c r="BL617" s="228"/>
      <c r="BM617" s="228"/>
      <c r="BN617" s="228"/>
      <c r="BO617" s="228"/>
      <c r="BP617" s="228"/>
      <c r="BQ617" s="228"/>
      <c r="BR617" s="228"/>
      <c r="BS617" s="228"/>
      <c r="BT617" s="228"/>
      <c r="BU617" s="228"/>
      <c r="BV617" s="228"/>
      <c r="BW617" s="228"/>
      <c r="BX617" s="228"/>
      <c r="BY617" s="228"/>
      <c r="BZ617" s="228"/>
      <c r="CA617" s="228"/>
      <c r="CB617" s="228"/>
      <c r="CC617" s="228"/>
      <c r="CD617" s="228"/>
      <c r="CE617" s="228"/>
      <c r="CF617" s="228"/>
      <c r="CG617" s="228"/>
      <c r="CH617" s="228"/>
      <c r="CI617" s="228"/>
      <c r="CJ617" s="228"/>
      <c r="CK617" s="228"/>
      <c r="CL617" s="228"/>
      <c r="CM617" s="228"/>
      <c r="CN617" s="228"/>
      <c r="CO617" s="228"/>
      <c r="CP617" s="228"/>
      <c r="CQ617" s="228"/>
      <c r="CR617" s="228"/>
      <c r="CS617" s="228"/>
      <c r="CT617" s="228"/>
      <c r="CU617" s="228"/>
      <c r="CV617" s="228"/>
      <c r="CW617" s="228"/>
      <c r="CX617" s="228"/>
      <c r="CY617" s="228"/>
      <c r="CZ617" s="228"/>
      <c r="DA617" s="228"/>
      <c r="DB617" s="228"/>
    </row>
    <row r="618" ht="12.0" customHeight="1">
      <c r="A618" s="228"/>
      <c r="B618" s="228"/>
      <c r="C618" s="228"/>
      <c r="D618" s="228"/>
      <c r="E618" s="228"/>
      <c r="F618" s="228"/>
      <c r="G618" s="228"/>
      <c r="H618" s="228"/>
      <c r="I618" s="228"/>
      <c r="J618" s="228"/>
      <c r="K618" s="228"/>
      <c r="L618" s="228"/>
      <c r="M618" s="228"/>
      <c r="N618" s="228"/>
      <c r="O618" s="228"/>
      <c r="P618" s="228"/>
      <c r="Q618" s="228"/>
      <c r="R618" s="228"/>
      <c r="S618" s="228"/>
      <c r="T618" s="228"/>
      <c r="U618" s="228"/>
      <c r="V618" s="228"/>
      <c r="W618" s="228"/>
      <c r="X618" s="228"/>
      <c r="Y618" s="228"/>
      <c r="Z618" s="228"/>
      <c r="AA618" s="228"/>
      <c r="AB618" s="228"/>
      <c r="AC618" s="228"/>
      <c r="AD618" s="228"/>
      <c r="AE618" s="228"/>
      <c r="AF618" s="228"/>
      <c r="AG618" s="228"/>
      <c r="AH618" s="228"/>
      <c r="AI618" s="228"/>
      <c r="AJ618" s="228"/>
      <c r="AK618" s="228"/>
      <c r="AL618" s="228"/>
      <c r="AM618" s="228"/>
      <c r="AN618" s="228"/>
      <c r="AO618" s="228"/>
      <c r="AP618" s="228"/>
      <c r="AQ618" s="228"/>
      <c r="AR618" s="228"/>
      <c r="AS618" s="228"/>
      <c r="AT618" s="228"/>
      <c r="AU618" s="228"/>
      <c r="AV618" s="228"/>
      <c r="AW618" s="228"/>
      <c r="AX618" s="228"/>
      <c r="AY618" s="228"/>
      <c r="AZ618" s="228"/>
      <c r="BA618" s="228"/>
      <c r="BB618" s="228"/>
      <c r="BC618" s="228"/>
      <c r="BD618" s="228"/>
      <c r="BE618" s="228"/>
      <c r="BF618" s="228"/>
      <c r="BG618" s="228"/>
      <c r="BH618" s="228"/>
      <c r="BI618" s="228"/>
      <c r="BJ618" s="228"/>
      <c r="BK618" s="228"/>
      <c r="BL618" s="228"/>
      <c r="BM618" s="228"/>
      <c r="BN618" s="228"/>
      <c r="BO618" s="228"/>
      <c r="BP618" s="228"/>
      <c r="BQ618" s="228"/>
      <c r="BR618" s="228"/>
      <c r="BS618" s="228"/>
      <c r="BT618" s="228"/>
      <c r="BU618" s="228"/>
      <c r="BV618" s="228"/>
      <c r="BW618" s="228"/>
      <c r="BX618" s="228"/>
      <c r="BY618" s="228"/>
      <c r="BZ618" s="228"/>
      <c r="CA618" s="228"/>
      <c r="CB618" s="228"/>
      <c r="CC618" s="228"/>
      <c r="CD618" s="228"/>
      <c r="CE618" s="228"/>
      <c r="CF618" s="228"/>
      <c r="CG618" s="228"/>
      <c r="CH618" s="228"/>
      <c r="CI618" s="228"/>
      <c r="CJ618" s="228"/>
      <c r="CK618" s="228"/>
      <c r="CL618" s="228"/>
      <c r="CM618" s="228"/>
      <c r="CN618" s="228"/>
      <c r="CO618" s="228"/>
      <c r="CP618" s="228"/>
      <c r="CQ618" s="228"/>
      <c r="CR618" s="228"/>
      <c r="CS618" s="228"/>
      <c r="CT618" s="228"/>
      <c r="CU618" s="228"/>
      <c r="CV618" s="228"/>
      <c r="CW618" s="228"/>
      <c r="CX618" s="228"/>
      <c r="CY618" s="228"/>
      <c r="CZ618" s="228"/>
      <c r="DA618" s="228"/>
      <c r="DB618" s="228"/>
    </row>
    <row r="619" ht="12.0" customHeight="1">
      <c r="A619" s="228"/>
      <c r="B619" s="228"/>
      <c r="C619" s="228"/>
      <c r="D619" s="228"/>
      <c r="E619" s="228"/>
      <c r="F619" s="228"/>
      <c r="G619" s="228"/>
      <c r="H619" s="228"/>
      <c r="I619" s="228"/>
      <c r="J619" s="228"/>
      <c r="K619" s="228"/>
      <c r="L619" s="228"/>
      <c r="M619" s="228"/>
      <c r="N619" s="228"/>
      <c r="O619" s="228"/>
      <c r="P619" s="228"/>
      <c r="Q619" s="228"/>
      <c r="R619" s="228"/>
      <c r="S619" s="228"/>
      <c r="T619" s="228"/>
      <c r="U619" s="228"/>
      <c r="V619" s="228"/>
      <c r="W619" s="228"/>
      <c r="X619" s="228"/>
      <c r="Y619" s="228"/>
      <c r="Z619" s="228"/>
      <c r="AA619" s="228"/>
      <c r="AB619" s="228"/>
      <c r="AC619" s="228"/>
      <c r="AD619" s="228"/>
      <c r="AE619" s="228"/>
      <c r="AF619" s="228"/>
      <c r="AG619" s="228"/>
      <c r="AH619" s="228"/>
      <c r="AI619" s="228"/>
      <c r="AJ619" s="228"/>
      <c r="AK619" s="228"/>
      <c r="AL619" s="228"/>
      <c r="AM619" s="228"/>
      <c r="AN619" s="228"/>
      <c r="AO619" s="228"/>
      <c r="AP619" s="228"/>
      <c r="AQ619" s="228"/>
      <c r="AR619" s="228"/>
      <c r="AS619" s="228"/>
      <c r="AT619" s="228"/>
      <c r="AU619" s="228"/>
      <c r="AV619" s="228"/>
      <c r="AW619" s="228"/>
      <c r="AX619" s="228"/>
      <c r="AY619" s="228"/>
      <c r="AZ619" s="228"/>
      <c r="BA619" s="228"/>
      <c r="BB619" s="228"/>
      <c r="BC619" s="228"/>
      <c r="BD619" s="228"/>
      <c r="BE619" s="228"/>
      <c r="BF619" s="228"/>
      <c r="BG619" s="228"/>
      <c r="BH619" s="228"/>
      <c r="BI619" s="228"/>
      <c r="BJ619" s="228"/>
      <c r="BK619" s="228"/>
      <c r="BL619" s="228"/>
      <c r="BM619" s="228"/>
      <c r="BN619" s="228"/>
      <c r="BO619" s="228"/>
      <c r="BP619" s="228"/>
      <c r="BQ619" s="228"/>
      <c r="BR619" s="228"/>
      <c r="BS619" s="228"/>
      <c r="BT619" s="228"/>
      <c r="BU619" s="228"/>
      <c r="BV619" s="228"/>
      <c r="BW619" s="228"/>
      <c r="BX619" s="228"/>
      <c r="BY619" s="228"/>
      <c r="BZ619" s="228"/>
      <c r="CA619" s="228"/>
      <c r="CB619" s="228"/>
      <c r="CC619" s="228"/>
      <c r="CD619" s="228"/>
      <c r="CE619" s="228"/>
      <c r="CF619" s="228"/>
      <c r="CG619" s="228"/>
      <c r="CH619" s="228"/>
      <c r="CI619" s="228"/>
      <c r="CJ619" s="228"/>
      <c r="CK619" s="228"/>
      <c r="CL619" s="228"/>
      <c r="CM619" s="228"/>
      <c r="CN619" s="228"/>
      <c r="CO619" s="228"/>
      <c r="CP619" s="228"/>
      <c r="CQ619" s="228"/>
      <c r="CR619" s="228"/>
      <c r="CS619" s="228"/>
      <c r="CT619" s="228"/>
      <c r="CU619" s="228"/>
      <c r="CV619" s="228"/>
      <c r="CW619" s="228"/>
      <c r="CX619" s="228"/>
      <c r="CY619" s="228"/>
      <c r="CZ619" s="228"/>
      <c r="DA619" s="228"/>
      <c r="DB619" s="228"/>
    </row>
    <row r="620" ht="12.0" customHeight="1">
      <c r="A620" s="228"/>
      <c r="B620" s="228"/>
      <c r="C620" s="228"/>
      <c r="D620" s="228"/>
      <c r="E620" s="228"/>
      <c r="F620" s="228"/>
      <c r="G620" s="228"/>
      <c r="H620" s="228"/>
      <c r="I620" s="228"/>
      <c r="J620" s="228"/>
      <c r="K620" s="228"/>
      <c r="L620" s="228"/>
      <c r="M620" s="228"/>
      <c r="N620" s="228"/>
      <c r="O620" s="228"/>
      <c r="P620" s="228"/>
      <c r="Q620" s="228"/>
      <c r="R620" s="228"/>
      <c r="S620" s="228"/>
      <c r="T620" s="228"/>
      <c r="U620" s="228"/>
      <c r="V620" s="228"/>
      <c r="W620" s="228"/>
      <c r="X620" s="228"/>
      <c r="Y620" s="228"/>
      <c r="Z620" s="228"/>
      <c r="AA620" s="228"/>
      <c r="AB620" s="228"/>
      <c r="AC620" s="228"/>
      <c r="AD620" s="228"/>
      <c r="AE620" s="228"/>
      <c r="AF620" s="228"/>
      <c r="AG620" s="228"/>
      <c r="AH620" s="228"/>
      <c r="AI620" s="228"/>
      <c r="AJ620" s="228"/>
      <c r="AK620" s="228"/>
      <c r="AL620" s="228"/>
      <c r="AM620" s="228"/>
      <c r="AN620" s="228"/>
      <c r="AO620" s="228"/>
      <c r="AP620" s="228"/>
      <c r="AQ620" s="228"/>
      <c r="AR620" s="228"/>
      <c r="AS620" s="228"/>
      <c r="AT620" s="228"/>
      <c r="AU620" s="228"/>
      <c r="AV620" s="228"/>
      <c r="AW620" s="228"/>
      <c r="AX620" s="228"/>
      <c r="AY620" s="228"/>
      <c r="AZ620" s="228"/>
      <c r="BA620" s="228"/>
      <c r="BB620" s="228"/>
      <c r="BC620" s="228"/>
      <c r="BD620" s="228"/>
      <c r="BE620" s="228"/>
      <c r="BF620" s="228"/>
      <c r="BG620" s="228"/>
      <c r="BH620" s="228"/>
      <c r="BI620" s="228"/>
      <c r="BJ620" s="228"/>
      <c r="BK620" s="228"/>
      <c r="BL620" s="228"/>
      <c r="BM620" s="228"/>
      <c r="BN620" s="228"/>
      <c r="BO620" s="228"/>
      <c r="BP620" s="228"/>
      <c r="BQ620" s="228"/>
      <c r="BR620" s="228"/>
      <c r="BS620" s="228"/>
      <c r="BT620" s="228"/>
      <c r="BU620" s="228"/>
      <c r="BV620" s="228"/>
      <c r="BW620" s="228"/>
      <c r="BX620" s="228"/>
      <c r="BY620" s="228"/>
      <c r="BZ620" s="228"/>
      <c r="CA620" s="228"/>
      <c r="CB620" s="228"/>
      <c r="CC620" s="228"/>
      <c r="CD620" s="228"/>
      <c r="CE620" s="228"/>
      <c r="CF620" s="228"/>
      <c r="CG620" s="228"/>
      <c r="CH620" s="228"/>
      <c r="CI620" s="228"/>
      <c r="CJ620" s="228"/>
      <c r="CK620" s="228"/>
      <c r="CL620" s="228"/>
      <c r="CM620" s="228"/>
      <c r="CN620" s="228"/>
      <c r="CO620" s="228"/>
      <c r="CP620" s="228"/>
      <c r="CQ620" s="228"/>
      <c r="CR620" s="228"/>
      <c r="CS620" s="228"/>
      <c r="CT620" s="228"/>
      <c r="CU620" s="228"/>
      <c r="CV620" s="228"/>
      <c r="CW620" s="228"/>
      <c r="CX620" s="228"/>
      <c r="CY620" s="228"/>
      <c r="CZ620" s="228"/>
      <c r="DA620" s="228"/>
      <c r="DB620" s="228"/>
    </row>
    <row r="621" ht="12.0" customHeight="1">
      <c r="A621" s="228"/>
      <c r="B621" s="228"/>
      <c r="C621" s="228"/>
      <c r="D621" s="228"/>
      <c r="E621" s="228"/>
      <c r="F621" s="228"/>
      <c r="G621" s="228"/>
      <c r="H621" s="228"/>
      <c r="I621" s="228"/>
      <c r="J621" s="228"/>
      <c r="K621" s="228"/>
      <c r="L621" s="228"/>
      <c r="M621" s="228"/>
      <c r="N621" s="228"/>
      <c r="O621" s="228"/>
      <c r="P621" s="228"/>
      <c r="Q621" s="228"/>
      <c r="R621" s="228"/>
      <c r="S621" s="228"/>
      <c r="T621" s="228"/>
      <c r="U621" s="228"/>
      <c r="V621" s="228"/>
      <c r="W621" s="228"/>
      <c r="X621" s="228"/>
      <c r="Y621" s="228"/>
      <c r="Z621" s="228"/>
      <c r="AA621" s="228"/>
      <c r="AB621" s="228"/>
      <c r="AC621" s="228"/>
      <c r="AD621" s="228"/>
      <c r="AE621" s="228"/>
      <c r="AF621" s="228"/>
      <c r="AG621" s="228"/>
      <c r="AH621" s="228"/>
      <c r="AI621" s="228"/>
      <c r="AJ621" s="228"/>
      <c r="AK621" s="228"/>
      <c r="AL621" s="228"/>
      <c r="AM621" s="228"/>
      <c r="AN621" s="228"/>
      <c r="AO621" s="228"/>
      <c r="AP621" s="228"/>
      <c r="AQ621" s="228"/>
      <c r="AR621" s="228"/>
      <c r="AS621" s="228"/>
      <c r="AT621" s="228"/>
      <c r="AU621" s="228"/>
      <c r="AV621" s="228"/>
      <c r="AW621" s="228"/>
      <c r="AX621" s="228"/>
      <c r="AY621" s="228"/>
      <c r="AZ621" s="228"/>
      <c r="BA621" s="228"/>
      <c r="BB621" s="228"/>
      <c r="BC621" s="228"/>
      <c r="BD621" s="228"/>
      <c r="BE621" s="228"/>
      <c r="BF621" s="228"/>
      <c r="BG621" s="228"/>
      <c r="BH621" s="228"/>
      <c r="BI621" s="228"/>
      <c r="BJ621" s="228"/>
      <c r="BK621" s="228"/>
      <c r="BL621" s="228"/>
      <c r="BM621" s="228"/>
      <c r="BN621" s="228"/>
      <c r="BO621" s="228"/>
      <c r="BP621" s="228"/>
      <c r="BQ621" s="228"/>
      <c r="BR621" s="228"/>
      <c r="BS621" s="228"/>
      <c r="BT621" s="228"/>
      <c r="BU621" s="228"/>
      <c r="BV621" s="228"/>
      <c r="BW621" s="228"/>
      <c r="BX621" s="228"/>
      <c r="BY621" s="228"/>
      <c r="BZ621" s="228"/>
      <c r="CA621" s="228"/>
      <c r="CB621" s="228"/>
      <c r="CC621" s="228"/>
      <c r="CD621" s="228"/>
      <c r="CE621" s="228"/>
      <c r="CF621" s="228"/>
      <c r="CG621" s="228"/>
      <c r="CH621" s="228"/>
      <c r="CI621" s="228"/>
      <c r="CJ621" s="228"/>
      <c r="CK621" s="228"/>
      <c r="CL621" s="228"/>
      <c r="CM621" s="228"/>
      <c r="CN621" s="228"/>
      <c r="CO621" s="228"/>
      <c r="CP621" s="228"/>
      <c r="CQ621" s="228"/>
      <c r="CR621" s="228"/>
      <c r="CS621" s="228"/>
      <c r="CT621" s="228"/>
      <c r="CU621" s="228"/>
      <c r="CV621" s="228"/>
      <c r="CW621" s="228"/>
      <c r="CX621" s="228"/>
      <c r="CY621" s="228"/>
      <c r="CZ621" s="228"/>
      <c r="DA621" s="228"/>
      <c r="DB621" s="228"/>
    </row>
    <row r="622" ht="12.0" customHeight="1">
      <c r="A622" s="228"/>
      <c r="B622" s="228"/>
      <c r="C622" s="228"/>
      <c r="D622" s="228"/>
      <c r="E622" s="228"/>
      <c r="F622" s="228"/>
      <c r="G622" s="228"/>
      <c r="H622" s="228"/>
      <c r="I622" s="228"/>
      <c r="J622" s="228"/>
      <c r="K622" s="228"/>
      <c r="L622" s="228"/>
      <c r="M622" s="228"/>
      <c r="N622" s="228"/>
      <c r="O622" s="228"/>
      <c r="P622" s="228"/>
      <c r="Q622" s="228"/>
      <c r="R622" s="228"/>
      <c r="S622" s="228"/>
      <c r="T622" s="228"/>
      <c r="U622" s="228"/>
      <c r="V622" s="228"/>
      <c r="W622" s="228"/>
      <c r="X622" s="228"/>
      <c r="Y622" s="228"/>
      <c r="Z622" s="228"/>
      <c r="AA622" s="228"/>
      <c r="AB622" s="228"/>
      <c r="AC622" s="228"/>
      <c r="AD622" s="228"/>
      <c r="AE622" s="228"/>
      <c r="AF622" s="228"/>
      <c r="AG622" s="228"/>
      <c r="AH622" s="228"/>
      <c r="AI622" s="228"/>
      <c r="AJ622" s="228"/>
      <c r="AK622" s="228"/>
      <c r="AL622" s="228"/>
      <c r="AM622" s="228"/>
      <c r="AN622" s="228"/>
      <c r="AO622" s="228"/>
      <c r="AP622" s="228"/>
      <c r="AQ622" s="228"/>
      <c r="AR622" s="228"/>
      <c r="AS622" s="228"/>
      <c r="AT622" s="228"/>
      <c r="AU622" s="228"/>
      <c r="AV622" s="228"/>
      <c r="AW622" s="228"/>
      <c r="AX622" s="228"/>
      <c r="AY622" s="228"/>
      <c r="AZ622" s="228"/>
      <c r="BA622" s="228"/>
      <c r="BB622" s="228"/>
      <c r="BC622" s="228"/>
      <c r="BD622" s="228"/>
      <c r="BE622" s="228"/>
      <c r="BF622" s="228"/>
      <c r="BG622" s="228"/>
      <c r="BH622" s="228"/>
      <c r="BI622" s="228"/>
      <c r="BJ622" s="228"/>
      <c r="BK622" s="228"/>
      <c r="BL622" s="228"/>
      <c r="BM622" s="228"/>
      <c r="BN622" s="228"/>
      <c r="BO622" s="228"/>
      <c r="BP622" s="228"/>
      <c r="BQ622" s="228"/>
      <c r="BR622" s="228"/>
      <c r="BS622" s="228"/>
      <c r="BT622" s="228"/>
      <c r="BU622" s="228"/>
      <c r="BV622" s="228"/>
      <c r="BW622" s="228"/>
      <c r="BX622" s="228"/>
      <c r="BY622" s="228"/>
      <c r="BZ622" s="228"/>
      <c r="CA622" s="228"/>
      <c r="CB622" s="228"/>
      <c r="CC622" s="228"/>
      <c r="CD622" s="228"/>
      <c r="CE622" s="228"/>
      <c r="CF622" s="228"/>
      <c r="CG622" s="228"/>
      <c r="CH622" s="228"/>
      <c r="CI622" s="228"/>
      <c r="CJ622" s="228"/>
      <c r="CK622" s="228"/>
      <c r="CL622" s="228"/>
      <c r="CM622" s="228"/>
      <c r="CN622" s="228"/>
      <c r="CO622" s="228"/>
      <c r="CP622" s="228"/>
      <c r="CQ622" s="228"/>
      <c r="CR622" s="228"/>
      <c r="CS622" s="228"/>
      <c r="CT622" s="228"/>
      <c r="CU622" s="228"/>
      <c r="CV622" s="228"/>
      <c r="CW622" s="228"/>
      <c r="CX622" s="228"/>
      <c r="CY622" s="228"/>
      <c r="CZ622" s="228"/>
      <c r="DA622" s="228"/>
      <c r="DB622" s="228"/>
    </row>
    <row r="623" ht="12.0" customHeight="1">
      <c r="A623" s="228"/>
      <c r="B623" s="228"/>
      <c r="C623" s="228"/>
      <c r="D623" s="228"/>
      <c r="E623" s="228"/>
      <c r="F623" s="228"/>
      <c r="G623" s="228"/>
      <c r="H623" s="228"/>
      <c r="I623" s="228"/>
      <c r="J623" s="228"/>
      <c r="K623" s="228"/>
      <c r="L623" s="228"/>
      <c r="M623" s="228"/>
      <c r="N623" s="228"/>
      <c r="O623" s="228"/>
      <c r="P623" s="228"/>
      <c r="Q623" s="228"/>
      <c r="R623" s="228"/>
      <c r="S623" s="228"/>
      <c r="T623" s="228"/>
      <c r="U623" s="228"/>
      <c r="V623" s="228"/>
      <c r="W623" s="228"/>
      <c r="X623" s="228"/>
      <c r="Y623" s="228"/>
      <c r="Z623" s="228"/>
      <c r="AA623" s="228"/>
      <c r="AB623" s="228"/>
      <c r="AC623" s="228"/>
      <c r="AD623" s="228"/>
      <c r="AE623" s="228"/>
      <c r="AF623" s="228"/>
      <c r="AG623" s="228"/>
      <c r="AH623" s="228"/>
      <c r="AI623" s="228"/>
      <c r="AJ623" s="228"/>
      <c r="AK623" s="228"/>
      <c r="AL623" s="228"/>
      <c r="AM623" s="228"/>
      <c r="AN623" s="228"/>
      <c r="AO623" s="228"/>
      <c r="AP623" s="228"/>
      <c r="AQ623" s="228"/>
      <c r="AR623" s="228"/>
      <c r="AS623" s="228"/>
      <c r="AT623" s="228"/>
      <c r="AU623" s="228"/>
      <c r="AV623" s="228"/>
      <c r="AW623" s="228"/>
      <c r="AX623" s="228"/>
      <c r="AY623" s="228"/>
      <c r="AZ623" s="228"/>
      <c r="BA623" s="228"/>
      <c r="BB623" s="228"/>
      <c r="BC623" s="228"/>
      <c r="BD623" s="228"/>
      <c r="BE623" s="228"/>
      <c r="BF623" s="228"/>
      <c r="BG623" s="228"/>
      <c r="BH623" s="228"/>
      <c r="BI623" s="228"/>
      <c r="BJ623" s="228"/>
      <c r="BK623" s="228"/>
      <c r="BL623" s="228"/>
      <c r="BM623" s="228"/>
      <c r="BN623" s="228"/>
      <c r="BO623" s="228"/>
      <c r="BP623" s="228"/>
      <c r="BQ623" s="228"/>
      <c r="BR623" s="228"/>
      <c r="BS623" s="228"/>
      <c r="BT623" s="228"/>
      <c r="BU623" s="228"/>
      <c r="BV623" s="228"/>
      <c r="BW623" s="228"/>
      <c r="BX623" s="228"/>
      <c r="BY623" s="228"/>
      <c r="BZ623" s="228"/>
      <c r="CA623" s="228"/>
      <c r="CB623" s="228"/>
      <c r="CC623" s="228"/>
      <c r="CD623" s="228"/>
      <c r="CE623" s="228"/>
      <c r="CF623" s="228"/>
      <c r="CG623" s="228"/>
      <c r="CH623" s="228"/>
      <c r="CI623" s="228"/>
      <c r="CJ623" s="228"/>
      <c r="CK623" s="228"/>
      <c r="CL623" s="228"/>
      <c r="CM623" s="228"/>
      <c r="CN623" s="228"/>
      <c r="CO623" s="228"/>
      <c r="CP623" s="228"/>
      <c r="CQ623" s="228"/>
      <c r="CR623" s="228"/>
      <c r="CS623" s="228"/>
      <c r="CT623" s="228"/>
      <c r="CU623" s="228"/>
      <c r="CV623" s="228"/>
      <c r="CW623" s="228"/>
      <c r="CX623" s="228"/>
      <c r="CY623" s="228"/>
      <c r="CZ623" s="228"/>
      <c r="DA623" s="228"/>
      <c r="DB623" s="228"/>
    </row>
    <row r="624" ht="12.0" customHeight="1">
      <c r="A624" s="228"/>
      <c r="B624" s="228"/>
      <c r="C624" s="228"/>
      <c r="D624" s="228"/>
      <c r="E624" s="228"/>
      <c r="F624" s="228"/>
      <c r="G624" s="228"/>
      <c r="H624" s="228"/>
      <c r="I624" s="228"/>
      <c r="J624" s="228"/>
      <c r="K624" s="228"/>
      <c r="L624" s="228"/>
      <c r="M624" s="228"/>
      <c r="N624" s="228"/>
      <c r="O624" s="228"/>
      <c r="P624" s="228"/>
      <c r="Q624" s="228"/>
      <c r="R624" s="228"/>
      <c r="S624" s="228"/>
      <c r="T624" s="228"/>
      <c r="U624" s="228"/>
      <c r="V624" s="228"/>
      <c r="W624" s="228"/>
      <c r="X624" s="228"/>
      <c r="Y624" s="228"/>
      <c r="Z624" s="228"/>
      <c r="AA624" s="228"/>
      <c r="AB624" s="228"/>
      <c r="AC624" s="228"/>
      <c r="AD624" s="228"/>
      <c r="AE624" s="228"/>
      <c r="AF624" s="228"/>
      <c r="AG624" s="228"/>
      <c r="AH624" s="228"/>
      <c r="AI624" s="228"/>
      <c r="AJ624" s="228"/>
      <c r="AK624" s="228"/>
      <c r="AL624" s="228"/>
      <c r="AM624" s="228"/>
      <c r="AN624" s="228"/>
      <c r="AO624" s="228"/>
      <c r="AP624" s="228"/>
      <c r="AQ624" s="228"/>
      <c r="AR624" s="228"/>
      <c r="AS624" s="228"/>
      <c r="AT624" s="228"/>
      <c r="AU624" s="228"/>
      <c r="AV624" s="228"/>
      <c r="AW624" s="228"/>
      <c r="AX624" s="228"/>
      <c r="AY624" s="228"/>
      <c r="AZ624" s="228"/>
      <c r="BA624" s="228"/>
      <c r="BB624" s="228"/>
      <c r="BC624" s="228"/>
      <c r="BD624" s="228"/>
      <c r="BE624" s="228"/>
      <c r="BF624" s="228"/>
      <c r="BG624" s="228"/>
      <c r="BH624" s="228"/>
      <c r="BI624" s="228"/>
      <c r="BJ624" s="228"/>
      <c r="BK624" s="228"/>
      <c r="BL624" s="228"/>
      <c r="BM624" s="228"/>
      <c r="BN624" s="228"/>
      <c r="BO624" s="228"/>
      <c r="BP624" s="228"/>
      <c r="BQ624" s="228"/>
      <c r="BR624" s="228"/>
      <c r="BS624" s="228"/>
      <c r="BT624" s="228"/>
      <c r="BU624" s="228"/>
      <c r="BV624" s="228"/>
      <c r="BW624" s="228"/>
      <c r="BX624" s="228"/>
      <c r="BY624" s="228"/>
      <c r="BZ624" s="228"/>
      <c r="CA624" s="228"/>
      <c r="CB624" s="228"/>
      <c r="CC624" s="228"/>
      <c r="CD624" s="228"/>
      <c r="CE624" s="228"/>
      <c r="CF624" s="228"/>
      <c r="CG624" s="228"/>
      <c r="CH624" s="228"/>
      <c r="CI624" s="228"/>
      <c r="CJ624" s="228"/>
      <c r="CK624" s="228"/>
      <c r="CL624" s="228"/>
      <c r="CM624" s="228"/>
      <c r="CN624" s="228"/>
      <c r="CO624" s="228"/>
      <c r="CP624" s="228"/>
      <c r="CQ624" s="228"/>
      <c r="CR624" s="228"/>
      <c r="CS624" s="228"/>
      <c r="CT624" s="228"/>
      <c r="CU624" s="228"/>
      <c r="CV624" s="228"/>
      <c r="CW624" s="228"/>
      <c r="CX624" s="228"/>
      <c r="CY624" s="228"/>
      <c r="CZ624" s="228"/>
      <c r="DA624" s="228"/>
      <c r="DB624" s="228"/>
    </row>
    <row r="625" ht="12.0" customHeight="1">
      <c r="A625" s="228"/>
      <c r="B625" s="228"/>
      <c r="C625" s="228"/>
      <c r="D625" s="228"/>
      <c r="E625" s="228"/>
      <c r="F625" s="228"/>
      <c r="G625" s="228"/>
      <c r="H625" s="228"/>
      <c r="I625" s="228"/>
      <c r="J625" s="228"/>
      <c r="K625" s="228"/>
      <c r="L625" s="228"/>
      <c r="M625" s="228"/>
      <c r="N625" s="228"/>
      <c r="O625" s="228"/>
      <c r="P625" s="228"/>
      <c r="Q625" s="228"/>
      <c r="R625" s="228"/>
      <c r="S625" s="228"/>
      <c r="T625" s="228"/>
      <c r="U625" s="228"/>
      <c r="V625" s="228"/>
      <c r="W625" s="228"/>
      <c r="X625" s="228"/>
      <c r="Y625" s="228"/>
      <c r="Z625" s="228"/>
      <c r="AA625" s="228"/>
      <c r="AB625" s="228"/>
      <c r="AC625" s="228"/>
      <c r="AD625" s="228"/>
      <c r="AE625" s="228"/>
      <c r="AF625" s="228"/>
      <c r="AG625" s="228"/>
      <c r="AH625" s="228"/>
      <c r="AI625" s="228"/>
      <c r="AJ625" s="228"/>
      <c r="AK625" s="228"/>
      <c r="AL625" s="228"/>
      <c r="AM625" s="228"/>
      <c r="AN625" s="228"/>
      <c r="AO625" s="228"/>
      <c r="AP625" s="228"/>
      <c r="AQ625" s="228"/>
      <c r="AR625" s="228"/>
      <c r="AS625" s="228"/>
      <c r="AT625" s="228"/>
      <c r="AU625" s="228"/>
      <c r="AV625" s="228"/>
      <c r="AW625" s="228"/>
      <c r="AX625" s="228"/>
      <c r="AY625" s="228"/>
      <c r="AZ625" s="228"/>
      <c r="BA625" s="228"/>
      <c r="BB625" s="228"/>
      <c r="BC625" s="228"/>
      <c r="BD625" s="228"/>
      <c r="BE625" s="228"/>
      <c r="BF625" s="228"/>
      <c r="BG625" s="228"/>
      <c r="BH625" s="228"/>
      <c r="BI625" s="228"/>
      <c r="BJ625" s="228"/>
      <c r="BK625" s="228"/>
      <c r="BL625" s="228"/>
      <c r="BM625" s="228"/>
      <c r="BN625" s="228"/>
      <c r="BO625" s="228"/>
      <c r="BP625" s="228"/>
      <c r="BQ625" s="228"/>
      <c r="BR625" s="228"/>
      <c r="BS625" s="228"/>
      <c r="BT625" s="228"/>
      <c r="BU625" s="228"/>
      <c r="BV625" s="228"/>
      <c r="BW625" s="228"/>
      <c r="BX625" s="228"/>
      <c r="BY625" s="228"/>
      <c r="BZ625" s="228"/>
      <c r="CA625" s="228"/>
      <c r="CB625" s="228"/>
      <c r="CC625" s="228"/>
      <c r="CD625" s="228"/>
      <c r="CE625" s="228"/>
      <c r="CF625" s="228"/>
      <c r="CG625" s="228"/>
      <c r="CH625" s="228"/>
      <c r="CI625" s="228"/>
      <c r="CJ625" s="228"/>
      <c r="CK625" s="228"/>
      <c r="CL625" s="228"/>
      <c r="CM625" s="228"/>
      <c r="CN625" s="228"/>
      <c r="CO625" s="228"/>
      <c r="CP625" s="228"/>
      <c r="CQ625" s="228"/>
      <c r="CR625" s="228"/>
      <c r="CS625" s="228"/>
      <c r="CT625" s="228"/>
      <c r="CU625" s="228"/>
      <c r="CV625" s="228"/>
      <c r="CW625" s="228"/>
      <c r="CX625" s="228"/>
      <c r="CY625" s="228"/>
      <c r="CZ625" s="228"/>
      <c r="DA625" s="228"/>
      <c r="DB625" s="228"/>
    </row>
    <row r="626" ht="12.0" customHeight="1">
      <c r="A626" s="228"/>
      <c r="B626" s="228"/>
      <c r="C626" s="228"/>
      <c r="D626" s="228"/>
      <c r="E626" s="228"/>
      <c r="F626" s="228"/>
      <c r="G626" s="228"/>
      <c r="H626" s="228"/>
      <c r="I626" s="228"/>
      <c r="J626" s="228"/>
      <c r="K626" s="228"/>
      <c r="L626" s="228"/>
      <c r="M626" s="228"/>
      <c r="N626" s="228"/>
      <c r="O626" s="228"/>
      <c r="P626" s="228"/>
      <c r="Q626" s="228"/>
      <c r="R626" s="228"/>
      <c r="S626" s="228"/>
      <c r="T626" s="228"/>
      <c r="U626" s="228"/>
      <c r="V626" s="228"/>
      <c r="W626" s="228"/>
      <c r="X626" s="228"/>
      <c r="Y626" s="228"/>
      <c r="Z626" s="228"/>
      <c r="AA626" s="228"/>
      <c r="AB626" s="228"/>
      <c r="AC626" s="228"/>
      <c r="AD626" s="228"/>
      <c r="AE626" s="228"/>
      <c r="AF626" s="228"/>
      <c r="AG626" s="228"/>
      <c r="AH626" s="228"/>
      <c r="AI626" s="228"/>
      <c r="AJ626" s="228"/>
      <c r="AK626" s="228"/>
      <c r="AL626" s="228"/>
      <c r="AM626" s="228"/>
      <c r="AN626" s="228"/>
      <c r="AO626" s="228"/>
      <c r="AP626" s="228"/>
      <c r="AQ626" s="228"/>
      <c r="AR626" s="228"/>
      <c r="AS626" s="228"/>
      <c r="AT626" s="228"/>
      <c r="AU626" s="228"/>
      <c r="AV626" s="228"/>
      <c r="AW626" s="228"/>
      <c r="AX626" s="228"/>
      <c r="AY626" s="228"/>
      <c r="AZ626" s="228"/>
      <c r="BA626" s="228"/>
      <c r="BB626" s="228"/>
      <c r="BC626" s="228"/>
      <c r="BD626" s="228"/>
      <c r="BE626" s="228"/>
      <c r="BF626" s="228"/>
      <c r="BG626" s="228"/>
      <c r="BH626" s="228"/>
      <c r="BI626" s="228"/>
      <c r="BJ626" s="228"/>
      <c r="BK626" s="228"/>
      <c r="BL626" s="228"/>
      <c r="BM626" s="228"/>
      <c r="BN626" s="228"/>
      <c r="BO626" s="228"/>
      <c r="BP626" s="228"/>
      <c r="BQ626" s="228"/>
      <c r="BR626" s="228"/>
      <c r="BS626" s="228"/>
      <c r="BT626" s="228"/>
      <c r="BU626" s="228"/>
      <c r="BV626" s="228"/>
      <c r="BW626" s="228"/>
      <c r="BX626" s="228"/>
      <c r="BY626" s="228"/>
      <c r="BZ626" s="228"/>
      <c r="CA626" s="228"/>
      <c r="CB626" s="228"/>
      <c r="CC626" s="228"/>
      <c r="CD626" s="228"/>
      <c r="CE626" s="228"/>
      <c r="CF626" s="228"/>
      <c r="CG626" s="228"/>
      <c r="CH626" s="228"/>
      <c r="CI626" s="228"/>
      <c r="CJ626" s="228"/>
      <c r="CK626" s="228"/>
      <c r="CL626" s="228"/>
      <c r="CM626" s="228"/>
      <c r="CN626" s="228"/>
      <c r="CO626" s="228"/>
      <c r="CP626" s="228"/>
      <c r="CQ626" s="228"/>
      <c r="CR626" s="228"/>
      <c r="CS626" s="228"/>
      <c r="CT626" s="228"/>
      <c r="CU626" s="228"/>
      <c r="CV626" s="228"/>
      <c r="CW626" s="228"/>
      <c r="CX626" s="228"/>
      <c r="CY626" s="228"/>
      <c r="CZ626" s="228"/>
      <c r="DA626" s="228"/>
      <c r="DB626" s="228"/>
    </row>
    <row r="627" ht="12.0" customHeight="1">
      <c r="A627" s="228"/>
      <c r="B627" s="228"/>
      <c r="C627" s="228"/>
      <c r="D627" s="228"/>
      <c r="E627" s="228"/>
      <c r="F627" s="228"/>
      <c r="G627" s="228"/>
      <c r="H627" s="228"/>
      <c r="I627" s="228"/>
      <c r="J627" s="228"/>
      <c r="K627" s="228"/>
      <c r="L627" s="228"/>
      <c r="M627" s="228"/>
      <c r="N627" s="228"/>
      <c r="O627" s="228"/>
      <c r="P627" s="228"/>
      <c r="Q627" s="228"/>
      <c r="R627" s="228"/>
      <c r="S627" s="228"/>
      <c r="T627" s="228"/>
      <c r="U627" s="228"/>
      <c r="V627" s="228"/>
      <c r="W627" s="228"/>
      <c r="X627" s="228"/>
      <c r="Y627" s="228"/>
      <c r="Z627" s="228"/>
      <c r="AA627" s="228"/>
      <c r="AB627" s="228"/>
      <c r="AC627" s="228"/>
      <c r="AD627" s="228"/>
      <c r="AE627" s="228"/>
      <c r="AF627" s="228"/>
      <c r="AG627" s="228"/>
      <c r="AH627" s="228"/>
      <c r="AI627" s="228"/>
      <c r="AJ627" s="228"/>
      <c r="AK627" s="228"/>
      <c r="AL627" s="228"/>
      <c r="AM627" s="228"/>
      <c r="AN627" s="228"/>
      <c r="AO627" s="228"/>
      <c r="AP627" s="228"/>
      <c r="AQ627" s="228"/>
      <c r="AR627" s="228"/>
      <c r="AS627" s="228"/>
      <c r="AT627" s="228"/>
      <c r="AU627" s="228"/>
      <c r="AV627" s="228"/>
      <c r="AW627" s="228"/>
      <c r="AX627" s="228"/>
      <c r="AY627" s="228"/>
      <c r="AZ627" s="228"/>
      <c r="BA627" s="228"/>
      <c r="BB627" s="228"/>
      <c r="BC627" s="228"/>
      <c r="BD627" s="228"/>
      <c r="BE627" s="228"/>
      <c r="BF627" s="228"/>
      <c r="BG627" s="228"/>
      <c r="BH627" s="228"/>
      <c r="BI627" s="228"/>
      <c r="BJ627" s="228"/>
      <c r="BK627" s="228"/>
      <c r="BL627" s="228"/>
      <c r="BM627" s="228"/>
      <c r="BN627" s="228"/>
      <c r="BO627" s="228"/>
      <c r="BP627" s="228"/>
      <c r="BQ627" s="228"/>
      <c r="BR627" s="228"/>
      <c r="BS627" s="228"/>
      <c r="BT627" s="228"/>
      <c r="BU627" s="228"/>
      <c r="BV627" s="228"/>
      <c r="BW627" s="228"/>
      <c r="BX627" s="228"/>
      <c r="BY627" s="228"/>
      <c r="BZ627" s="228"/>
      <c r="CA627" s="228"/>
      <c r="CB627" s="228"/>
      <c r="CC627" s="228"/>
      <c r="CD627" s="228"/>
      <c r="CE627" s="228"/>
      <c r="CF627" s="228"/>
      <c r="CG627" s="228"/>
      <c r="CH627" s="228"/>
      <c r="CI627" s="228"/>
      <c r="CJ627" s="228"/>
      <c r="CK627" s="228"/>
      <c r="CL627" s="228"/>
      <c r="CM627" s="228"/>
      <c r="CN627" s="228"/>
      <c r="CO627" s="228"/>
      <c r="CP627" s="228"/>
      <c r="CQ627" s="228"/>
      <c r="CR627" s="228"/>
      <c r="CS627" s="228"/>
      <c r="CT627" s="228"/>
      <c r="CU627" s="228"/>
      <c r="CV627" s="228"/>
      <c r="CW627" s="228"/>
      <c r="CX627" s="228"/>
      <c r="CY627" s="228"/>
      <c r="CZ627" s="228"/>
      <c r="DA627" s="228"/>
      <c r="DB627" s="228"/>
    </row>
    <row r="628" ht="12.0" customHeight="1">
      <c r="A628" s="228"/>
      <c r="B628" s="228"/>
      <c r="C628" s="228"/>
      <c r="D628" s="228"/>
      <c r="E628" s="228"/>
      <c r="F628" s="228"/>
      <c r="G628" s="228"/>
      <c r="H628" s="228"/>
      <c r="I628" s="228"/>
      <c r="J628" s="228"/>
      <c r="K628" s="228"/>
      <c r="L628" s="228"/>
      <c r="M628" s="228"/>
      <c r="N628" s="228"/>
      <c r="O628" s="228"/>
      <c r="P628" s="228"/>
      <c r="Q628" s="228"/>
      <c r="R628" s="228"/>
      <c r="S628" s="228"/>
      <c r="T628" s="228"/>
      <c r="U628" s="228"/>
      <c r="V628" s="228"/>
      <c r="W628" s="228"/>
      <c r="X628" s="228"/>
      <c r="Y628" s="228"/>
      <c r="Z628" s="228"/>
      <c r="AA628" s="228"/>
      <c r="AB628" s="228"/>
      <c r="AC628" s="228"/>
      <c r="AD628" s="228"/>
      <c r="AE628" s="228"/>
      <c r="AF628" s="228"/>
      <c r="AG628" s="228"/>
      <c r="AH628" s="228"/>
      <c r="AI628" s="228"/>
      <c r="AJ628" s="228"/>
      <c r="AK628" s="228"/>
      <c r="AL628" s="228"/>
      <c r="AM628" s="228"/>
      <c r="AN628" s="228"/>
      <c r="AO628" s="228"/>
      <c r="AP628" s="228"/>
      <c r="AQ628" s="228"/>
      <c r="AR628" s="228"/>
      <c r="AS628" s="228"/>
      <c r="AT628" s="228"/>
      <c r="AU628" s="228"/>
      <c r="AV628" s="228"/>
      <c r="AW628" s="228"/>
      <c r="AX628" s="228"/>
      <c r="AY628" s="228"/>
      <c r="AZ628" s="228"/>
      <c r="BA628" s="228"/>
      <c r="BB628" s="228"/>
      <c r="BC628" s="228"/>
      <c r="BD628" s="228"/>
      <c r="BE628" s="228"/>
      <c r="BF628" s="228"/>
      <c r="BG628" s="228"/>
      <c r="BH628" s="228"/>
      <c r="BI628" s="228"/>
      <c r="BJ628" s="228"/>
      <c r="BK628" s="228"/>
      <c r="BL628" s="228"/>
      <c r="BM628" s="228"/>
      <c r="BN628" s="228"/>
      <c r="BO628" s="228"/>
      <c r="BP628" s="228"/>
      <c r="BQ628" s="228"/>
      <c r="BR628" s="228"/>
      <c r="BS628" s="228"/>
      <c r="BT628" s="228"/>
      <c r="BU628" s="228"/>
      <c r="BV628" s="228"/>
      <c r="BW628" s="228"/>
      <c r="BX628" s="228"/>
      <c r="BY628" s="228"/>
      <c r="BZ628" s="228"/>
      <c r="CA628" s="228"/>
      <c r="CB628" s="228"/>
      <c r="CC628" s="228"/>
      <c r="CD628" s="228"/>
      <c r="CE628" s="228"/>
      <c r="CF628" s="228"/>
      <c r="CG628" s="228"/>
      <c r="CH628" s="228"/>
      <c r="CI628" s="228"/>
      <c r="CJ628" s="228"/>
      <c r="CK628" s="228"/>
      <c r="CL628" s="228"/>
      <c r="CM628" s="228"/>
      <c r="CN628" s="228"/>
      <c r="CO628" s="228"/>
      <c r="CP628" s="228"/>
      <c r="CQ628" s="228"/>
      <c r="CR628" s="228"/>
      <c r="CS628" s="228"/>
      <c r="CT628" s="228"/>
      <c r="CU628" s="228"/>
      <c r="CV628" s="228"/>
      <c r="CW628" s="228"/>
      <c r="CX628" s="228"/>
      <c r="CY628" s="228"/>
      <c r="CZ628" s="228"/>
      <c r="DA628" s="228"/>
      <c r="DB628" s="228"/>
    </row>
    <row r="629" ht="12.0" customHeight="1">
      <c r="A629" s="228"/>
      <c r="B629" s="228"/>
      <c r="C629" s="228"/>
      <c r="D629" s="228"/>
      <c r="E629" s="228"/>
      <c r="F629" s="228"/>
      <c r="G629" s="228"/>
      <c r="H629" s="228"/>
      <c r="I629" s="228"/>
      <c r="J629" s="228"/>
      <c r="K629" s="228"/>
      <c r="L629" s="228"/>
      <c r="M629" s="228"/>
      <c r="N629" s="228"/>
      <c r="O629" s="228"/>
      <c r="P629" s="228"/>
      <c r="Q629" s="228"/>
      <c r="R629" s="228"/>
      <c r="S629" s="228"/>
      <c r="T629" s="228"/>
      <c r="U629" s="228"/>
      <c r="V629" s="228"/>
      <c r="W629" s="228"/>
      <c r="X629" s="228"/>
      <c r="Y629" s="228"/>
      <c r="Z629" s="228"/>
      <c r="AA629" s="228"/>
      <c r="AB629" s="228"/>
      <c r="AC629" s="228"/>
      <c r="AD629" s="228"/>
      <c r="AE629" s="228"/>
      <c r="AF629" s="228"/>
      <c r="AG629" s="228"/>
      <c r="AH629" s="228"/>
      <c r="AI629" s="228"/>
      <c r="AJ629" s="228"/>
      <c r="AK629" s="228"/>
      <c r="AL629" s="228"/>
      <c r="AM629" s="228"/>
      <c r="AN629" s="228"/>
      <c r="AO629" s="228"/>
      <c r="AP629" s="228"/>
      <c r="AQ629" s="228"/>
      <c r="AR629" s="228"/>
      <c r="AS629" s="228"/>
      <c r="AT629" s="228"/>
      <c r="AU629" s="228"/>
      <c r="AV629" s="228"/>
      <c r="AW629" s="228"/>
      <c r="AX629" s="228"/>
      <c r="AY629" s="228"/>
      <c r="AZ629" s="228"/>
      <c r="BA629" s="228"/>
      <c r="BB629" s="228"/>
      <c r="BC629" s="228"/>
      <c r="BD629" s="228"/>
      <c r="BE629" s="228"/>
      <c r="BF629" s="228"/>
      <c r="BG629" s="228"/>
      <c r="BH629" s="228"/>
      <c r="BI629" s="228"/>
      <c r="BJ629" s="228"/>
      <c r="BK629" s="228"/>
      <c r="BL629" s="228"/>
      <c r="BM629" s="228"/>
      <c r="BN629" s="228"/>
      <c r="BO629" s="228"/>
      <c r="BP629" s="228"/>
      <c r="BQ629" s="228"/>
      <c r="BR629" s="228"/>
      <c r="BS629" s="228"/>
      <c r="BT629" s="228"/>
      <c r="BU629" s="228"/>
      <c r="BV629" s="228"/>
      <c r="BW629" s="228"/>
      <c r="BX629" s="228"/>
      <c r="BY629" s="228"/>
      <c r="BZ629" s="228"/>
      <c r="CA629" s="228"/>
      <c r="CB629" s="228"/>
      <c r="CC629" s="228"/>
      <c r="CD629" s="228"/>
      <c r="CE629" s="228"/>
      <c r="CF629" s="228"/>
      <c r="CG629" s="228"/>
      <c r="CH629" s="228"/>
      <c r="CI629" s="228"/>
      <c r="CJ629" s="228"/>
      <c r="CK629" s="228"/>
      <c r="CL629" s="228"/>
      <c r="CM629" s="228"/>
      <c r="CN629" s="228"/>
      <c r="CO629" s="228"/>
      <c r="CP629" s="228"/>
      <c r="CQ629" s="228"/>
      <c r="CR629" s="228"/>
      <c r="CS629" s="228"/>
      <c r="CT629" s="228"/>
      <c r="CU629" s="228"/>
      <c r="CV629" s="228"/>
      <c r="CW629" s="228"/>
      <c r="CX629" s="228"/>
      <c r="CY629" s="228"/>
      <c r="CZ629" s="228"/>
      <c r="DA629" s="228"/>
      <c r="DB629" s="228"/>
    </row>
    <row r="630" ht="12.0" customHeight="1">
      <c r="A630" s="228"/>
      <c r="B630" s="228"/>
      <c r="C630" s="228"/>
      <c r="D630" s="228"/>
      <c r="E630" s="228"/>
      <c r="F630" s="228"/>
      <c r="G630" s="228"/>
      <c r="H630" s="228"/>
      <c r="I630" s="228"/>
      <c r="J630" s="228"/>
      <c r="K630" s="228"/>
      <c r="L630" s="228"/>
      <c r="M630" s="228"/>
      <c r="N630" s="228"/>
      <c r="O630" s="228"/>
      <c r="P630" s="228"/>
      <c r="Q630" s="228"/>
      <c r="R630" s="228"/>
      <c r="S630" s="228"/>
      <c r="T630" s="228"/>
      <c r="U630" s="228"/>
      <c r="V630" s="228"/>
      <c r="W630" s="228"/>
      <c r="X630" s="228"/>
      <c r="Y630" s="228"/>
      <c r="Z630" s="228"/>
      <c r="AA630" s="228"/>
      <c r="AB630" s="228"/>
      <c r="AC630" s="228"/>
      <c r="AD630" s="228"/>
      <c r="AE630" s="228"/>
      <c r="AF630" s="228"/>
      <c r="AG630" s="228"/>
      <c r="AH630" s="228"/>
      <c r="AI630" s="228"/>
      <c r="AJ630" s="228"/>
      <c r="AK630" s="228"/>
      <c r="AL630" s="228"/>
      <c r="AM630" s="228"/>
      <c r="AN630" s="228"/>
      <c r="AO630" s="228"/>
      <c r="AP630" s="228"/>
      <c r="AQ630" s="228"/>
      <c r="AR630" s="228"/>
      <c r="AS630" s="228"/>
      <c r="AT630" s="228"/>
      <c r="AU630" s="228"/>
      <c r="AV630" s="228"/>
      <c r="AW630" s="228"/>
      <c r="AX630" s="228"/>
      <c r="AY630" s="228"/>
      <c r="AZ630" s="228"/>
      <c r="BA630" s="228"/>
      <c r="BB630" s="228"/>
      <c r="BC630" s="228"/>
      <c r="BD630" s="228"/>
      <c r="BE630" s="228"/>
      <c r="BF630" s="228"/>
      <c r="BG630" s="228"/>
      <c r="BH630" s="228"/>
      <c r="BI630" s="228"/>
      <c r="BJ630" s="228"/>
      <c r="BK630" s="228"/>
      <c r="BL630" s="228"/>
      <c r="BM630" s="228"/>
      <c r="BN630" s="228"/>
      <c r="BO630" s="228"/>
      <c r="BP630" s="228"/>
      <c r="BQ630" s="228"/>
      <c r="BR630" s="228"/>
      <c r="BS630" s="228"/>
      <c r="BT630" s="228"/>
      <c r="BU630" s="228"/>
      <c r="BV630" s="228"/>
      <c r="BW630" s="228"/>
      <c r="BX630" s="228"/>
      <c r="BY630" s="228"/>
      <c r="BZ630" s="228"/>
      <c r="CA630" s="228"/>
      <c r="CB630" s="228"/>
      <c r="CC630" s="228"/>
      <c r="CD630" s="228"/>
      <c r="CE630" s="228"/>
      <c r="CF630" s="228"/>
      <c r="CG630" s="228"/>
      <c r="CH630" s="228"/>
      <c r="CI630" s="228"/>
      <c r="CJ630" s="228"/>
      <c r="CK630" s="228"/>
      <c r="CL630" s="228"/>
      <c r="CM630" s="228"/>
      <c r="CN630" s="228"/>
      <c r="CO630" s="228"/>
      <c r="CP630" s="228"/>
      <c r="CQ630" s="228"/>
      <c r="CR630" s="228"/>
      <c r="CS630" s="228"/>
      <c r="CT630" s="228"/>
      <c r="CU630" s="228"/>
      <c r="CV630" s="228"/>
      <c r="CW630" s="228"/>
      <c r="CX630" s="228"/>
      <c r="CY630" s="228"/>
      <c r="CZ630" s="228"/>
      <c r="DA630" s="228"/>
      <c r="DB630" s="228"/>
    </row>
    <row r="631" ht="12.0" customHeight="1">
      <c r="A631" s="228"/>
      <c r="B631" s="228"/>
      <c r="C631" s="228"/>
      <c r="D631" s="228"/>
      <c r="E631" s="228"/>
      <c r="F631" s="228"/>
      <c r="G631" s="228"/>
      <c r="H631" s="228"/>
      <c r="I631" s="228"/>
      <c r="J631" s="228"/>
      <c r="K631" s="228"/>
      <c r="L631" s="228"/>
      <c r="M631" s="228"/>
      <c r="N631" s="228"/>
      <c r="O631" s="228"/>
      <c r="P631" s="228"/>
      <c r="Q631" s="228"/>
      <c r="R631" s="228"/>
      <c r="S631" s="228"/>
      <c r="T631" s="228"/>
      <c r="U631" s="228"/>
      <c r="V631" s="228"/>
      <c r="W631" s="228"/>
      <c r="X631" s="228"/>
      <c r="Y631" s="228"/>
      <c r="Z631" s="228"/>
      <c r="AA631" s="228"/>
      <c r="AB631" s="228"/>
      <c r="AC631" s="228"/>
      <c r="AD631" s="228"/>
      <c r="AE631" s="228"/>
      <c r="AF631" s="228"/>
      <c r="AG631" s="228"/>
      <c r="AH631" s="228"/>
      <c r="AI631" s="228"/>
      <c r="AJ631" s="228"/>
      <c r="AK631" s="228"/>
      <c r="AL631" s="228"/>
      <c r="AM631" s="228"/>
      <c r="AN631" s="228"/>
      <c r="AO631" s="228"/>
      <c r="AP631" s="228"/>
      <c r="AQ631" s="228"/>
      <c r="AR631" s="228"/>
      <c r="AS631" s="228"/>
      <c r="AT631" s="228"/>
      <c r="AU631" s="228"/>
      <c r="AV631" s="228"/>
      <c r="AW631" s="228"/>
      <c r="AX631" s="228"/>
      <c r="AY631" s="228"/>
      <c r="AZ631" s="228"/>
      <c r="BA631" s="228"/>
      <c r="BB631" s="228"/>
      <c r="BC631" s="228"/>
      <c r="BD631" s="228"/>
      <c r="BE631" s="228"/>
      <c r="BF631" s="228"/>
      <c r="BG631" s="228"/>
      <c r="BH631" s="228"/>
      <c r="BI631" s="228"/>
      <c r="BJ631" s="228"/>
      <c r="BK631" s="228"/>
      <c r="BL631" s="228"/>
      <c r="BM631" s="228"/>
      <c r="BN631" s="228"/>
      <c r="BO631" s="228"/>
      <c r="BP631" s="228"/>
      <c r="BQ631" s="228"/>
      <c r="BR631" s="228"/>
      <c r="BS631" s="228"/>
      <c r="BT631" s="228"/>
      <c r="BU631" s="228"/>
      <c r="BV631" s="228"/>
      <c r="BW631" s="228"/>
      <c r="BX631" s="228"/>
      <c r="BY631" s="228"/>
      <c r="BZ631" s="228"/>
      <c r="CA631" s="228"/>
      <c r="CB631" s="228"/>
      <c r="CC631" s="228"/>
      <c r="CD631" s="228"/>
      <c r="CE631" s="228"/>
      <c r="CF631" s="228"/>
      <c r="CG631" s="228"/>
      <c r="CH631" s="228"/>
      <c r="CI631" s="228"/>
      <c r="CJ631" s="228"/>
      <c r="CK631" s="228"/>
      <c r="CL631" s="228"/>
      <c r="CM631" s="228"/>
      <c r="CN631" s="228"/>
      <c r="CO631" s="228"/>
      <c r="CP631" s="228"/>
      <c r="CQ631" s="228"/>
      <c r="CR631" s="228"/>
      <c r="CS631" s="228"/>
      <c r="CT631" s="228"/>
      <c r="CU631" s="228"/>
      <c r="CV631" s="228"/>
      <c r="CW631" s="228"/>
      <c r="CX631" s="228"/>
      <c r="CY631" s="228"/>
      <c r="CZ631" s="228"/>
      <c r="DA631" s="228"/>
      <c r="DB631" s="228"/>
    </row>
    <row r="632" ht="12.0" customHeight="1">
      <c r="A632" s="228"/>
      <c r="B632" s="228"/>
      <c r="C632" s="228"/>
      <c r="D632" s="228"/>
      <c r="E632" s="228"/>
      <c r="F632" s="228"/>
      <c r="G632" s="228"/>
      <c r="H632" s="228"/>
      <c r="I632" s="228"/>
      <c r="J632" s="228"/>
      <c r="K632" s="228"/>
      <c r="L632" s="228"/>
      <c r="M632" s="228"/>
      <c r="N632" s="228"/>
      <c r="O632" s="228"/>
      <c r="P632" s="228"/>
      <c r="Q632" s="228"/>
      <c r="R632" s="228"/>
      <c r="S632" s="228"/>
      <c r="T632" s="228"/>
      <c r="U632" s="228"/>
      <c r="V632" s="228"/>
      <c r="W632" s="228"/>
      <c r="X632" s="228"/>
      <c r="Y632" s="228"/>
      <c r="Z632" s="228"/>
      <c r="AA632" s="228"/>
      <c r="AB632" s="228"/>
      <c r="AC632" s="228"/>
      <c r="AD632" s="228"/>
      <c r="AE632" s="228"/>
      <c r="AF632" s="228"/>
      <c r="AG632" s="228"/>
      <c r="AH632" s="228"/>
      <c r="AI632" s="228"/>
      <c r="AJ632" s="228"/>
      <c r="AK632" s="228"/>
      <c r="AL632" s="228"/>
      <c r="AM632" s="228"/>
      <c r="AN632" s="228"/>
      <c r="AO632" s="228"/>
      <c r="AP632" s="228"/>
      <c r="AQ632" s="228"/>
      <c r="AR632" s="228"/>
      <c r="AS632" s="228"/>
      <c r="AT632" s="228"/>
      <c r="AU632" s="228"/>
      <c r="AV632" s="228"/>
      <c r="AW632" s="228"/>
      <c r="AX632" s="228"/>
      <c r="AY632" s="228"/>
      <c r="AZ632" s="228"/>
      <c r="BA632" s="228"/>
      <c r="BB632" s="228"/>
      <c r="BC632" s="228"/>
      <c r="BD632" s="228"/>
      <c r="BE632" s="228"/>
      <c r="BF632" s="228"/>
      <c r="BG632" s="228"/>
      <c r="BH632" s="228"/>
      <c r="BI632" s="228"/>
      <c r="BJ632" s="228"/>
      <c r="BK632" s="228"/>
      <c r="BL632" s="228"/>
      <c r="BM632" s="228"/>
      <c r="BN632" s="228"/>
      <c r="BO632" s="228"/>
      <c r="BP632" s="228"/>
      <c r="BQ632" s="228"/>
      <c r="BR632" s="228"/>
      <c r="BS632" s="228"/>
      <c r="BT632" s="228"/>
      <c r="BU632" s="228"/>
      <c r="BV632" s="228"/>
      <c r="BW632" s="228"/>
      <c r="BX632" s="228"/>
      <c r="BY632" s="228"/>
      <c r="BZ632" s="228"/>
      <c r="CA632" s="228"/>
      <c r="CB632" s="228"/>
      <c r="CC632" s="228"/>
      <c r="CD632" s="228"/>
      <c r="CE632" s="228"/>
      <c r="CF632" s="228"/>
      <c r="CG632" s="228"/>
      <c r="CH632" s="228"/>
      <c r="CI632" s="228"/>
      <c r="CJ632" s="228"/>
      <c r="CK632" s="228"/>
      <c r="CL632" s="228"/>
      <c r="CM632" s="228"/>
      <c r="CN632" s="228"/>
      <c r="CO632" s="228"/>
      <c r="CP632" s="228"/>
      <c r="CQ632" s="228"/>
      <c r="CR632" s="228"/>
      <c r="CS632" s="228"/>
      <c r="CT632" s="228"/>
      <c r="CU632" s="228"/>
      <c r="CV632" s="228"/>
      <c r="CW632" s="228"/>
      <c r="CX632" s="228"/>
      <c r="CY632" s="228"/>
      <c r="CZ632" s="228"/>
      <c r="DA632" s="228"/>
      <c r="DB632" s="228"/>
    </row>
    <row r="633" ht="12.0" customHeight="1">
      <c r="A633" s="228"/>
      <c r="B633" s="228"/>
      <c r="C633" s="228"/>
      <c r="D633" s="228"/>
      <c r="E633" s="228"/>
      <c r="F633" s="228"/>
      <c r="G633" s="228"/>
      <c r="H633" s="228"/>
      <c r="I633" s="228"/>
      <c r="J633" s="228"/>
      <c r="K633" s="228"/>
      <c r="L633" s="228"/>
      <c r="M633" s="228"/>
      <c r="N633" s="228"/>
      <c r="O633" s="228"/>
      <c r="P633" s="228"/>
      <c r="Q633" s="228"/>
      <c r="R633" s="228"/>
      <c r="S633" s="228"/>
      <c r="T633" s="228"/>
      <c r="U633" s="228"/>
      <c r="V633" s="228"/>
      <c r="W633" s="228"/>
      <c r="X633" s="228"/>
      <c r="Y633" s="228"/>
      <c r="Z633" s="228"/>
      <c r="AA633" s="228"/>
      <c r="AB633" s="228"/>
      <c r="AC633" s="228"/>
      <c r="AD633" s="228"/>
      <c r="AE633" s="228"/>
      <c r="AF633" s="228"/>
      <c r="AG633" s="228"/>
      <c r="AH633" s="228"/>
      <c r="AI633" s="228"/>
      <c r="AJ633" s="228"/>
      <c r="AK633" s="228"/>
      <c r="AL633" s="228"/>
      <c r="AM633" s="228"/>
      <c r="AN633" s="228"/>
      <c r="AO633" s="228"/>
      <c r="AP633" s="228"/>
      <c r="AQ633" s="228"/>
      <c r="AR633" s="228"/>
      <c r="AS633" s="228"/>
      <c r="AT633" s="228"/>
      <c r="AU633" s="228"/>
      <c r="AV633" s="228"/>
      <c r="AW633" s="228"/>
      <c r="AX633" s="228"/>
      <c r="AY633" s="228"/>
      <c r="AZ633" s="228"/>
      <c r="BA633" s="228"/>
      <c r="BB633" s="228"/>
      <c r="BC633" s="228"/>
      <c r="BD633" s="228"/>
      <c r="BE633" s="228"/>
      <c r="BF633" s="228"/>
      <c r="BG633" s="228"/>
      <c r="BH633" s="228"/>
      <c r="BI633" s="228"/>
      <c r="BJ633" s="228"/>
      <c r="BK633" s="228"/>
      <c r="BL633" s="228"/>
      <c r="BM633" s="228"/>
      <c r="BN633" s="228"/>
      <c r="BO633" s="228"/>
      <c r="BP633" s="228"/>
      <c r="BQ633" s="228"/>
      <c r="BR633" s="228"/>
      <c r="BS633" s="228"/>
      <c r="BT633" s="228"/>
      <c r="BU633" s="228"/>
      <c r="BV633" s="228"/>
      <c r="BW633" s="228"/>
      <c r="BX633" s="228"/>
      <c r="BY633" s="228"/>
      <c r="BZ633" s="228"/>
      <c r="CA633" s="228"/>
      <c r="CB633" s="228"/>
      <c r="CC633" s="228"/>
      <c r="CD633" s="228"/>
      <c r="CE633" s="228"/>
      <c r="CF633" s="228"/>
      <c r="CG633" s="228"/>
      <c r="CH633" s="228"/>
      <c r="CI633" s="228"/>
      <c r="CJ633" s="228"/>
      <c r="CK633" s="228"/>
      <c r="CL633" s="228"/>
      <c r="CM633" s="228"/>
      <c r="CN633" s="228"/>
      <c r="CO633" s="228"/>
      <c r="CP633" s="228"/>
      <c r="CQ633" s="228"/>
      <c r="CR633" s="228"/>
      <c r="CS633" s="228"/>
      <c r="CT633" s="228"/>
      <c r="CU633" s="228"/>
      <c r="CV633" s="228"/>
      <c r="CW633" s="228"/>
      <c r="CX633" s="228"/>
      <c r="CY633" s="228"/>
      <c r="CZ633" s="228"/>
      <c r="DA633" s="228"/>
      <c r="DB633" s="228"/>
    </row>
    <row r="634" ht="12.0" customHeight="1">
      <c r="A634" s="228"/>
      <c r="B634" s="228"/>
      <c r="C634" s="228"/>
      <c r="D634" s="228"/>
      <c r="E634" s="228"/>
      <c r="F634" s="228"/>
      <c r="G634" s="228"/>
      <c r="H634" s="228"/>
      <c r="I634" s="228"/>
      <c r="J634" s="228"/>
      <c r="K634" s="228"/>
      <c r="L634" s="228"/>
      <c r="M634" s="228"/>
      <c r="N634" s="228"/>
      <c r="O634" s="228"/>
      <c r="P634" s="228"/>
      <c r="Q634" s="228"/>
      <c r="R634" s="228"/>
      <c r="S634" s="228"/>
      <c r="T634" s="228"/>
      <c r="U634" s="228"/>
      <c r="V634" s="228"/>
      <c r="W634" s="228"/>
      <c r="X634" s="228"/>
      <c r="Y634" s="228"/>
      <c r="Z634" s="228"/>
      <c r="AA634" s="228"/>
      <c r="AB634" s="228"/>
      <c r="AC634" s="228"/>
      <c r="AD634" s="228"/>
      <c r="AE634" s="228"/>
      <c r="AF634" s="228"/>
      <c r="AG634" s="228"/>
      <c r="AH634" s="228"/>
      <c r="AI634" s="228"/>
      <c r="AJ634" s="228"/>
      <c r="AK634" s="228"/>
      <c r="AL634" s="228"/>
      <c r="AM634" s="228"/>
      <c r="AN634" s="228"/>
      <c r="AO634" s="228"/>
      <c r="AP634" s="228"/>
      <c r="AQ634" s="228"/>
      <c r="AR634" s="228"/>
      <c r="AS634" s="228"/>
      <c r="AT634" s="228"/>
      <c r="AU634" s="228"/>
      <c r="AV634" s="228"/>
      <c r="AW634" s="228"/>
      <c r="AX634" s="228"/>
      <c r="AY634" s="228"/>
      <c r="AZ634" s="228"/>
      <c r="BA634" s="228"/>
      <c r="BB634" s="228"/>
      <c r="BC634" s="228"/>
      <c r="BD634" s="228"/>
      <c r="BE634" s="228"/>
      <c r="BF634" s="228"/>
      <c r="BG634" s="228"/>
      <c r="BH634" s="228"/>
      <c r="BI634" s="228"/>
      <c r="BJ634" s="228"/>
      <c r="BK634" s="228"/>
      <c r="BL634" s="228"/>
      <c r="BM634" s="228"/>
      <c r="BN634" s="228"/>
      <c r="BO634" s="228"/>
      <c r="BP634" s="228"/>
      <c r="BQ634" s="228"/>
      <c r="BR634" s="228"/>
      <c r="BS634" s="228"/>
      <c r="BT634" s="228"/>
      <c r="BU634" s="228"/>
      <c r="BV634" s="228"/>
      <c r="BW634" s="228"/>
      <c r="BX634" s="228"/>
      <c r="BY634" s="228"/>
      <c r="BZ634" s="228"/>
      <c r="CA634" s="228"/>
      <c r="CB634" s="228"/>
      <c r="CC634" s="228"/>
      <c r="CD634" s="228"/>
      <c r="CE634" s="228"/>
      <c r="CF634" s="228"/>
      <c r="CG634" s="228"/>
      <c r="CH634" s="228"/>
      <c r="CI634" s="228"/>
      <c r="CJ634" s="228"/>
      <c r="CK634" s="228"/>
      <c r="CL634" s="228"/>
      <c r="CM634" s="228"/>
      <c r="CN634" s="228"/>
      <c r="CO634" s="228"/>
      <c r="CP634" s="228"/>
      <c r="CQ634" s="228"/>
      <c r="CR634" s="228"/>
      <c r="CS634" s="228"/>
      <c r="CT634" s="228"/>
      <c r="CU634" s="228"/>
      <c r="CV634" s="228"/>
      <c r="CW634" s="228"/>
      <c r="CX634" s="228"/>
      <c r="CY634" s="228"/>
      <c r="CZ634" s="228"/>
      <c r="DA634" s="228"/>
      <c r="DB634" s="228"/>
    </row>
    <row r="635" ht="12.0" customHeight="1">
      <c r="A635" s="228"/>
      <c r="B635" s="228"/>
      <c r="C635" s="228"/>
      <c r="D635" s="228"/>
      <c r="E635" s="228"/>
      <c r="F635" s="228"/>
      <c r="G635" s="228"/>
      <c r="H635" s="228"/>
      <c r="I635" s="228"/>
      <c r="J635" s="228"/>
      <c r="K635" s="228"/>
      <c r="L635" s="228"/>
      <c r="M635" s="228"/>
      <c r="N635" s="228"/>
      <c r="O635" s="228"/>
      <c r="P635" s="228"/>
      <c r="Q635" s="228"/>
      <c r="R635" s="228"/>
      <c r="S635" s="228"/>
      <c r="T635" s="228"/>
      <c r="U635" s="228"/>
      <c r="V635" s="228"/>
      <c r="W635" s="228"/>
      <c r="X635" s="228"/>
      <c r="Y635" s="228"/>
      <c r="Z635" s="228"/>
      <c r="AA635" s="228"/>
      <c r="AB635" s="228"/>
      <c r="AC635" s="228"/>
      <c r="AD635" s="228"/>
      <c r="AE635" s="228"/>
      <c r="AF635" s="228"/>
      <c r="AG635" s="228"/>
      <c r="AH635" s="228"/>
      <c r="AI635" s="228"/>
      <c r="AJ635" s="228"/>
      <c r="AK635" s="228"/>
      <c r="AL635" s="228"/>
      <c r="AM635" s="228"/>
      <c r="AN635" s="228"/>
      <c r="AO635" s="228"/>
      <c r="AP635" s="228"/>
      <c r="AQ635" s="228"/>
      <c r="AR635" s="228"/>
      <c r="AS635" s="228"/>
      <c r="AT635" s="228"/>
      <c r="AU635" s="228"/>
      <c r="AV635" s="228"/>
      <c r="AW635" s="228"/>
      <c r="AX635" s="228"/>
      <c r="AY635" s="228"/>
      <c r="AZ635" s="228"/>
      <c r="BA635" s="228"/>
      <c r="BB635" s="228"/>
      <c r="BC635" s="228"/>
      <c r="BD635" s="228"/>
      <c r="BE635" s="228"/>
      <c r="BF635" s="228"/>
      <c r="BG635" s="228"/>
      <c r="BH635" s="228"/>
      <c r="BI635" s="228"/>
      <c r="BJ635" s="228"/>
      <c r="BK635" s="228"/>
      <c r="BL635" s="228"/>
      <c r="BM635" s="228"/>
      <c r="BN635" s="228"/>
      <c r="BO635" s="228"/>
      <c r="BP635" s="228"/>
      <c r="BQ635" s="228"/>
      <c r="BR635" s="228"/>
      <c r="BS635" s="228"/>
      <c r="BT635" s="228"/>
      <c r="BU635" s="228"/>
      <c r="BV635" s="228"/>
      <c r="BW635" s="228"/>
      <c r="BX635" s="228"/>
      <c r="BY635" s="228"/>
      <c r="BZ635" s="228"/>
      <c r="CA635" s="228"/>
      <c r="CB635" s="228"/>
      <c r="CC635" s="228"/>
      <c r="CD635" s="228"/>
      <c r="CE635" s="228"/>
      <c r="CF635" s="228"/>
      <c r="CG635" s="228"/>
      <c r="CH635" s="228"/>
      <c r="CI635" s="228"/>
      <c r="CJ635" s="228"/>
      <c r="CK635" s="228"/>
      <c r="CL635" s="228"/>
      <c r="CM635" s="228"/>
      <c r="CN635" s="228"/>
      <c r="CO635" s="228"/>
      <c r="CP635" s="228"/>
      <c r="CQ635" s="228"/>
      <c r="CR635" s="228"/>
      <c r="CS635" s="228"/>
      <c r="CT635" s="228"/>
      <c r="CU635" s="228"/>
      <c r="CV635" s="228"/>
      <c r="CW635" s="228"/>
      <c r="CX635" s="228"/>
      <c r="CY635" s="228"/>
      <c r="CZ635" s="228"/>
      <c r="DA635" s="228"/>
      <c r="DB635" s="228"/>
    </row>
    <row r="636" ht="12.0" customHeight="1">
      <c r="A636" s="228"/>
      <c r="B636" s="228"/>
      <c r="C636" s="228"/>
      <c r="D636" s="228"/>
      <c r="E636" s="228"/>
      <c r="F636" s="228"/>
      <c r="G636" s="228"/>
      <c r="H636" s="228"/>
      <c r="I636" s="228"/>
      <c r="J636" s="228"/>
      <c r="K636" s="228"/>
      <c r="L636" s="228"/>
      <c r="M636" s="228"/>
      <c r="N636" s="228"/>
      <c r="O636" s="228"/>
      <c r="P636" s="228"/>
      <c r="Q636" s="228"/>
      <c r="R636" s="228"/>
      <c r="S636" s="228"/>
      <c r="T636" s="228"/>
      <c r="U636" s="228"/>
      <c r="V636" s="228"/>
      <c r="W636" s="228"/>
      <c r="X636" s="228"/>
      <c r="Y636" s="228"/>
      <c r="Z636" s="228"/>
      <c r="AA636" s="228"/>
      <c r="AB636" s="228"/>
      <c r="AC636" s="228"/>
      <c r="AD636" s="228"/>
      <c r="AE636" s="228"/>
      <c r="AF636" s="228"/>
      <c r="AG636" s="228"/>
      <c r="AH636" s="228"/>
      <c r="AI636" s="228"/>
      <c r="AJ636" s="228"/>
      <c r="AK636" s="228"/>
      <c r="AL636" s="228"/>
      <c r="AM636" s="228"/>
      <c r="AN636" s="228"/>
      <c r="AO636" s="228"/>
      <c r="AP636" s="228"/>
      <c r="AQ636" s="228"/>
      <c r="AR636" s="228"/>
      <c r="AS636" s="228"/>
      <c r="AT636" s="228"/>
      <c r="AU636" s="228"/>
      <c r="AV636" s="228"/>
      <c r="AW636" s="228"/>
      <c r="AX636" s="228"/>
      <c r="AY636" s="228"/>
      <c r="AZ636" s="228"/>
      <c r="BA636" s="228"/>
      <c r="BB636" s="228"/>
      <c r="BC636" s="228"/>
      <c r="BD636" s="228"/>
      <c r="BE636" s="228"/>
      <c r="BF636" s="228"/>
      <c r="BG636" s="228"/>
      <c r="BH636" s="228"/>
      <c r="BI636" s="228"/>
      <c r="BJ636" s="228"/>
      <c r="BK636" s="228"/>
      <c r="BL636" s="228"/>
      <c r="BM636" s="228"/>
      <c r="BN636" s="228"/>
      <c r="BO636" s="228"/>
      <c r="BP636" s="228"/>
      <c r="BQ636" s="228"/>
      <c r="BR636" s="228"/>
      <c r="BS636" s="228"/>
      <c r="BT636" s="228"/>
      <c r="BU636" s="228"/>
      <c r="BV636" s="228"/>
      <c r="BW636" s="228"/>
      <c r="BX636" s="228"/>
      <c r="BY636" s="228"/>
      <c r="BZ636" s="228"/>
      <c r="CA636" s="228"/>
      <c r="CB636" s="228"/>
      <c r="CC636" s="228"/>
      <c r="CD636" s="228"/>
      <c r="CE636" s="228"/>
      <c r="CF636" s="228"/>
      <c r="CG636" s="228"/>
      <c r="CH636" s="228"/>
      <c r="CI636" s="228"/>
      <c r="CJ636" s="228"/>
      <c r="CK636" s="228"/>
      <c r="CL636" s="228"/>
      <c r="CM636" s="228"/>
      <c r="CN636" s="228"/>
      <c r="CO636" s="228"/>
      <c r="CP636" s="228"/>
      <c r="CQ636" s="228"/>
      <c r="CR636" s="228"/>
      <c r="CS636" s="228"/>
      <c r="CT636" s="228"/>
      <c r="CU636" s="228"/>
      <c r="CV636" s="228"/>
      <c r="CW636" s="228"/>
      <c r="CX636" s="228"/>
      <c r="CY636" s="228"/>
      <c r="CZ636" s="228"/>
      <c r="DA636" s="228"/>
      <c r="DB636" s="228"/>
    </row>
    <row r="637" ht="12.0" customHeight="1">
      <c r="A637" s="228"/>
      <c r="B637" s="228"/>
      <c r="C637" s="228"/>
      <c r="D637" s="228"/>
      <c r="E637" s="228"/>
      <c r="F637" s="228"/>
      <c r="G637" s="228"/>
      <c r="H637" s="228"/>
      <c r="I637" s="228"/>
      <c r="J637" s="228"/>
      <c r="K637" s="228"/>
      <c r="L637" s="228"/>
      <c r="M637" s="228"/>
      <c r="N637" s="228"/>
      <c r="O637" s="228"/>
      <c r="P637" s="228"/>
      <c r="Q637" s="228"/>
      <c r="R637" s="228"/>
      <c r="S637" s="228"/>
      <c r="T637" s="228"/>
      <c r="U637" s="228"/>
      <c r="V637" s="228"/>
      <c r="W637" s="228"/>
      <c r="X637" s="228"/>
      <c r="Y637" s="228"/>
      <c r="Z637" s="228"/>
      <c r="AA637" s="228"/>
      <c r="AB637" s="228"/>
      <c r="AC637" s="228"/>
      <c r="AD637" s="228"/>
      <c r="AE637" s="228"/>
      <c r="AF637" s="228"/>
      <c r="AG637" s="228"/>
      <c r="AH637" s="228"/>
      <c r="AI637" s="228"/>
      <c r="AJ637" s="228"/>
      <c r="AK637" s="228"/>
      <c r="AL637" s="228"/>
      <c r="AM637" s="228"/>
      <c r="AN637" s="228"/>
      <c r="AO637" s="228"/>
      <c r="AP637" s="228"/>
      <c r="AQ637" s="228"/>
      <c r="AR637" s="228"/>
      <c r="AS637" s="228"/>
      <c r="AT637" s="228"/>
      <c r="AU637" s="228"/>
      <c r="AV637" s="228"/>
      <c r="AW637" s="228"/>
      <c r="AX637" s="228"/>
      <c r="AY637" s="228"/>
      <c r="AZ637" s="228"/>
      <c r="BA637" s="228"/>
      <c r="BB637" s="228"/>
      <c r="BC637" s="228"/>
      <c r="BD637" s="228"/>
      <c r="BE637" s="228"/>
      <c r="BF637" s="228"/>
      <c r="BG637" s="228"/>
      <c r="BH637" s="228"/>
      <c r="BI637" s="228"/>
      <c r="BJ637" s="228"/>
      <c r="BK637" s="228"/>
      <c r="BL637" s="228"/>
      <c r="BM637" s="228"/>
      <c r="BN637" s="228"/>
      <c r="BO637" s="228"/>
      <c r="BP637" s="228"/>
      <c r="BQ637" s="228"/>
      <c r="BR637" s="228"/>
      <c r="BS637" s="228"/>
      <c r="BT637" s="228"/>
      <c r="BU637" s="228"/>
      <c r="BV637" s="228"/>
      <c r="BW637" s="228"/>
      <c r="BX637" s="228"/>
      <c r="BY637" s="228"/>
      <c r="BZ637" s="228"/>
      <c r="CA637" s="228"/>
      <c r="CB637" s="228"/>
      <c r="CC637" s="228"/>
      <c r="CD637" s="228"/>
      <c r="CE637" s="228"/>
      <c r="CF637" s="228"/>
      <c r="CG637" s="228"/>
      <c r="CH637" s="228"/>
      <c r="CI637" s="228"/>
      <c r="CJ637" s="228"/>
      <c r="CK637" s="228"/>
      <c r="CL637" s="228"/>
      <c r="CM637" s="228"/>
      <c r="CN637" s="228"/>
      <c r="CO637" s="228"/>
      <c r="CP637" s="228"/>
      <c r="CQ637" s="228"/>
      <c r="CR637" s="228"/>
      <c r="CS637" s="228"/>
      <c r="CT637" s="228"/>
      <c r="CU637" s="228"/>
      <c r="CV637" s="228"/>
      <c r="CW637" s="228"/>
      <c r="CX637" s="228"/>
      <c r="CY637" s="228"/>
      <c r="CZ637" s="228"/>
      <c r="DA637" s="228"/>
      <c r="DB637" s="228"/>
    </row>
    <row r="638" ht="12.0" customHeight="1">
      <c r="A638" s="228"/>
      <c r="B638" s="228"/>
      <c r="C638" s="228"/>
      <c r="D638" s="228"/>
      <c r="E638" s="228"/>
      <c r="F638" s="228"/>
      <c r="G638" s="228"/>
      <c r="H638" s="228"/>
      <c r="I638" s="228"/>
      <c r="J638" s="228"/>
      <c r="K638" s="228"/>
      <c r="L638" s="228"/>
      <c r="M638" s="228"/>
      <c r="N638" s="228"/>
      <c r="O638" s="228"/>
      <c r="P638" s="228"/>
      <c r="Q638" s="228"/>
      <c r="R638" s="228"/>
      <c r="S638" s="228"/>
      <c r="T638" s="228"/>
      <c r="U638" s="228"/>
      <c r="V638" s="228"/>
      <c r="W638" s="228"/>
      <c r="X638" s="228"/>
      <c r="Y638" s="228"/>
      <c r="Z638" s="228"/>
      <c r="AA638" s="228"/>
      <c r="AB638" s="228"/>
      <c r="AC638" s="228"/>
      <c r="AD638" s="228"/>
      <c r="AE638" s="228"/>
      <c r="AF638" s="228"/>
      <c r="AG638" s="228"/>
      <c r="AH638" s="228"/>
      <c r="AI638" s="228"/>
      <c r="AJ638" s="228"/>
      <c r="AK638" s="228"/>
      <c r="AL638" s="228"/>
      <c r="AM638" s="228"/>
      <c r="AN638" s="228"/>
      <c r="AO638" s="228"/>
      <c r="AP638" s="228"/>
      <c r="AQ638" s="228"/>
      <c r="AR638" s="228"/>
      <c r="AS638" s="228"/>
      <c r="AT638" s="228"/>
      <c r="AU638" s="228"/>
      <c r="AV638" s="228"/>
      <c r="AW638" s="228"/>
      <c r="AX638" s="228"/>
      <c r="AY638" s="228"/>
      <c r="AZ638" s="228"/>
      <c r="BA638" s="228"/>
      <c r="BB638" s="228"/>
      <c r="BC638" s="228"/>
      <c r="BD638" s="228"/>
      <c r="BE638" s="228"/>
      <c r="BF638" s="228"/>
      <c r="BG638" s="228"/>
      <c r="BH638" s="228"/>
      <c r="BI638" s="228"/>
      <c r="BJ638" s="228"/>
      <c r="BK638" s="228"/>
      <c r="BL638" s="228"/>
      <c r="BM638" s="228"/>
      <c r="BN638" s="228"/>
      <c r="BO638" s="228"/>
      <c r="BP638" s="228"/>
      <c r="BQ638" s="228"/>
      <c r="BR638" s="228"/>
      <c r="BS638" s="228"/>
      <c r="BT638" s="228"/>
      <c r="BU638" s="228"/>
      <c r="BV638" s="228"/>
      <c r="BW638" s="228"/>
      <c r="BX638" s="228"/>
      <c r="BY638" s="228"/>
      <c r="BZ638" s="228"/>
      <c r="CA638" s="228"/>
      <c r="CB638" s="228"/>
      <c r="CC638" s="228"/>
      <c r="CD638" s="228"/>
      <c r="CE638" s="228"/>
      <c r="CF638" s="228"/>
      <c r="CG638" s="228"/>
      <c r="CH638" s="228"/>
      <c r="CI638" s="228"/>
      <c r="CJ638" s="228"/>
      <c r="CK638" s="228"/>
      <c r="CL638" s="228"/>
      <c r="CM638" s="228"/>
      <c r="CN638" s="228"/>
      <c r="CO638" s="228"/>
      <c r="CP638" s="228"/>
      <c r="CQ638" s="228"/>
      <c r="CR638" s="228"/>
      <c r="CS638" s="228"/>
      <c r="CT638" s="228"/>
      <c r="CU638" s="228"/>
      <c r="CV638" s="228"/>
      <c r="CW638" s="228"/>
      <c r="CX638" s="228"/>
      <c r="CY638" s="228"/>
      <c r="CZ638" s="228"/>
      <c r="DA638" s="228"/>
      <c r="DB638" s="228"/>
    </row>
    <row r="639" ht="12.0" customHeight="1">
      <c r="A639" s="228"/>
      <c r="B639" s="228"/>
      <c r="C639" s="228"/>
      <c r="D639" s="228"/>
      <c r="E639" s="228"/>
      <c r="F639" s="228"/>
      <c r="G639" s="228"/>
      <c r="H639" s="228"/>
      <c r="I639" s="228"/>
      <c r="J639" s="228"/>
      <c r="K639" s="228"/>
      <c r="L639" s="228"/>
      <c r="M639" s="228"/>
      <c r="N639" s="228"/>
      <c r="O639" s="228"/>
      <c r="P639" s="228"/>
      <c r="Q639" s="228"/>
      <c r="R639" s="228"/>
      <c r="S639" s="228"/>
      <c r="T639" s="228"/>
      <c r="U639" s="228"/>
      <c r="V639" s="228"/>
      <c r="W639" s="228"/>
      <c r="X639" s="228"/>
      <c r="Y639" s="228"/>
      <c r="Z639" s="228"/>
      <c r="AA639" s="228"/>
      <c r="AB639" s="228"/>
      <c r="AC639" s="228"/>
      <c r="AD639" s="228"/>
      <c r="AE639" s="228"/>
      <c r="AF639" s="228"/>
      <c r="AG639" s="228"/>
      <c r="AH639" s="228"/>
      <c r="AI639" s="228"/>
      <c r="AJ639" s="228"/>
      <c r="AK639" s="228"/>
      <c r="AL639" s="228"/>
      <c r="AM639" s="228"/>
      <c r="AN639" s="228"/>
      <c r="AO639" s="228"/>
      <c r="AP639" s="228"/>
      <c r="AQ639" s="228"/>
      <c r="AR639" s="228"/>
      <c r="AS639" s="228"/>
      <c r="AT639" s="228"/>
      <c r="AU639" s="228"/>
      <c r="AV639" s="228"/>
      <c r="AW639" s="228"/>
      <c r="AX639" s="228"/>
      <c r="AY639" s="228"/>
      <c r="AZ639" s="228"/>
      <c r="BA639" s="228"/>
      <c r="BB639" s="228"/>
      <c r="BC639" s="228"/>
      <c r="BD639" s="228"/>
      <c r="BE639" s="228"/>
      <c r="BF639" s="228"/>
      <c r="BG639" s="228"/>
      <c r="BH639" s="228"/>
      <c r="BI639" s="228"/>
      <c r="BJ639" s="228"/>
      <c r="BK639" s="228"/>
      <c r="BL639" s="228"/>
      <c r="BM639" s="228"/>
      <c r="BN639" s="228"/>
      <c r="BO639" s="228"/>
      <c r="BP639" s="228"/>
      <c r="BQ639" s="228"/>
      <c r="BR639" s="228"/>
      <c r="BS639" s="228"/>
      <c r="BT639" s="228"/>
      <c r="BU639" s="228"/>
      <c r="BV639" s="228"/>
      <c r="BW639" s="228"/>
      <c r="BX639" s="228"/>
      <c r="BY639" s="228"/>
      <c r="BZ639" s="228"/>
      <c r="CA639" s="228"/>
      <c r="CB639" s="228"/>
      <c r="CC639" s="228"/>
      <c r="CD639" s="228"/>
      <c r="CE639" s="228"/>
      <c r="CF639" s="228"/>
      <c r="CG639" s="228"/>
      <c r="CH639" s="228"/>
      <c r="CI639" s="228"/>
      <c r="CJ639" s="228"/>
      <c r="CK639" s="228"/>
      <c r="CL639" s="228"/>
      <c r="CM639" s="228"/>
      <c r="CN639" s="228"/>
      <c r="CO639" s="228"/>
      <c r="CP639" s="228"/>
      <c r="CQ639" s="228"/>
      <c r="CR639" s="228"/>
      <c r="CS639" s="228"/>
      <c r="CT639" s="228"/>
      <c r="CU639" s="228"/>
      <c r="CV639" s="228"/>
      <c r="CW639" s="228"/>
      <c r="CX639" s="228"/>
      <c r="CY639" s="228"/>
      <c r="CZ639" s="228"/>
      <c r="DA639" s="228"/>
      <c r="DB639" s="228"/>
    </row>
    <row r="640" ht="12.0" customHeight="1">
      <c r="A640" s="228"/>
      <c r="B640" s="228"/>
      <c r="C640" s="228"/>
      <c r="D640" s="228"/>
      <c r="E640" s="228"/>
      <c r="F640" s="228"/>
      <c r="G640" s="228"/>
      <c r="H640" s="228"/>
      <c r="I640" s="228"/>
      <c r="J640" s="228"/>
      <c r="K640" s="228"/>
      <c r="L640" s="228"/>
      <c r="M640" s="228"/>
      <c r="N640" s="228"/>
      <c r="O640" s="228"/>
      <c r="P640" s="228"/>
      <c r="Q640" s="228"/>
      <c r="R640" s="228"/>
      <c r="S640" s="228"/>
      <c r="T640" s="228"/>
      <c r="U640" s="228"/>
      <c r="V640" s="228"/>
      <c r="W640" s="228"/>
      <c r="X640" s="228"/>
      <c r="Y640" s="228"/>
      <c r="Z640" s="228"/>
      <c r="AA640" s="228"/>
      <c r="AB640" s="228"/>
      <c r="AC640" s="228"/>
      <c r="AD640" s="228"/>
      <c r="AE640" s="228"/>
      <c r="AF640" s="228"/>
      <c r="AG640" s="228"/>
      <c r="AH640" s="228"/>
      <c r="AI640" s="228"/>
      <c r="AJ640" s="228"/>
      <c r="AK640" s="228"/>
      <c r="AL640" s="228"/>
      <c r="AM640" s="228"/>
      <c r="AN640" s="228"/>
      <c r="AO640" s="228"/>
      <c r="AP640" s="228"/>
      <c r="AQ640" s="228"/>
      <c r="AR640" s="228"/>
      <c r="AS640" s="228"/>
      <c r="AT640" s="228"/>
      <c r="AU640" s="228"/>
      <c r="AV640" s="228"/>
      <c r="AW640" s="228"/>
      <c r="AX640" s="228"/>
      <c r="AY640" s="228"/>
      <c r="AZ640" s="228"/>
      <c r="BA640" s="228"/>
      <c r="BB640" s="228"/>
      <c r="BC640" s="228"/>
      <c r="BD640" s="228"/>
      <c r="BE640" s="228"/>
      <c r="BF640" s="228"/>
      <c r="BG640" s="228"/>
      <c r="BH640" s="228"/>
      <c r="BI640" s="228"/>
      <c r="BJ640" s="228"/>
      <c r="BK640" s="228"/>
      <c r="BL640" s="228"/>
      <c r="BM640" s="228"/>
      <c r="BN640" s="228"/>
      <c r="BO640" s="228"/>
      <c r="BP640" s="228"/>
      <c r="BQ640" s="228"/>
      <c r="BR640" s="228"/>
      <c r="BS640" s="228"/>
      <c r="BT640" s="228"/>
      <c r="BU640" s="228"/>
      <c r="BV640" s="228"/>
      <c r="BW640" s="228"/>
      <c r="BX640" s="228"/>
      <c r="BY640" s="228"/>
      <c r="BZ640" s="228"/>
      <c r="CA640" s="228"/>
      <c r="CB640" s="228"/>
      <c r="CC640" s="228"/>
      <c r="CD640" s="228"/>
      <c r="CE640" s="228"/>
      <c r="CF640" s="228"/>
      <c r="CG640" s="228"/>
      <c r="CH640" s="228"/>
      <c r="CI640" s="228"/>
      <c r="CJ640" s="228"/>
      <c r="CK640" s="228"/>
      <c r="CL640" s="228"/>
      <c r="CM640" s="228"/>
      <c r="CN640" s="228"/>
      <c r="CO640" s="228"/>
      <c r="CP640" s="228"/>
      <c r="CQ640" s="228"/>
      <c r="CR640" s="228"/>
      <c r="CS640" s="228"/>
      <c r="CT640" s="228"/>
      <c r="CU640" s="228"/>
      <c r="CV640" s="228"/>
      <c r="CW640" s="228"/>
      <c r="CX640" s="228"/>
      <c r="CY640" s="228"/>
      <c r="CZ640" s="228"/>
      <c r="DA640" s="228"/>
      <c r="DB640" s="228"/>
    </row>
    <row r="641" ht="12.0" customHeight="1">
      <c r="A641" s="228"/>
      <c r="B641" s="228"/>
      <c r="C641" s="228"/>
      <c r="D641" s="228"/>
      <c r="E641" s="228"/>
      <c r="F641" s="228"/>
      <c r="G641" s="228"/>
      <c r="H641" s="228"/>
      <c r="I641" s="228"/>
      <c r="J641" s="228"/>
      <c r="K641" s="228"/>
      <c r="L641" s="228"/>
      <c r="M641" s="228"/>
      <c r="N641" s="228"/>
      <c r="O641" s="228"/>
      <c r="P641" s="228"/>
      <c r="Q641" s="228"/>
      <c r="R641" s="228"/>
      <c r="S641" s="228"/>
      <c r="T641" s="228"/>
      <c r="U641" s="228"/>
      <c r="V641" s="228"/>
      <c r="W641" s="228"/>
      <c r="X641" s="228"/>
      <c r="Y641" s="228"/>
      <c r="Z641" s="228"/>
      <c r="AA641" s="228"/>
      <c r="AB641" s="228"/>
      <c r="AC641" s="228"/>
      <c r="AD641" s="228"/>
      <c r="AE641" s="228"/>
      <c r="AF641" s="228"/>
      <c r="AG641" s="228"/>
      <c r="AH641" s="228"/>
      <c r="AI641" s="228"/>
      <c r="AJ641" s="228"/>
      <c r="AK641" s="228"/>
      <c r="AL641" s="228"/>
      <c r="AM641" s="228"/>
      <c r="AN641" s="228"/>
      <c r="AO641" s="228"/>
      <c r="AP641" s="228"/>
      <c r="AQ641" s="228"/>
      <c r="AR641" s="228"/>
      <c r="AS641" s="228"/>
      <c r="AT641" s="228"/>
      <c r="AU641" s="228"/>
      <c r="AV641" s="228"/>
      <c r="AW641" s="228"/>
      <c r="AX641" s="228"/>
      <c r="AY641" s="228"/>
      <c r="AZ641" s="228"/>
      <c r="BA641" s="228"/>
      <c r="BB641" s="228"/>
      <c r="BC641" s="228"/>
      <c r="BD641" s="228"/>
      <c r="BE641" s="228"/>
      <c r="BF641" s="228"/>
      <c r="BG641" s="228"/>
      <c r="BH641" s="228"/>
      <c r="BI641" s="228"/>
      <c r="BJ641" s="228"/>
      <c r="BK641" s="228"/>
      <c r="BL641" s="228"/>
      <c r="BM641" s="228"/>
      <c r="BN641" s="228"/>
      <c r="BO641" s="228"/>
      <c r="BP641" s="228"/>
      <c r="BQ641" s="228"/>
      <c r="BR641" s="228"/>
      <c r="BS641" s="228"/>
      <c r="BT641" s="228"/>
      <c r="BU641" s="228"/>
      <c r="BV641" s="228"/>
      <c r="BW641" s="228"/>
      <c r="BX641" s="228"/>
      <c r="BY641" s="228"/>
      <c r="BZ641" s="228"/>
      <c r="CA641" s="228"/>
      <c r="CB641" s="228"/>
      <c r="CC641" s="228"/>
      <c r="CD641" s="228"/>
      <c r="CE641" s="228"/>
      <c r="CF641" s="228"/>
      <c r="CG641" s="228"/>
      <c r="CH641" s="228"/>
      <c r="CI641" s="228"/>
      <c r="CJ641" s="228"/>
      <c r="CK641" s="228"/>
      <c r="CL641" s="228"/>
      <c r="CM641" s="228"/>
      <c r="CN641" s="228"/>
      <c r="CO641" s="228"/>
      <c r="CP641" s="228"/>
      <c r="CQ641" s="228"/>
      <c r="CR641" s="228"/>
      <c r="CS641" s="228"/>
      <c r="CT641" s="228"/>
      <c r="CU641" s="228"/>
      <c r="CV641" s="228"/>
      <c r="CW641" s="228"/>
      <c r="CX641" s="228"/>
      <c r="CY641" s="228"/>
      <c r="CZ641" s="228"/>
      <c r="DA641" s="228"/>
      <c r="DB641" s="228"/>
    </row>
    <row r="642" ht="12.0" customHeight="1">
      <c r="A642" s="228"/>
      <c r="B642" s="228"/>
      <c r="C642" s="228"/>
      <c r="D642" s="228"/>
      <c r="E642" s="228"/>
      <c r="F642" s="228"/>
      <c r="G642" s="228"/>
      <c r="H642" s="228"/>
      <c r="I642" s="228"/>
      <c r="J642" s="228"/>
      <c r="K642" s="228"/>
      <c r="L642" s="228"/>
      <c r="M642" s="228"/>
      <c r="N642" s="228"/>
      <c r="O642" s="228"/>
      <c r="P642" s="228"/>
      <c r="Q642" s="228"/>
      <c r="R642" s="228"/>
      <c r="S642" s="228"/>
      <c r="T642" s="228"/>
      <c r="U642" s="228"/>
      <c r="V642" s="228"/>
      <c r="W642" s="228"/>
      <c r="X642" s="228"/>
      <c r="Y642" s="228"/>
      <c r="Z642" s="228"/>
      <c r="AA642" s="228"/>
      <c r="AB642" s="228"/>
      <c r="AC642" s="228"/>
      <c r="AD642" s="228"/>
      <c r="AE642" s="228"/>
      <c r="AF642" s="228"/>
      <c r="AG642" s="228"/>
      <c r="AH642" s="228"/>
      <c r="AI642" s="228"/>
      <c r="AJ642" s="228"/>
      <c r="AK642" s="228"/>
      <c r="AL642" s="228"/>
      <c r="AM642" s="228"/>
      <c r="AN642" s="228"/>
      <c r="AO642" s="228"/>
      <c r="AP642" s="228"/>
      <c r="AQ642" s="228"/>
      <c r="AR642" s="228"/>
      <c r="AS642" s="228"/>
      <c r="AT642" s="228"/>
      <c r="AU642" s="228"/>
      <c r="AV642" s="228"/>
      <c r="AW642" s="228"/>
      <c r="AX642" s="228"/>
      <c r="AY642" s="228"/>
      <c r="AZ642" s="228"/>
      <c r="BA642" s="228"/>
      <c r="BB642" s="228"/>
      <c r="BC642" s="228"/>
      <c r="BD642" s="228"/>
      <c r="BE642" s="228"/>
      <c r="BF642" s="228"/>
      <c r="BG642" s="228"/>
      <c r="BH642" s="228"/>
      <c r="BI642" s="228"/>
      <c r="BJ642" s="228"/>
      <c r="BK642" s="228"/>
      <c r="BL642" s="228"/>
      <c r="BM642" s="228"/>
      <c r="BN642" s="228"/>
      <c r="BO642" s="228"/>
      <c r="BP642" s="228"/>
      <c r="BQ642" s="228"/>
      <c r="BR642" s="228"/>
      <c r="BS642" s="228"/>
      <c r="BT642" s="228"/>
      <c r="BU642" s="228"/>
      <c r="BV642" s="228"/>
      <c r="BW642" s="228"/>
      <c r="BX642" s="228"/>
      <c r="BY642" s="228"/>
      <c r="BZ642" s="228"/>
      <c r="CA642" s="228"/>
      <c r="CB642" s="228"/>
      <c r="CC642" s="228"/>
      <c r="CD642" s="228"/>
      <c r="CE642" s="228"/>
      <c r="CF642" s="228"/>
      <c r="CG642" s="228"/>
      <c r="CH642" s="228"/>
      <c r="CI642" s="228"/>
      <c r="CJ642" s="228"/>
      <c r="CK642" s="228"/>
      <c r="CL642" s="228"/>
      <c r="CM642" s="228"/>
      <c r="CN642" s="228"/>
      <c r="CO642" s="228"/>
      <c r="CP642" s="228"/>
      <c r="CQ642" s="228"/>
      <c r="CR642" s="228"/>
      <c r="CS642" s="228"/>
      <c r="CT642" s="228"/>
      <c r="CU642" s="228"/>
      <c r="CV642" s="228"/>
      <c r="CW642" s="228"/>
      <c r="CX642" s="228"/>
      <c r="CY642" s="228"/>
      <c r="CZ642" s="228"/>
      <c r="DA642" s="228"/>
      <c r="DB642" s="228"/>
    </row>
    <row r="643" ht="12.0" customHeight="1">
      <c r="A643" s="228"/>
      <c r="B643" s="228"/>
      <c r="C643" s="228"/>
      <c r="D643" s="228"/>
      <c r="E643" s="228"/>
      <c r="F643" s="228"/>
      <c r="G643" s="228"/>
      <c r="H643" s="228"/>
      <c r="I643" s="228"/>
      <c r="J643" s="228"/>
      <c r="K643" s="228"/>
      <c r="L643" s="228"/>
      <c r="M643" s="228"/>
      <c r="N643" s="228"/>
      <c r="O643" s="228"/>
      <c r="P643" s="228"/>
      <c r="Q643" s="228"/>
      <c r="R643" s="228"/>
      <c r="S643" s="228"/>
      <c r="T643" s="228"/>
      <c r="U643" s="228"/>
      <c r="V643" s="228"/>
      <c r="W643" s="228"/>
      <c r="X643" s="228"/>
      <c r="Y643" s="228"/>
      <c r="Z643" s="228"/>
      <c r="AA643" s="228"/>
      <c r="AB643" s="228"/>
      <c r="AC643" s="228"/>
      <c r="AD643" s="228"/>
      <c r="AE643" s="228"/>
      <c r="AF643" s="228"/>
      <c r="AG643" s="228"/>
      <c r="AH643" s="228"/>
      <c r="AI643" s="228"/>
      <c r="AJ643" s="228"/>
      <c r="AK643" s="228"/>
      <c r="AL643" s="228"/>
      <c r="AM643" s="228"/>
      <c r="AN643" s="228"/>
      <c r="AO643" s="228"/>
      <c r="AP643" s="228"/>
      <c r="AQ643" s="228"/>
      <c r="AR643" s="228"/>
      <c r="AS643" s="228"/>
      <c r="AT643" s="228"/>
      <c r="AU643" s="228"/>
      <c r="AV643" s="228"/>
      <c r="AW643" s="228"/>
      <c r="AX643" s="228"/>
      <c r="AY643" s="228"/>
      <c r="AZ643" s="228"/>
      <c r="BA643" s="228"/>
      <c r="BB643" s="228"/>
      <c r="BC643" s="228"/>
      <c r="BD643" s="228"/>
      <c r="BE643" s="228"/>
      <c r="BF643" s="228"/>
      <c r="BG643" s="228"/>
      <c r="BH643" s="228"/>
      <c r="BI643" s="228"/>
      <c r="BJ643" s="228"/>
      <c r="BK643" s="228"/>
      <c r="BL643" s="228"/>
      <c r="BM643" s="228"/>
      <c r="BN643" s="228"/>
      <c r="BO643" s="228"/>
      <c r="BP643" s="228"/>
      <c r="BQ643" s="228"/>
      <c r="BR643" s="228"/>
      <c r="BS643" s="228"/>
      <c r="BT643" s="228"/>
      <c r="BU643" s="228"/>
      <c r="BV643" s="228"/>
      <c r="BW643" s="228"/>
      <c r="BX643" s="228"/>
      <c r="BY643" s="228"/>
      <c r="BZ643" s="228"/>
      <c r="CA643" s="228"/>
      <c r="CB643" s="228"/>
      <c r="CC643" s="228"/>
      <c r="CD643" s="228"/>
      <c r="CE643" s="228"/>
      <c r="CF643" s="228"/>
      <c r="CG643" s="228"/>
      <c r="CH643" s="228"/>
      <c r="CI643" s="228"/>
      <c r="CJ643" s="228"/>
      <c r="CK643" s="228"/>
      <c r="CL643" s="228"/>
      <c r="CM643" s="228"/>
      <c r="CN643" s="228"/>
      <c r="CO643" s="228"/>
      <c r="CP643" s="228"/>
      <c r="CQ643" s="228"/>
      <c r="CR643" s="228"/>
      <c r="CS643" s="228"/>
      <c r="CT643" s="228"/>
      <c r="CU643" s="228"/>
      <c r="CV643" s="228"/>
      <c r="CW643" s="228"/>
      <c r="CX643" s="228"/>
      <c r="CY643" s="228"/>
      <c r="CZ643" s="228"/>
      <c r="DA643" s="228"/>
      <c r="DB643" s="228"/>
    </row>
    <row r="644" ht="12.0" customHeight="1">
      <c r="A644" s="228"/>
      <c r="B644" s="228"/>
      <c r="C644" s="228"/>
      <c r="D644" s="228"/>
      <c r="E644" s="228"/>
      <c r="F644" s="228"/>
      <c r="G644" s="228"/>
      <c r="H644" s="228"/>
      <c r="I644" s="228"/>
      <c r="J644" s="228"/>
      <c r="K644" s="228"/>
      <c r="L644" s="228"/>
      <c r="M644" s="228"/>
      <c r="N644" s="228"/>
      <c r="O644" s="228"/>
      <c r="P644" s="228"/>
      <c r="Q644" s="228"/>
      <c r="R644" s="228"/>
      <c r="S644" s="228"/>
      <c r="T644" s="228"/>
      <c r="U644" s="228"/>
      <c r="V644" s="228"/>
      <c r="W644" s="228"/>
      <c r="X644" s="228"/>
      <c r="Y644" s="228"/>
      <c r="Z644" s="228"/>
      <c r="AA644" s="228"/>
      <c r="AB644" s="228"/>
      <c r="AC644" s="228"/>
      <c r="AD644" s="228"/>
      <c r="AE644" s="228"/>
      <c r="AF644" s="228"/>
      <c r="AG644" s="228"/>
      <c r="AH644" s="228"/>
      <c r="AI644" s="228"/>
      <c r="AJ644" s="228"/>
      <c r="AK644" s="228"/>
      <c r="AL644" s="228"/>
      <c r="AM644" s="228"/>
      <c r="AN644" s="228"/>
      <c r="AO644" s="228"/>
      <c r="AP644" s="228"/>
      <c r="AQ644" s="228"/>
      <c r="AR644" s="228"/>
      <c r="AS644" s="228"/>
      <c r="AT644" s="228"/>
      <c r="AU644" s="228"/>
      <c r="AV644" s="228"/>
      <c r="AW644" s="228"/>
      <c r="AX644" s="228"/>
      <c r="AY644" s="228"/>
      <c r="AZ644" s="228"/>
      <c r="BA644" s="228"/>
      <c r="BB644" s="228"/>
      <c r="BC644" s="228"/>
      <c r="BD644" s="228"/>
      <c r="BE644" s="228"/>
      <c r="BF644" s="228"/>
      <c r="BG644" s="228"/>
      <c r="BH644" s="228"/>
      <c r="BI644" s="228"/>
      <c r="BJ644" s="228"/>
      <c r="BK644" s="228"/>
      <c r="BL644" s="228"/>
      <c r="BM644" s="228"/>
      <c r="BN644" s="228"/>
      <c r="BO644" s="228"/>
      <c r="BP644" s="228"/>
      <c r="BQ644" s="228"/>
      <c r="BR644" s="228"/>
      <c r="BS644" s="228"/>
      <c r="BT644" s="228"/>
      <c r="BU644" s="228"/>
      <c r="BV644" s="228"/>
      <c r="BW644" s="228"/>
      <c r="BX644" s="228"/>
      <c r="BY644" s="228"/>
      <c r="BZ644" s="228"/>
      <c r="CA644" s="228"/>
      <c r="CB644" s="228"/>
      <c r="CC644" s="228"/>
      <c r="CD644" s="228"/>
      <c r="CE644" s="228"/>
      <c r="CF644" s="228"/>
      <c r="CG644" s="228"/>
      <c r="CH644" s="228"/>
      <c r="CI644" s="228"/>
      <c r="CJ644" s="228"/>
      <c r="CK644" s="228"/>
      <c r="CL644" s="228"/>
      <c r="CM644" s="228"/>
      <c r="CN644" s="228"/>
      <c r="CO644" s="228"/>
      <c r="CP644" s="228"/>
      <c r="CQ644" s="228"/>
      <c r="CR644" s="228"/>
      <c r="CS644" s="228"/>
      <c r="CT644" s="228"/>
      <c r="CU644" s="228"/>
      <c r="CV644" s="228"/>
      <c r="CW644" s="228"/>
      <c r="CX644" s="228"/>
      <c r="CY644" s="228"/>
      <c r="CZ644" s="228"/>
      <c r="DA644" s="228"/>
      <c r="DB644" s="228"/>
    </row>
    <row r="645" ht="12.0" customHeight="1">
      <c r="A645" s="228"/>
      <c r="B645" s="228"/>
      <c r="C645" s="228"/>
      <c r="D645" s="228"/>
      <c r="E645" s="228"/>
      <c r="F645" s="228"/>
      <c r="G645" s="228"/>
      <c r="H645" s="228"/>
      <c r="I645" s="228"/>
      <c r="J645" s="228"/>
      <c r="K645" s="228"/>
      <c r="L645" s="228"/>
      <c r="M645" s="228"/>
      <c r="N645" s="228"/>
      <c r="O645" s="228"/>
      <c r="P645" s="228"/>
      <c r="Q645" s="228"/>
      <c r="R645" s="228"/>
      <c r="S645" s="228"/>
      <c r="T645" s="228"/>
      <c r="U645" s="228"/>
      <c r="V645" s="228"/>
      <c r="W645" s="228"/>
      <c r="X645" s="228"/>
      <c r="Y645" s="228"/>
      <c r="Z645" s="228"/>
      <c r="AA645" s="228"/>
      <c r="AB645" s="228"/>
      <c r="AC645" s="228"/>
      <c r="AD645" s="228"/>
      <c r="AE645" s="228"/>
      <c r="AF645" s="228"/>
      <c r="AG645" s="228"/>
      <c r="AH645" s="228"/>
      <c r="AI645" s="228"/>
      <c r="AJ645" s="228"/>
      <c r="AK645" s="228"/>
      <c r="AL645" s="228"/>
      <c r="AM645" s="228"/>
      <c r="AN645" s="228"/>
      <c r="AO645" s="228"/>
      <c r="AP645" s="228"/>
      <c r="AQ645" s="228"/>
      <c r="AR645" s="228"/>
      <c r="AS645" s="228"/>
      <c r="AT645" s="228"/>
      <c r="AU645" s="228"/>
      <c r="AV645" s="228"/>
      <c r="AW645" s="228"/>
      <c r="AX645" s="228"/>
      <c r="AY645" s="228"/>
      <c r="AZ645" s="228"/>
      <c r="BA645" s="228"/>
      <c r="BB645" s="228"/>
      <c r="BC645" s="228"/>
      <c r="BD645" s="228"/>
      <c r="BE645" s="228"/>
      <c r="BF645" s="228"/>
      <c r="BG645" s="228"/>
      <c r="BH645" s="228"/>
      <c r="BI645" s="228"/>
      <c r="BJ645" s="228"/>
      <c r="BK645" s="228"/>
      <c r="BL645" s="228"/>
      <c r="BM645" s="228"/>
      <c r="BN645" s="228"/>
      <c r="BO645" s="228"/>
      <c r="BP645" s="228"/>
      <c r="BQ645" s="228"/>
      <c r="BR645" s="228"/>
      <c r="BS645" s="228"/>
      <c r="BT645" s="228"/>
      <c r="BU645" s="228"/>
      <c r="BV645" s="228"/>
      <c r="BW645" s="228"/>
      <c r="BX645" s="228"/>
      <c r="BY645" s="228"/>
      <c r="BZ645" s="228"/>
      <c r="CA645" s="228"/>
      <c r="CB645" s="228"/>
      <c r="CC645" s="228"/>
      <c r="CD645" s="228"/>
      <c r="CE645" s="228"/>
      <c r="CF645" s="228"/>
      <c r="CG645" s="228"/>
      <c r="CH645" s="228"/>
      <c r="CI645" s="228"/>
      <c r="CJ645" s="228"/>
      <c r="CK645" s="228"/>
      <c r="CL645" s="228"/>
      <c r="CM645" s="228"/>
      <c r="CN645" s="228"/>
      <c r="CO645" s="228"/>
      <c r="CP645" s="228"/>
      <c r="CQ645" s="228"/>
      <c r="CR645" s="228"/>
      <c r="CS645" s="228"/>
      <c r="CT645" s="228"/>
      <c r="CU645" s="228"/>
      <c r="CV645" s="228"/>
      <c r="CW645" s="228"/>
      <c r="CX645" s="228"/>
      <c r="CY645" s="228"/>
      <c r="CZ645" s="228"/>
      <c r="DA645" s="228"/>
      <c r="DB645" s="228"/>
    </row>
    <row r="646" ht="12.0" customHeight="1">
      <c r="A646" s="228"/>
      <c r="B646" s="228"/>
      <c r="C646" s="228"/>
      <c r="D646" s="228"/>
      <c r="E646" s="228"/>
      <c r="F646" s="228"/>
      <c r="G646" s="228"/>
      <c r="H646" s="228"/>
      <c r="I646" s="228"/>
      <c r="J646" s="228"/>
      <c r="K646" s="228"/>
      <c r="L646" s="228"/>
      <c r="M646" s="228"/>
      <c r="N646" s="228"/>
      <c r="O646" s="228"/>
      <c r="P646" s="228"/>
      <c r="Q646" s="228"/>
      <c r="R646" s="228"/>
      <c r="S646" s="228"/>
      <c r="T646" s="228"/>
      <c r="U646" s="228"/>
      <c r="V646" s="228"/>
      <c r="W646" s="228"/>
      <c r="X646" s="228"/>
      <c r="Y646" s="228"/>
      <c r="Z646" s="228"/>
      <c r="AA646" s="228"/>
      <c r="AB646" s="228"/>
      <c r="AC646" s="228"/>
      <c r="AD646" s="228"/>
      <c r="AE646" s="228"/>
      <c r="AF646" s="228"/>
      <c r="AG646" s="228"/>
      <c r="AH646" s="228"/>
      <c r="AI646" s="228"/>
      <c r="AJ646" s="228"/>
      <c r="AK646" s="228"/>
      <c r="AL646" s="228"/>
      <c r="AM646" s="228"/>
      <c r="AN646" s="228"/>
      <c r="AO646" s="228"/>
      <c r="AP646" s="228"/>
      <c r="AQ646" s="228"/>
      <c r="AR646" s="228"/>
      <c r="AS646" s="228"/>
      <c r="AT646" s="228"/>
      <c r="AU646" s="228"/>
      <c r="AV646" s="228"/>
      <c r="AW646" s="228"/>
      <c r="AX646" s="228"/>
      <c r="AY646" s="228"/>
      <c r="AZ646" s="228"/>
      <c r="BA646" s="228"/>
      <c r="BB646" s="228"/>
      <c r="BC646" s="228"/>
      <c r="BD646" s="228"/>
      <c r="BE646" s="228"/>
      <c r="BF646" s="228"/>
      <c r="BG646" s="228"/>
      <c r="BH646" s="228"/>
      <c r="BI646" s="228"/>
      <c r="BJ646" s="228"/>
      <c r="BK646" s="228"/>
      <c r="BL646" s="228"/>
      <c r="BM646" s="228"/>
      <c r="BN646" s="228"/>
      <c r="BO646" s="228"/>
      <c r="BP646" s="228"/>
      <c r="BQ646" s="228"/>
      <c r="BR646" s="228"/>
      <c r="BS646" s="228"/>
      <c r="BT646" s="228"/>
      <c r="BU646" s="228"/>
      <c r="BV646" s="228"/>
      <c r="BW646" s="228"/>
      <c r="BX646" s="228"/>
      <c r="BY646" s="228"/>
      <c r="BZ646" s="228"/>
      <c r="CA646" s="228"/>
      <c r="CB646" s="228"/>
      <c r="CC646" s="228"/>
      <c r="CD646" s="228"/>
      <c r="CE646" s="228"/>
      <c r="CF646" s="228"/>
      <c r="CG646" s="228"/>
      <c r="CH646" s="228"/>
      <c r="CI646" s="228"/>
      <c r="CJ646" s="228"/>
      <c r="CK646" s="228"/>
      <c r="CL646" s="228"/>
      <c r="CM646" s="228"/>
      <c r="CN646" s="228"/>
      <c r="CO646" s="228"/>
      <c r="CP646" s="228"/>
      <c r="CQ646" s="228"/>
      <c r="CR646" s="228"/>
      <c r="CS646" s="228"/>
      <c r="CT646" s="228"/>
      <c r="CU646" s="228"/>
      <c r="CV646" s="228"/>
      <c r="CW646" s="228"/>
      <c r="CX646" s="228"/>
      <c r="CY646" s="228"/>
      <c r="CZ646" s="228"/>
      <c r="DA646" s="228"/>
      <c r="DB646" s="228"/>
    </row>
    <row r="647" ht="12.0" customHeight="1">
      <c r="A647" s="228"/>
      <c r="B647" s="228"/>
      <c r="C647" s="228"/>
      <c r="D647" s="228"/>
      <c r="E647" s="228"/>
      <c r="F647" s="228"/>
      <c r="G647" s="228"/>
      <c r="H647" s="228"/>
      <c r="I647" s="228"/>
      <c r="J647" s="228"/>
      <c r="K647" s="228"/>
      <c r="L647" s="228"/>
      <c r="M647" s="228"/>
      <c r="N647" s="228"/>
      <c r="O647" s="228"/>
      <c r="P647" s="228"/>
      <c r="Q647" s="228"/>
      <c r="R647" s="228"/>
      <c r="S647" s="228"/>
      <c r="T647" s="228"/>
      <c r="U647" s="228"/>
      <c r="V647" s="228"/>
      <c r="W647" s="228"/>
      <c r="X647" s="228"/>
      <c r="Y647" s="228"/>
      <c r="Z647" s="228"/>
      <c r="AA647" s="228"/>
      <c r="AB647" s="228"/>
      <c r="AC647" s="228"/>
      <c r="AD647" s="228"/>
      <c r="AE647" s="228"/>
      <c r="AF647" s="228"/>
      <c r="AG647" s="228"/>
      <c r="AH647" s="228"/>
      <c r="AI647" s="228"/>
      <c r="AJ647" s="228"/>
      <c r="AK647" s="228"/>
      <c r="AL647" s="228"/>
      <c r="AM647" s="228"/>
      <c r="AN647" s="228"/>
      <c r="AO647" s="228"/>
      <c r="AP647" s="228"/>
      <c r="AQ647" s="228"/>
      <c r="AR647" s="228"/>
      <c r="AS647" s="228"/>
      <c r="AT647" s="228"/>
      <c r="AU647" s="228"/>
      <c r="AV647" s="228"/>
      <c r="AW647" s="228"/>
      <c r="AX647" s="228"/>
      <c r="AY647" s="228"/>
      <c r="AZ647" s="228"/>
      <c r="BA647" s="228"/>
      <c r="BB647" s="228"/>
      <c r="BC647" s="228"/>
      <c r="BD647" s="228"/>
      <c r="BE647" s="228"/>
      <c r="BF647" s="228"/>
      <c r="BG647" s="228"/>
      <c r="BH647" s="228"/>
      <c r="BI647" s="228"/>
      <c r="BJ647" s="228"/>
      <c r="BK647" s="228"/>
      <c r="BL647" s="228"/>
      <c r="BM647" s="228"/>
      <c r="BN647" s="228"/>
      <c r="BO647" s="228"/>
      <c r="BP647" s="228"/>
      <c r="BQ647" s="228"/>
      <c r="BR647" s="228"/>
      <c r="BS647" s="228"/>
      <c r="BT647" s="228"/>
      <c r="BU647" s="228"/>
      <c r="BV647" s="228"/>
      <c r="BW647" s="228"/>
      <c r="BX647" s="228"/>
      <c r="BY647" s="228"/>
      <c r="BZ647" s="228"/>
      <c r="CA647" s="228"/>
      <c r="CB647" s="228"/>
      <c r="CC647" s="228"/>
      <c r="CD647" s="228"/>
      <c r="CE647" s="228"/>
      <c r="CF647" s="228"/>
      <c r="CG647" s="228"/>
      <c r="CH647" s="228"/>
      <c r="CI647" s="228"/>
      <c r="CJ647" s="228"/>
      <c r="CK647" s="228"/>
      <c r="CL647" s="228"/>
      <c r="CM647" s="228"/>
      <c r="CN647" s="228"/>
      <c r="CO647" s="228"/>
      <c r="CP647" s="228"/>
      <c r="CQ647" s="228"/>
      <c r="CR647" s="228"/>
      <c r="CS647" s="228"/>
      <c r="CT647" s="228"/>
      <c r="CU647" s="228"/>
      <c r="CV647" s="228"/>
      <c r="CW647" s="228"/>
      <c r="CX647" s="228"/>
      <c r="CY647" s="228"/>
      <c r="CZ647" s="228"/>
      <c r="DA647" s="228"/>
      <c r="DB647" s="228"/>
    </row>
    <row r="648" ht="12.0" customHeight="1">
      <c r="A648" s="228"/>
      <c r="B648" s="228"/>
      <c r="C648" s="228"/>
      <c r="D648" s="228"/>
      <c r="E648" s="228"/>
      <c r="F648" s="228"/>
      <c r="G648" s="228"/>
      <c r="H648" s="228"/>
      <c r="I648" s="228"/>
      <c r="J648" s="228"/>
      <c r="K648" s="228"/>
      <c r="L648" s="228"/>
      <c r="M648" s="228"/>
      <c r="N648" s="228"/>
      <c r="O648" s="228"/>
      <c r="P648" s="228"/>
      <c r="Q648" s="228"/>
      <c r="R648" s="228"/>
      <c r="S648" s="228"/>
      <c r="T648" s="228"/>
      <c r="U648" s="228"/>
      <c r="V648" s="228"/>
      <c r="W648" s="228"/>
      <c r="X648" s="228"/>
      <c r="Y648" s="228"/>
      <c r="Z648" s="228"/>
      <c r="AA648" s="228"/>
      <c r="AB648" s="228"/>
      <c r="AC648" s="228"/>
      <c r="AD648" s="228"/>
      <c r="AE648" s="228"/>
      <c r="AF648" s="228"/>
      <c r="AG648" s="228"/>
      <c r="AH648" s="228"/>
      <c r="AI648" s="228"/>
      <c r="AJ648" s="228"/>
      <c r="AK648" s="228"/>
      <c r="AL648" s="228"/>
      <c r="AM648" s="228"/>
      <c r="AN648" s="228"/>
      <c r="AO648" s="228"/>
      <c r="AP648" s="228"/>
      <c r="AQ648" s="228"/>
      <c r="AR648" s="228"/>
      <c r="AS648" s="228"/>
      <c r="AT648" s="228"/>
      <c r="AU648" s="228"/>
      <c r="AV648" s="228"/>
      <c r="AW648" s="228"/>
      <c r="AX648" s="228"/>
      <c r="AY648" s="228"/>
      <c r="AZ648" s="228"/>
      <c r="BA648" s="228"/>
      <c r="BB648" s="228"/>
      <c r="BC648" s="228"/>
      <c r="BD648" s="228"/>
      <c r="BE648" s="228"/>
      <c r="BF648" s="228"/>
      <c r="BG648" s="228"/>
      <c r="BH648" s="228"/>
      <c r="BI648" s="228"/>
      <c r="BJ648" s="228"/>
      <c r="BK648" s="228"/>
      <c r="BL648" s="228"/>
      <c r="BM648" s="228"/>
      <c r="BN648" s="228"/>
      <c r="BO648" s="228"/>
      <c r="BP648" s="228"/>
      <c r="BQ648" s="228"/>
      <c r="BR648" s="228"/>
      <c r="BS648" s="228"/>
      <c r="BT648" s="228"/>
      <c r="BU648" s="228"/>
      <c r="BV648" s="228"/>
      <c r="BW648" s="228"/>
      <c r="BX648" s="228"/>
      <c r="BY648" s="228"/>
      <c r="BZ648" s="228"/>
      <c r="CA648" s="228"/>
      <c r="CB648" s="228"/>
      <c r="CC648" s="228"/>
      <c r="CD648" s="228"/>
      <c r="CE648" s="228"/>
      <c r="CF648" s="228"/>
      <c r="CG648" s="228"/>
      <c r="CH648" s="228"/>
      <c r="CI648" s="228"/>
      <c r="CJ648" s="228"/>
      <c r="CK648" s="228"/>
      <c r="CL648" s="228"/>
      <c r="CM648" s="228"/>
      <c r="CN648" s="228"/>
      <c r="CO648" s="228"/>
      <c r="CP648" s="228"/>
      <c r="CQ648" s="228"/>
      <c r="CR648" s="228"/>
      <c r="CS648" s="228"/>
      <c r="CT648" s="228"/>
      <c r="CU648" s="228"/>
      <c r="CV648" s="228"/>
      <c r="CW648" s="228"/>
      <c r="CX648" s="228"/>
      <c r="CY648" s="228"/>
      <c r="CZ648" s="228"/>
      <c r="DA648" s="228"/>
      <c r="DB648" s="228"/>
    </row>
    <row r="649" ht="12.0" customHeight="1">
      <c r="A649" s="228"/>
      <c r="B649" s="228"/>
      <c r="C649" s="228"/>
      <c r="D649" s="228"/>
      <c r="E649" s="228"/>
      <c r="F649" s="228"/>
      <c r="G649" s="228"/>
      <c r="H649" s="228"/>
      <c r="I649" s="228"/>
      <c r="J649" s="228"/>
      <c r="K649" s="228"/>
      <c r="L649" s="228"/>
      <c r="M649" s="228"/>
      <c r="N649" s="228"/>
      <c r="O649" s="228"/>
      <c r="P649" s="228"/>
      <c r="Q649" s="228"/>
      <c r="R649" s="228"/>
      <c r="S649" s="228"/>
      <c r="T649" s="228"/>
      <c r="U649" s="228"/>
      <c r="V649" s="228"/>
      <c r="W649" s="228"/>
      <c r="X649" s="228"/>
      <c r="Y649" s="228"/>
      <c r="Z649" s="228"/>
      <c r="AA649" s="228"/>
      <c r="AB649" s="228"/>
      <c r="AC649" s="228"/>
      <c r="AD649" s="228"/>
      <c r="AE649" s="228"/>
      <c r="AF649" s="228"/>
      <c r="AG649" s="228"/>
      <c r="AH649" s="228"/>
      <c r="AI649" s="228"/>
      <c r="AJ649" s="228"/>
      <c r="AK649" s="228"/>
      <c r="AL649" s="228"/>
      <c r="AM649" s="228"/>
      <c r="AN649" s="228"/>
      <c r="AO649" s="228"/>
      <c r="AP649" s="228"/>
      <c r="AQ649" s="228"/>
      <c r="AR649" s="228"/>
      <c r="AS649" s="228"/>
      <c r="AT649" s="228"/>
      <c r="AU649" s="228"/>
      <c r="AV649" s="228"/>
      <c r="AW649" s="228"/>
      <c r="AX649" s="228"/>
      <c r="AY649" s="228"/>
      <c r="AZ649" s="228"/>
      <c r="BA649" s="228"/>
      <c r="BB649" s="228"/>
      <c r="BC649" s="228"/>
      <c r="BD649" s="228"/>
      <c r="BE649" s="228"/>
      <c r="BF649" s="228"/>
      <c r="BG649" s="228"/>
      <c r="BH649" s="228"/>
      <c r="BI649" s="228"/>
      <c r="BJ649" s="228"/>
      <c r="BK649" s="228"/>
      <c r="BL649" s="228"/>
      <c r="BM649" s="228"/>
      <c r="BN649" s="228"/>
      <c r="BO649" s="228"/>
      <c r="BP649" s="228"/>
      <c r="BQ649" s="228"/>
      <c r="BR649" s="228"/>
      <c r="BS649" s="228"/>
      <c r="BT649" s="228"/>
      <c r="BU649" s="228"/>
      <c r="BV649" s="228"/>
      <c r="BW649" s="228"/>
      <c r="BX649" s="228"/>
      <c r="BY649" s="228"/>
      <c r="BZ649" s="228"/>
      <c r="CA649" s="228"/>
      <c r="CB649" s="228"/>
      <c r="CC649" s="228"/>
      <c r="CD649" s="228"/>
      <c r="CE649" s="228"/>
      <c r="CF649" s="228"/>
      <c r="CG649" s="228"/>
      <c r="CH649" s="228"/>
      <c r="CI649" s="228"/>
      <c r="CJ649" s="228"/>
      <c r="CK649" s="228"/>
      <c r="CL649" s="228"/>
      <c r="CM649" s="228"/>
      <c r="CN649" s="228"/>
      <c r="CO649" s="228"/>
      <c r="CP649" s="228"/>
      <c r="CQ649" s="228"/>
      <c r="CR649" s="228"/>
      <c r="CS649" s="228"/>
      <c r="CT649" s="228"/>
      <c r="CU649" s="228"/>
      <c r="CV649" s="228"/>
      <c r="CW649" s="228"/>
      <c r="CX649" s="228"/>
      <c r="CY649" s="228"/>
      <c r="CZ649" s="228"/>
      <c r="DA649" s="228"/>
      <c r="DB649" s="228"/>
    </row>
    <row r="650" ht="12.0" customHeight="1">
      <c r="A650" s="228"/>
      <c r="B650" s="228"/>
      <c r="C650" s="228"/>
      <c r="D650" s="228"/>
      <c r="E650" s="228"/>
      <c r="F650" s="228"/>
      <c r="G650" s="228"/>
      <c r="H650" s="228"/>
      <c r="I650" s="228"/>
      <c r="J650" s="228"/>
      <c r="K650" s="228"/>
      <c r="L650" s="228"/>
      <c r="M650" s="228"/>
      <c r="N650" s="228"/>
      <c r="O650" s="228"/>
      <c r="P650" s="228"/>
      <c r="Q650" s="228"/>
      <c r="R650" s="228"/>
      <c r="S650" s="228"/>
      <c r="T650" s="228"/>
      <c r="U650" s="228"/>
      <c r="V650" s="228"/>
      <c r="W650" s="228"/>
      <c r="X650" s="228"/>
      <c r="Y650" s="228"/>
      <c r="Z650" s="228"/>
      <c r="AA650" s="228"/>
      <c r="AB650" s="228"/>
      <c r="AC650" s="228"/>
      <c r="AD650" s="228"/>
      <c r="AE650" s="228"/>
      <c r="AF650" s="228"/>
      <c r="AG650" s="228"/>
      <c r="AH650" s="228"/>
      <c r="AI650" s="228"/>
      <c r="AJ650" s="228"/>
      <c r="AK650" s="228"/>
      <c r="AL650" s="228"/>
      <c r="AM650" s="228"/>
      <c r="AN650" s="228"/>
      <c r="AO650" s="228"/>
      <c r="AP650" s="228"/>
      <c r="AQ650" s="228"/>
      <c r="AR650" s="228"/>
      <c r="AS650" s="228"/>
      <c r="AT650" s="228"/>
      <c r="AU650" s="228"/>
      <c r="AV650" s="228"/>
      <c r="AW650" s="228"/>
      <c r="AX650" s="228"/>
      <c r="AY650" s="228"/>
      <c r="AZ650" s="228"/>
      <c r="BA650" s="228"/>
      <c r="BB650" s="228"/>
      <c r="BC650" s="228"/>
      <c r="BD650" s="228"/>
      <c r="BE650" s="228"/>
      <c r="BF650" s="228"/>
      <c r="BG650" s="228"/>
      <c r="BH650" s="228"/>
      <c r="BI650" s="228"/>
      <c r="BJ650" s="228"/>
      <c r="BK650" s="228"/>
      <c r="BL650" s="228"/>
      <c r="BM650" s="228"/>
      <c r="BN650" s="228"/>
      <c r="BO650" s="228"/>
      <c r="BP650" s="228"/>
      <c r="BQ650" s="228"/>
      <c r="BR650" s="228"/>
      <c r="BS650" s="228"/>
      <c r="BT650" s="228"/>
      <c r="BU650" s="228"/>
      <c r="BV650" s="228"/>
      <c r="BW650" s="228"/>
      <c r="BX650" s="228"/>
      <c r="BY650" s="228"/>
      <c r="BZ650" s="228"/>
      <c r="CA650" s="228"/>
      <c r="CB650" s="228"/>
      <c r="CC650" s="228"/>
      <c r="CD650" s="228"/>
      <c r="CE650" s="228"/>
      <c r="CF650" s="228"/>
      <c r="CG650" s="228"/>
      <c r="CH650" s="228"/>
      <c r="CI650" s="228"/>
      <c r="CJ650" s="228"/>
      <c r="CK650" s="228"/>
      <c r="CL650" s="228"/>
      <c r="CM650" s="228"/>
      <c r="CN650" s="228"/>
      <c r="CO650" s="228"/>
      <c r="CP650" s="228"/>
      <c r="CQ650" s="228"/>
      <c r="CR650" s="228"/>
      <c r="CS650" s="228"/>
      <c r="CT650" s="228"/>
      <c r="CU650" s="228"/>
      <c r="CV650" s="228"/>
      <c r="CW650" s="228"/>
      <c r="CX650" s="228"/>
      <c r="CY650" s="228"/>
      <c r="CZ650" s="228"/>
      <c r="DA650" s="228"/>
      <c r="DB650" s="228"/>
    </row>
    <row r="651" ht="12.0" customHeight="1">
      <c r="A651" s="228"/>
      <c r="B651" s="228"/>
      <c r="C651" s="228"/>
      <c r="D651" s="228"/>
      <c r="E651" s="228"/>
      <c r="F651" s="228"/>
      <c r="G651" s="228"/>
      <c r="H651" s="228"/>
      <c r="I651" s="228"/>
      <c r="J651" s="228"/>
      <c r="K651" s="228"/>
      <c r="L651" s="228"/>
      <c r="M651" s="228"/>
      <c r="N651" s="228"/>
      <c r="O651" s="228"/>
      <c r="P651" s="228"/>
      <c r="Q651" s="228"/>
      <c r="R651" s="228"/>
      <c r="S651" s="228"/>
      <c r="T651" s="228"/>
      <c r="U651" s="228"/>
      <c r="V651" s="228"/>
      <c r="W651" s="228"/>
      <c r="X651" s="228"/>
      <c r="Y651" s="228"/>
      <c r="Z651" s="228"/>
      <c r="AA651" s="228"/>
      <c r="AB651" s="228"/>
      <c r="AC651" s="228"/>
      <c r="AD651" s="228"/>
      <c r="AE651" s="228"/>
      <c r="AF651" s="228"/>
      <c r="AG651" s="228"/>
      <c r="AH651" s="228"/>
      <c r="AI651" s="228"/>
      <c r="AJ651" s="228"/>
      <c r="AK651" s="228"/>
      <c r="AL651" s="228"/>
      <c r="AM651" s="228"/>
      <c r="AN651" s="228"/>
      <c r="AO651" s="228"/>
      <c r="AP651" s="228"/>
      <c r="AQ651" s="228"/>
      <c r="AR651" s="228"/>
      <c r="AS651" s="228"/>
      <c r="AT651" s="228"/>
      <c r="AU651" s="228"/>
      <c r="AV651" s="228"/>
      <c r="AW651" s="228"/>
      <c r="AX651" s="228"/>
      <c r="AY651" s="228"/>
      <c r="AZ651" s="228"/>
      <c r="BA651" s="228"/>
      <c r="BB651" s="228"/>
      <c r="BC651" s="228"/>
      <c r="BD651" s="228"/>
      <c r="BE651" s="228"/>
      <c r="BF651" s="228"/>
      <c r="BG651" s="228"/>
      <c r="BH651" s="228"/>
      <c r="BI651" s="228"/>
      <c r="BJ651" s="228"/>
      <c r="BK651" s="228"/>
      <c r="BL651" s="228"/>
      <c r="BM651" s="228"/>
      <c r="BN651" s="228"/>
      <c r="BO651" s="228"/>
      <c r="BP651" s="228"/>
      <c r="BQ651" s="228"/>
      <c r="BR651" s="228"/>
      <c r="BS651" s="228"/>
      <c r="BT651" s="228"/>
      <c r="BU651" s="228"/>
      <c r="BV651" s="228"/>
      <c r="BW651" s="228"/>
      <c r="BX651" s="228"/>
      <c r="BY651" s="228"/>
      <c r="BZ651" s="228"/>
      <c r="CA651" s="228"/>
      <c r="CB651" s="228"/>
      <c r="CC651" s="228"/>
      <c r="CD651" s="228"/>
      <c r="CE651" s="228"/>
      <c r="CF651" s="228"/>
      <c r="CG651" s="228"/>
      <c r="CH651" s="228"/>
      <c r="CI651" s="228"/>
      <c r="CJ651" s="228"/>
      <c r="CK651" s="228"/>
      <c r="CL651" s="228"/>
      <c r="CM651" s="228"/>
      <c r="CN651" s="228"/>
      <c r="CO651" s="228"/>
      <c r="CP651" s="228"/>
      <c r="CQ651" s="228"/>
      <c r="CR651" s="228"/>
      <c r="CS651" s="228"/>
      <c r="CT651" s="228"/>
      <c r="CU651" s="228"/>
      <c r="CV651" s="228"/>
      <c r="CW651" s="228"/>
      <c r="CX651" s="228"/>
      <c r="CY651" s="228"/>
      <c r="CZ651" s="228"/>
      <c r="DA651" s="228"/>
      <c r="DB651" s="228"/>
    </row>
    <row r="652" ht="12.0" customHeight="1">
      <c r="A652" s="228"/>
      <c r="B652" s="228"/>
      <c r="C652" s="228"/>
      <c r="D652" s="228"/>
      <c r="E652" s="228"/>
      <c r="F652" s="228"/>
      <c r="G652" s="228"/>
      <c r="H652" s="228"/>
      <c r="I652" s="228"/>
      <c r="J652" s="228"/>
      <c r="K652" s="228"/>
      <c r="L652" s="228"/>
      <c r="M652" s="228"/>
      <c r="N652" s="228"/>
      <c r="O652" s="228"/>
      <c r="P652" s="228"/>
      <c r="Q652" s="228"/>
      <c r="R652" s="228"/>
      <c r="S652" s="228"/>
      <c r="T652" s="228"/>
      <c r="U652" s="228"/>
      <c r="V652" s="228"/>
      <c r="W652" s="228"/>
      <c r="X652" s="228"/>
      <c r="Y652" s="228"/>
      <c r="Z652" s="228"/>
      <c r="AA652" s="228"/>
      <c r="AB652" s="228"/>
      <c r="AC652" s="228"/>
      <c r="AD652" s="228"/>
      <c r="AE652" s="228"/>
      <c r="AF652" s="228"/>
      <c r="AG652" s="228"/>
      <c r="AH652" s="228"/>
      <c r="AI652" s="228"/>
      <c r="AJ652" s="228"/>
      <c r="AK652" s="228"/>
      <c r="AL652" s="228"/>
      <c r="AM652" s="228"/>
      <c r="AN652" s="228"/>
      <c r="AO652" s="228"/>
      <c r="AP652" s="228"/>
      <c r="AQ652" s="228"/>
      <c r="AR652" s="228"/>
      <c r="AS652" s="228"/>
      <c r="AT652" s="228"/>
      <c r="AU652" s="228"/>
      <c r="AV652" s="228"/>
      <c r="AW652" s="228"/>
      <c r="AX652" s="228"/>
      <c r="AY652" s="228"/>
      <c r="AZ652" s="228"/>
      <c r="BA652" s="228"/>
      <c r="BB652" s="228"/>
      <c r="BC652" s="228"/>
      <c r="BD652" s="228"/>
      <c r="BE652" s="228"/>
      <c r="BF652" s="228"/>
      <c r="BG652" s="228"/>
      <c r="BH652" s="228"/>
      <c r="BI652" s="228"/>
      <c r="BJ652" s="228"/>
      <c r="BK652" s="228"/>
      <c r="BL652" s="228"/>
      <c r="BM652" s="228"/>
      <c r="BN652" s="228"/>
      <c r="BO652" s="228"/>
      <c r="BP652" s="228"/>
      <c r="BQ652" s="228"/>
      <c r="BR652" s="228"/>
      <c r="BS652" s="228"/>
      <c r="BT652" s="228"/>
      <c r="BU652" s="228"/>
      <c r="BV652" s="228"/>
      <c r="BW652" s="228"/>
      <c r="BX652" s="228"/>
      <c r="BY652" s="228"/>
      <c r="BZ652" s="228"/>
      <c r="CA652" s="228"/>
      <c r="CB652" s="228"/>
      <c r="CC652" s="228"/>
      <c r="CD652" s="228"/>
      <c r="CE652" s="228"/>
      <c r="CF652" s="228"/>
      <c r="CG652" s="228"/>
      <c r="CH652" s="228"/>
      <c r="CI652" s="228"/>
      <c r="CJ652" s="228"/>
      <c r="CK652" s="228"/>
      <c r="CL652" s="228"/>
      <c r="CM652" s="228"/>
      <c r="CN652" s="228"/>
      <c r="CO652" s="228"/>
      <c r="CP652" s="228"/>
      <c r="CQ652" s="228"/>
      <c r="CR652" s="228"/>
      <c r="CS652" s="228"/>
      <c r="CT652" s="228"/>
      <c r="CU652" s="228"/>
      <c r="CV652" s="228"/>
      <c r="CW652" s="228"/>
      <c r="CX652" s="228"/>
      <c r="CY652" s="228"/>
      <c r="CZ652" s="228"/>
      <c r="DA652" s="228"/>
      <c r="DB652" s="228"/>
    </row>
    <row r="653" ht="12.0" customHeight="1">
      <c r="A653" s="228"/>
      <c r="B653" s="228"/>
      <c r="C653" s="228"/>
      <c r="D653" s="228"/>
      <c r="E653" s="228"/>
      <c r="F653" s="228"/>
      <c r="G653" s="228"/>
      <c r="H653" s="228"/>
      <c r="I653" s="228"/>
      <c r="J653" s="228"/>
      <c r="K653" s="228"/>
      <c r="L653" s="228"/>
      <c r="M653" s="228"/>
      <c r="N653" s="228"/>
      <c r="O653" s="228"/>
      <c r="P653" s="228"/>
      <c r="Q653" s="228"/>
      <c r="R653" s="228"/>
      <c r="S653" s="228"/>
      <c r="T653" s="228"/>
      <c r="U653" s="228"/>
      <c r="V653" s="228"/>
      <c r="W653" s="228"/>
      <c r="X653" s="228"/>
      <c r="Y653" s="228"/>
      <c r="Z653" s="228"/>
      <c r="AA653" s="228"/>
      <c r="AB653" s="228"/>
      <c r="AC653" s="228"/>
      <c r="AD653" s="228"/>
      <c r="AE653" s="228"/>
      <c r="AF653" s="228"/>
      <c r="AG653" s="228"/>
      <c r="AH653" s="228"/>
      <c r="AI653" s="228"/>
      <c r="AJ653" s="228"/>
      <c r="AK653" s="228"/>
      <c r="AL653" s="228"/>
      <c r="AM653" s="228"/>
      <c r="AN653" s="228"/>
      <c r="AO653" s="228"/>
      <c r="AP653" s="228"/>
      <c r="AQ653" s="228"/>
      <c r="AR653" s="228"/>
      <c r="AS653" s="228"/>
      <c r="AT653" s="228"/>
      <c r="AU653" s="228"/>
      <c r="AV653" s="228"/>
      <c r="AW653" s="228"/>
      <c r="AX653" s="228"/>
      <c r="AY653" s="228"/>
      <c r="AZ653" s="228"/>
      <c r="BA653" s="228"/>
      <c r="BB653" s="228"/>
      <c r="BC653" s="228"/>
      <c r="BD653" s="228"/>
      <c r="BE653" s="228"/>
      <c r="BF653" s="228"/>
      <c r="BG653" s="228"/>
      <c r="BH653" s="228"/>
      <c r="BI653" s="228"/>
      <c r="BJ653" s="228"/>
      <c r="BK653" s="228"/>
      <c r="BL653" s="228"/>
      <c r="BM653" s="228"/>
      <c r="BN653" s="228"/>
      <c r="BO653" s="228"/>
      <c r="BP653" s="228"/>
      <c r="BQ653" s="228"/>
      <c r="BR653" s="228"/>
      <c r="BS653" s="228"/>
      <c r="BT653" s="228"/>
      <c r="BU653" s="228"/>
      <c r="BV653" s="228"/>
      <c r="BW653" s="228"/>
      <c r="BX653" s="228"/>
      <c r="BY653" s="228"/>
      <c r="BZ653" s="228"/>
      <c r="CA653" s="228"/>
      <c r="CB653" s="228"/>
      <c r="CC653" s="228"/>
      <c r="CD653" s="228"/>
      <c r="CE653" s="228"/>
      <c r="CF653" s="228"/>
      <c r="CG653" s="228"/>
      <c r="CH653" s="228"/>
      <c r="CI653" s="228"/>
      <c r="CJ653" s="228"/>
      <c r="CK653" s="228"/>
      <c r="CL653" s="228"/>
      <c r="CM653" s="228"/>
      <c r="CN653" s="228"/>
      <c r="CO653" s="228"/>
      <c r="CP653" s="228"/>
      <c r="CQ653" s="228"/>
      <c r="CR653" s="228"/>
      <c r="CS653" s="228"/>
      <c r="CT653" s="228"/>
      <c r="CU653" s="228"/>
      <c r="CV653" s="228"/>
      <c r="CW653" s="228"/>
      <c r="CX653" s="228"/>
      <c r="CY653" s="228"/>
      <c r="CZ653" s="228"/>
      <c r="DA653" s="228"/>
      <c r="DB653" s="228"/>
    </row>
    <row r="654" ht="12.0" customHeight="1">
      <c r="A654" s="228"/>
      <c r="B654" s="228"/>
      <c r="C654" s="228"/>
      <c r="D654" s="228"/>
      <c r="E654" s="228"/>
      <c r="F654" s="228"/>
      <c r="G654" s="228"/>
      <c r="H654" s="228"/>
      <c r="I654" s="228"/>
      <c r="J654" s="228"/>
      <c r="K654" s="228"/>
      <c r="L654" s="228"/>
      <c r="M654" s="228"/>
      <c r="N654" s="228"/>
      <c r="O654" s="228"/>
      <c r="P654" s="228"/>
      <c r="Q654" s="228"/>
      <c r="R654" s="228"/>
      <c r="S654" s="228"/>
      <c r="T654" s="228"/>
      <c r="U654" s="228"/>
      <c r="V654" s="228"/>
      <c r="W654" s="228"/>
      <c r="X654" s="228"/>
      <c r="Y654" s="228"/>
      <c r="Z654" s="228"/>
      <c r="AA654" s="228"/>
      <c r="AB654" s="228"/>
      <c r="AC654" s="228"/>
      <c r="AD654" s="228"/>
      <c r="AE654" s="228"/>
      <c r="AF654" s="228"/>
      <c r="AG654" s="228"/>
      <c r="AH654" s="228"/>
      <c r="AI654" s="228"/>
      <c r="AJ654" s="228"/>
      <c r="AK654" s="228"/>
      <c r="AL654" s="228"/>
      <c r="AM654" s="228"/>
      <c r="AN654" s="228"/>
      <c r="AO654" s="228"/>
      <c r="AP654" s="228"/>
      <c r="AQ654" s="228"/>
      <c r="AR654" s="228"/>
      <c r="AS654" s="228"/>
      <c r="AT654" s="228"/>
      <c r="AU654" s="228"/>
      <c r="AV654" s="228"/>
      <c r="AW654" s="228"/>
      <c r="AX654" s="228"/>
      <c r="AY654" s="228"/>
      <c r="AZ654" s="228"/>
      <c r="BA654" s="228"/>
      <c r="BB654" s="228"/>
      <c r="BC654" s="228"/>
      <c r="BD654" s="228"/>
      <c r="BE654" s="228"/>
      <c r="BF654" s="228"/>
      <c r="BG654" s="228"/>
      <c r="BH654" s="228"/>
      <c r="BI654" s="228"/>
      <c r="BJ654" s="228"/>
      <c r="BK654" s="228"/>
      <c r="BL654" s="228"/>
      <c r="BM654" s="228"/>
      <c r="BN654" s="228"/>
      <c r="BO654" s="228"/>
      <c r="BP654" s="228"/>
      <c r="BQ654" s="228"/>
      <c r="BR654" s="228"/>
      <c r="BS654" s="228"/>
      <c r="BT654" s="228"/>
      <c r="BU654" s="228"/>
      <c r="BV654" s="228"/>
      <c r="BW654" s="228"/>
      <c r="BX654" s="228"/>
      <c r="BY654" s="228"/>
      <c r="BZ654" s="228"/>
      <c r="CA654" s="228"/>
      <c r="CB654" s="228"/>
      <c r="CC654" s="228"/>
      <c r="CD654" s="228"/>
      <c r="CE654" s="228"/>
      <c r="CF654" s="228"/>
      <c r="CG654" s="228"/>
      <c r="CH654" s="228"/>
      <c r="CI654" s="228"/>
      <c r="CJ654" s="228"/>
      <c r="CK654" s="228"/>
      <c r="CL654" s="228"/>
      <c r="CM654" s="228"/>
      <c r="CN654" s="228"/>
      <c r="CO654" s="228"/>
      <c r="CP654" s="228"/>
      <c r="CQ654" s="228"/>
      <c r="CR654" s="228"/>
      <c r="CS654" s="228"/>
      <c r="CT654" s="228"/>
      <c r="CU654" s="228"/>
      <c r="CV654" s="228"/>
      <c r="CW654" s="228"/>
      <c r="CX654" s="228"/>
      <c r="CY654" s="228"/>
      <c r="CZ654" s="228"/>
      <c r="DA654" s="228"/>
      <c r="DB654" s="228"/>
    </row>
    <row r="655" ht="12.0" customHeight="1">
      <c r="A655" s="228"/>
      <c r="B655" s="228"/>
      <c r="C655" s="228"/>
      <c r="D655" s="228"/>
      <c r="E655" s="228"/>
      <c r="F655" s="228"/>
      <c r="G655" s="228"/>
      <c r="H655" s="228"/>
      <c r="I655" s="228"/>
      <c r="J655" s="228"/>
      <c r="K655" s="228"/>
      <c r="L655" s="228"/>
      <c r="M655" s="228"/>
      <c r="N655" s="228"/>
      <c r="O655" s="228"/>
      <c r="P655" s="228"/>
      <c r="Q655" s="228"/>
      <c r="R655" s="228"/>
      <c r="S655" s="228"/>
      <c r="T655" s="228"/>
      <c r="U655" s="228"/>
      <c r="V655" s="228"/>
      <c r="W655" s="228"/>
      <c r="X655" s="228"/>
      <c r="Y655" s="228"/>
      <c r="Z655" s="228"/>
      <c r="AA655" s="228"/>
      <c r="AB655" s="228"/>
      <c r="AC655" s="228"/>
      <c r="AD655" s="228"/>
      <c r="AE655" s="228"/>
      <c r="AF655" s="228"/>
      <c r="AG655" s="228"/>
      <c r="AH655" s="228"/>
      <c r="AI655" s="228"/>
      <c r="AJ655" s="228"/>
      <c r="AK655" s="228"/>
      <c r="AL655" s="228"/>
      <c r="AM655" s="228"/>
      <c r="AN655" s="228"/>
      <c r="AO655" s="228"/>
      <c r="AP655" s="228"/>
      <c r="AQ655" s="228"/>
      <c r="AR655" s="228"/>
      <c r="AS655" s="228"/>
      <c r="AT655" s="228"/>
      <c r="AU655" s="228"/>
      <c r="AV655" s="228"/>
      <c r="AW655" s="228"/>
      <c r="AX655" s="228"/>
      <c r="AY655" s="228"/>
      <c r="AZ655" s="228"/>
      <c r="BA655" s="228"/>
      <c r="BB655" s="228"/>
      <c r="BC655" s="228"/>
      <c r="BD655" s="228"/>
      <c r="BE655" s="228"/>
      <c r="BF655" s="228"/>
      <c r="BG655" s="228"/>
      <c r="BH655" s="228"/>
      <c r="BI655" s="228"/>
      <c r="BJ655" s="228"/>
      <c r="BK655" s="228"/>
      <c r="BL655" s="228"/>
      <c r="BM655" s="228"/>
      <c r="BN655" s="228"/>
      <c r="BO655" s="228"/>
      <c r="BP655" s="228"/>
      <c r="BQ655" s="228"/>
      <c r="BR655" s="228"/>
      <c r="BS655" s="228"/>
      <c r="BT655" s="228"/>
      <c r="BU655" s="228"/>
      <c r="BV655" s="228"/>
      <c r="BW655" s="228"/>
      <c r="BX655" s="228"/>
      <c r="BY655" s="228"/>
      <c r="BZ655" s="228"/>
      <c r="CA655" s="228"/>
      <c r="CB655" s="228"/>
      <c r="CC655" s="228"/>
      <c r="CD655" s="228"/>
      <c r="CE655" s="228"/>
      <c r="CF655" s="228"/>
      <c r="CG655" s="228"/>
      <c r="CH655" s="228"/>
      <c r="CI655" s="228"/>
      <c r="CJ655" s="228"/>
      <c r="CK655" s="228"/>
      <c r="CL655" s="228"/>
      <c r="CM655" s="228"/>
      <c r="CN655" s="228"/>
      <c r="CO655" s="228"/>
      <c r="CP655" s="228"/>
      <c r="CQ655" s="228"/>
      <c r="CR655" s="228"/>
      <c r="CS655" s="228"/>
      <c r="CT655" s="228"/>
      <c r="CU655" s="228"/>
      <c r="CV655" s="228"/>
      <c r="CW655" s="228"/>
      <c r="CX655" s="228"/>
      <c r="CY655" s="228"/>
      <c r="CZ655" s="228"/>
      <c r="DA655" s="228"/>
      <c r="DB655" s="228"/>
    </row>
    <row r="656" ht="12.0" customHeight="1">
      <c r="A656" s="228"/>
      <c r="B656" s="228"/>
      <c r="C656" s="228"/>
      <c r="D656" s="228"/>
      <c r="E656" s="228"/>
      <c r="F656" s="228"/>
      <c r="G656" s="228"/>
      <c r="H656" s="228"/>
      <c r="I656" s="228"/>
      <c r="J656" s="228"/>
      <c r="K656" s="228"/>
      <c r="L656" s="228"/>
      <c r="M656" s="228"/>
      <c r="N656" s="228"/>
      <c r="O656" s="228"/>
      <c r="P656" s="228"/>
      <c r="Q656" s="228"/>
      <c r="R656" s="228"/>
      <c r="S656" s="228"/>
      <c r="T656" s="228"/>
      <c r="U656" s="228"/>
      <c r="V656" s="228"/>
      <c r="W656" s="228"/>
      <c r="X656" s="228"/>
      <c r="Y656" s="228"/>
      <c r="Z656" s="228"/>
      <c r="AA656" s="228"/>
      <c r="AB656" s="228"/>
      <c r="AC656" s="228"/>
      <c r="AD656" s="228"/>
      <c r="AE656" s="228"/>
      <c r="AF656" s="228"/>
      <c r="AG656" s="228"/>
      <c r="AH656" s="228"/>
      <c r="AI656" s="228"/>
      <c r="AJ656" s="228"/>
      <c r="AK656" s="228"/>
      <c r="AL656" s="228"/>
      <c r="AM656" s="228"/>
      <c r="AN656" s="228"/>
      <c r="AO656" s="228"/>
      <c r="AP656" s="228"/>
      <c r="AQ656" s="228"/>
      <c r="AR656" s="228"/>
      <c r="AS656" s="228"/>
      <c r="AT656" s="228"/>
      <c r="AU656" s="228"/>
      <c r="AV656" s="228"/>
      <c r="AW656" s="228"/>
      <c r="AX656" s="228"/>
      <c r="AY656" s="228"/>
      <c r="AZ656" s="228"/>
      <c r="BA656" s="228"/>
      <c r="BB656" s="228"/>
      <c r="BC656" s="228"/>
      <c r="BD656" s="228"/>
      <c r="BE656" s="228"/>
      <c r="BF656" s="228"/>
      <c r="BG656" s="228"/>
      <c r="BH656" s="228"/>
      <c r="BI656" s="228"/>
      <c r="BJ656" s="228"/>
      <c r="BK656" s="228"/>
      <c r="BL656" s="228"/>
      <c r="BM656" s="228"/>
      <c r="BN656" s="228"/>
      <c r="BO656" s="228"/>
      <c r="BP656" s="228"/>
      <c r="BQ656" s="228"/>
      <c r="BR656" s="228"/>
      <c r="BS656" s="228"/>
      <c r="BT656" s="228"/>
      <c r="BU656" s="228"/>
      <c r="BV656" s="228"/>
      <c r="BW656" s="228"/>
      <c r="BX656" s="228"/>
      <c r="BY656" s="228"/>
      <c r="BZ656" s="228"/>
      <c r="CA656" s="228"/>
      <c r="CB656" s="228"/>
      <c r="CC656" s="228"/>
      <c r="CD656" s="228"/>
      <c r="CE656" s="228"/>
      <c r="CF656" s="228"/>
      <c r="CG656" s="228"/>
      <c r="CH656" s="228"/>
      <c r="CI656" s="228"/>
      <c r="CJ656" s="228"/>
      <c r="CK656" s="228"/>
      <c r="CL656" s="228"/>
      <c r="CM656" s="228"/>
      <c r="CN656" s="228"/>
      <c r="CO656" s="228"/>
      <c r="CP656" s="228"/>
      <c r="CQ656" s="228"/>
      <c r="CR656" s="228"/>
      <c r="CS656" s="228"/>
      <c r="CT656" s="228"/>
      <c r="CU656" s="228"/>
      <c r="CV656" s="228"/>
      <c r="CW656" s="228"/>
      <c r="CX656" s="228"/>
      <c r="CY656" s="228"/>
      <c r="CZ656" s="228"/>
      <c r="DA656" s="228"/>
      <c r="DB656" s="228"/>
    </row>
    <row r="657" ht="12.0" customHeight="1">
      <c r="A657" s="228"/>
      <c r="B657" s="228"/>
      <c r="C657" s="228"/>
      <c r="D657" s="228"/>
      <c r="E657" s="228"/>
      <c r="F657" s="228"/>
      <c r="G657" s="228"/>
      <c r="H657" s="228"/>
      <c r="I657" s="228"/>
      <c r="J657" s="228"/>
      <c r="K657" s="228"/>
      <c r="L657" s="228"/>
      <c r="M657" s="228"/>
      <c r="N657" s="228"/>
      <c r="O657" s="228"/>
      <c r="P657" s="228"/>
      <c r="Q657" s="228"/>
      <c r="R657" s="228"/>
      <c r="S657" s="228"/>
      <c r="T657" s="228"/>
      <c r="U657" s="228"/>
      <c r="V657" s="228"/>
      <c r="W657" s="228"/>
      <c r="X657" s="228"/>
      <c r="Y657" s="228"/>
      <c r="Z657" s="228"/>
      <c r="AA657" s="228"/>
      <c r="AB657" s="228"/>
      <c r="AC657" s="228"/>
      <c r="AD657" s="228"/>
      <c r="AE657" s="228"/>
      <c r="AF657" s="228"/>
      <c r="AG657" s="228"/>
      <c r="AH657" s="228"/>
      <c r="AI657" s="228"/>
      <c r="AJ657" s="228"/>
      <c r="AK657" s="228"/>
      <c r="AL657" s="228"/>
      <c r="AM657" s="228"/>
      <c r="AN657" s="228"/>
      <c r="AO657" s="228"/>
      <c r="AP657" s="228"/>
      <c r="AQ657" s="228"/>
      <c r="AR657" s="228"/>
      <c r="AS657" s="228"/>
      <c r="AT657" s="228"/>
      <c r="AU657" s="228"/>
      <c r="AV657" s="228"/>
      <c r="AW657" s="228"/>
      <c r="AX657" s="228"/>
      <c r="AY657" s="228"/>
      <c r="AZ657" s="228"/>
      <c r="BA657" s="228"/>
      <c r="BB657" s="228"/>
      <c r="BC657" s="228"/>
      <c r="BD657" s="228"/>
      <c r="BE657" s="228"/>
      <c r="BF657" s="228"/>
      <c r="BG657" s="228"/>
      <c r="BH657" s="228"/>
      <c r="BI657" s="228"/>
      <c r="BJ657" s="228"/>
      <c r="BK657" s="228"/>
      <c r="BL657" s="228"/>
      <c r="BM657" s="228"/>
      <c r="BN657" s="228"/>
      <c r="BO657" s="228"/>
      <c r="BP657" s="228"/>
      <c r="BQ657" s="228"/>
      <c r="BR657" s="228"/>
      <c r="BS657" s="228"/>
      <c r="BT657" s="228"/>
      <c r="BU657" s="228"/>
      <c r="BV657" s="228"/>
      <c r="BW657" s="228"/>
      <c r="BX657" s="228"/>
      <c r="BY657" s="228"/>
      <c r="BZ657" s="228"/>
      <c r="CA657" s="228"/>
      <c r="CB657" s="228"/>
      <c r="CC657" s="228"/>
      <c r="CD657" s="228"/>
      <c r="CE657" s="228"/>
      <c r="CF657" s="228"/>
      <c r="CG657" s="228"/>
      <c r="CH657" s="228"/>
      <c r="CI657" s="228"/>
      <c r="CJ657" s="228"/>
      <c r="CK657" s="228"/>
      <c r="CL657" s="228"/>
      <c r="CM657" s="228"/>
      <c r="CN657" s="228"/>
      <c r="CO657" s="228"/>
      <c r="CP657" s="228"/>
      <c r="CQ657" s="228"/>
      <c r="CR657" s="228"/>
      <c r="CS657" s="228"/>
      <c r="CT657" s="228"/>
      <c r="CU657" s="228"/>
      <c r="CV657" s="228"/>
      <c r="CW657" s="228"/>
      <c r="CX657" s="228"/>
      <c r="CY657" s="228"/>
      <c r="CZ657" s="228"/>
      <c r="DA657" s="228"/>
      <c r="DB657" s="228"/>
    </row>
    <row r="658" ht="12.0" customHeight="1">
      <c r="A658" s="228"/>
      <c r="B658" s="228"/>
      <c r="C658" s="228"/>
      <c r="D658" s="228"/>
      <c r="E658" s="228"/>
      <c r="F658" s="228"/>
      <c r="G658" s="228"/>
      <c r="H658" s="228"/>
      <c r="I658" s="228"/>
      <c r="J658" s="228"/>
      <c r="K658" s="228"/>
      <c r="L658" s="228"/>
      <c r="M658" s="228"/>
      <c r="N658" s="228"/>
      <c r="O658" s="228"/>
      <c r="P658" s="228"/>
      <c r="Q658" s="228"/>
      <c r="R658" s="228"/>
      <c r="S658" s="228"/>
      <c r="T658" s="228"/>
      <c r="U658" s="228"/>
      <c r="V658" s="228"/>
      <c r="W658" s="228"/>
      <c r="X658" s="228"/>
      <c r="Y658" s="228"/>
      <c r="Z658" s="228"/>
      <c r="AA658" s="228"/>
      <c r="AB658" s="228"/>
      <c r="AC658" s="228"/>
      <c r="AD658" s="228"/>
      <c r="AE658" s="228"/>
      <c r="AF658" s="228"/>
      <c r="AG658" s="228"/>
      <c r="AH658" s="228"/>
      <c r="AI658" s="228"/>
      <c r="AJ658" s="228"/>
      <c r="AK658" s="228"/>
      <c r="AL658" s="228"/>
      <c r="AM658" s="228"/>
      <c r="AN658" s="228"/>
      <c r="AO658" s="228"/>
      <c r="AP658" s="228"/>
      <c r="AQ658" s="228"/>
      <c r="AR658" s="228"/>
      <c r="AS658" s="228"/>
      <c r="AT658" s="228"/>
      <c r="AU658" s="228"/>
      <c r="AV658" s="228"/>
      <c r="AW658" s="228"/>
      <c r="AX658" s="228"/>
      <c r="AY658" s="228"/>
      <c r="AZ658" s="228"/>
      <c r="BA658" s="228"/>
      <c r="BB658" s="228"/>
      <c r="BC658" s="228"/>
      <c r="BD658" s="228"/>
      <c r="BE658" s="228"/>
      <c r="BF658" s="228"/>
      <c r="BG658" s="228"/>
      <c r="BH658" s="228"/>
      <c r="BI658" s="228"/>
      <c r="BJ658" s="228"/>
      <c r="BK658" s="228"/>
      <c r="BL658" s="228"/>
      <c r="BM658" s="228"/>
      <c r="BN658" s="228"/>
      <c r="BO658" s="228"/>
      <c r="BP658" s="228"/>
      <c r="BQ658" s="228"/>
      <c r="BR658" s="228"/>
      <c r="BS658" s="228"/>
      <c r="BT658" s="228"/>
      <c r="BU658" s="228"/>
      <c r="BV658" s="228"/>
      <c r="BW658" s="228"/>
      <c r="BX658" s="228"/>
      <c r="BY658" s="228"/>
      <c r="BZ658" s="228"/>
      <c r="CA658" s="228"/>
      <c r="CB658" s="228"/>
      <c r="CC658" s="228"/>
      <c r="CD658" s="228"/>
      <c r="CE658" s="228"/>
      <c r="CF658" s="228"/>
      <c r="CG658" s="228"/>
      <c r="CH658" s="228"/>
      <c r="CI658" s="228"/>
      <c r="CJ658" s="228"/>
      <c r="CK658" s="228"/>
      <c r="CL658" s="228"/>
      <c r="CM658" s="228"/>
      <c r="CN658" s="228"/>
      <c r="CO658" s="228"/>
      <c r="CP658" s="228"/>
      <c r="CQ658" s="228"/>
      <c r="CR658" s="228"/>
      <c r="CS658" s="228"/>
      <c r="CT658" s="228"/>
      <c r="CU658" s="228"/>
      <c r="CV658" s="228"/>
      <c r="CW658" s="228"/>
      <c r="CX658" s="228"/>
      <c r="CY658" s="228"/>
      <c r="CZ658" s="228"/>
      <c r="DA658" s="228"/>
      <c r="DB658" s="228"/>
    </row>
    <row r="659" ht="12.0" customHeight="1">
      <c r="A659" s="228"/>
      <c r="B659" s="228"/>
      <c r="C659" s="228"/>
      <c r="D659" s="228"/>
      <c r="E659" s="228"/>
      <c r="F659" s="228"/>
      <c r="G659" s="228"/>
      <c r="H659" s="228"/>
      <c r="I659" s="228"/>
      <c r="J659" s="228"/>
      <c r="K659" s="228"/>
      <c r="L659" s="228"/>
      <c r="M659" s="228"/>
      <c r="N659" s="228"/>
      <c r="O659" s="228"/>
      <c r="P659" s="228"/>
      <c r="Q659" s="228"/>
      <c r="R659" s="228"/>
      <c r="S659" s="228"/>
      <c r="T659" s="228"/>
      <c r="U659" s="228"/>
      <c r="V659" s="228"/>
      <c r="W659" s="228"/>
      <c r="X659" s="228"/>
      <c r="Y659" s="228"/>
      <c r="Z659" s="228"/>
      <c r="AA659" s="228"/>
      <c r="AB659" s="228"/>
      <c r="AC659" s="228"/>
      <c r="AD659" s="228"/>
      <c r="AE659" s="228"/>
      <c r="AF659" s="228"/>
      <c r="AG659" s="228"/>
      <c r="AH659" s="228"/>
      <c r="AI659" s="228"/>
      <c r="AJ659" s="228"/>
      <c r="AK659" s="228"/>
      <c r="AL659" s="228"/>
      <c r="AM659" s="228"/>
      <c r="AN659" s="228"/>
      <c r="AO659" s="228"/>
      <c r="AP659" s="228"/>
      <c r="AQ659" s="228"/>
      <c r="AR659" s="228"/>
      <c r="AS659" s="228"/>
      <c r="AT659" s="228"/>
      <c r="AU659" s="228"/>
      <c r="AV659" s="228"/>
      <c r="AW659" s="228"/>
      <c r="AX659" s="228"/>
      <c r="AY659" s="228"/>
      <c r="AZ659" s="228"/>
      <c r="BA659" s="228"/>
      <c r="BB659" s="228"/>
      <c r="BC659" s="228"/>
      <c r="BD659" s="228"/>
      <c r="BE659" s="228"/>
      <c r="BF659" s="228"/>
      <c r="BG659" s="228"/>
      <c r="BH659" s="228"/>
      <c r="BI659" s="228"/>
      <c r="BJ659" s="228"/>
      <c r="BK659" s="228"/>
      <c r="BL659" s="228"/>
      <c r="BM659" s="228"/>
      <c r="BN659" s="228"/>
      <c r="BO659" s="228"/>
      <c r="BP659" s="228"/>
      <c r="BQ659" s="228"/>
      <c r="BR659" s="228"/>
      <c r="BS659" s="228"/>
      <c r="BT659" s="228"/>
      <c r="BU659" s="228"/>
      <c r="BV659" s="228"/>
      <c r="BW659" s="228"/>
      <c r="BX659" s="228"/>
      <c r="BY659" s="228"/>
      <c r="BZ659" s="228"/>
      <c r="CA659" s="228"/>
      <c r="CB659" s="228"/>
      <c r="CC659" s="228"/>
      <c r="CD659" s="228"/>
      <c r="CE659" s="228"/>
      <c r="CF659" s="228"/>
      <c r="CG659" s="228"/>
      <c r="CH659" s="228"/>
      <c r="CI659" s="228"/>
      <c r="CJ659" s="228"/>
      <c r="CK659" s="228"/>
      <c r="CL659" s="228"/>
      <c r="CM659" s="228"/>
      <c r="CN659" s="228"/>
      <c r="CO659" s="228"/>
      <c r="CP659" s="228"/>
      <c r="CQ659" s="228"/>
      <c r="CR659" s="228"/>
      <c r="CS659" s="228"/>
      <c r="CT659" s="228"/>
      <c r="CU659" s="228"/>
      <c r="CV659" s="228"/>
      <c r="CW659" s="228"/>
      <c r="CX659" s="228"/>
      <c r="CY659" s="228"/>
      <c r="CZ659" s="228"/>
      <c r="DA659" s="228"/>
      <c r="DB659" s="228"/>
    </row>
    <row r="660" ht="12.0" customHeight="1">
      <c r="A660" s="228"/>
      <c r="B660" s="228"/>
      <c r="C660" s="228"/>
      <c r="D660" s="228"/>
      <c r="E660" s="228"/>
      <c r="F660" s="228"/>
      <c r="G660" s="228"/>
      <c r="H660" s="228"/>
      <c r="I660" s="228"/>
      <c r="J660" s="228"/>
      <c r="K660" s="228"/>
      <c r="L660" s="228"/>
      <c r="M660" s="228"/>
      <c r="N660" s="228"/>
      <c r="O660" s="228"/>
      <c r="P660" s="228"/>
      <c r="Q660" s="228"/>
      <c r="R660" s="228"/>
      <c r="S660" s="228"/>
      <c r="T660" s="228"/>
      <c r="U660" s="228"/>
      <c r="V660" s="228"/>
      <c r="W660" s="228"/>
      <c r="X660" s="228"/>
      <c r="Y660" s="228"/>
      <c r="Z660" s="228"/>
      <c r="AA660" s="228"/>
      <c r="AB660" s="228"/>
      <c r="AC660" s="228"/>
      <c r="AD660" s="228"/>
      <c r="AE660" s="228"/>
      <c r="AF660" s="228"/>
      <c r="AG660" s="228"/>
      <c r="AH660" s="228"/>
      <c r="AI660" s="228"/>
      <c r="AJ660" s="228"/>
      <c r="AK660" s="228"/>
      <c r="AL660" s="228"/>
      <c r="AM660" s="228"/>
      <c r="AN660" s="228"/>
      <c r="AO660" s="228"/>
      <c r="AP660" s="228"/>
      <c r="AQ660" s="228"/>
      <c r="AR660" s="228"/>
      <c r="AS660" s="228"/>
      <c r="AT660" s="228"/>
      <c r="AU660" s="228"/>
      <c r="AV660" s="228"/>
      <c r="AW660" s="228"/>
      <c r="AX660" s="228"/>
      <c r="AY660" s="228"/>
      <c r="AZ660" s="228"/>
      <c r="BA660" s="228"/>
      <c r="BB660" s="228"/>
      <c r="BC660" s="228"/>
      <c r="BD660" s="228"/>
      <c r="BE660" s="228"/>
      <c r="BF660" s="228"/>
      <c r="BG660" s="228"/>
      <c r="BH660" s="228"/>
      <c r="BI660" s="228"/>
      <c r="BJ660" s="228"/>
      <c r="BK660" s="228"/>
      <c r="BL660" s="228"/>
      <c r="BM660" s="228"/>
      <c r="BN660" s="228"/>
      <c r="BO660" s="228"/>
      <c r="BP660" s="228"/>
      <c r="BQ660" s="228"/>
      <c r="BR660" s="228"/>
      <c r="BS660" s="228"/>
      <c r="BT660" s="228"/>
      <c r="BU660" s="228"/>
      <c r="BV660" s="228"/>
      <c r="BW660" s="228"/>
      <c r="BX660" s="228"/>
      <c r="BY660" s="228"/>
      <c r="BZ660" s="228"/>
      <c r="CA660" s="228"/>
      <c r="CB660" s="228"/>
      <c r="CC660" s="228"/>
      <c r="CD660" s="228"/>
      <c r="CE660" s="228"/>
      <c r="CF660" s="228"/>
      <c r="CG660" s="228"/>
      <c r="CH660" s="228"/>
      <c r="CI660" s="228"/>
      <c r="CJ660" s="228"/>
      <c r="CK660" s="228"/>
      <c r="CL660" s="228"/>
      <c r="CM660" s="228"/>
      <c r="CN660" s="228"/>
      <c r="CO660" s="228"/>
      <c r="CP660" s="228"/>
      <c r="CQ660" s="228"/>
      <c r="CR660" s="228"/>
      <c r="CS660" s="228"/>
      <c r="CT660" s="228"/>
      <c r="CU660" s="228"/>
      <c r="CV660" s="228"/>
      <c r="CW660" s="228"/>
      <c r="CX660" s="228"/>
      <c r="CY660" s="228"/>
      <c r="CZ660" s="228"/>
      <c r="DA660" s="228"/>
      <c r="DB660" s="228"/>
    </row>
    <row r="661" ht="12.0" customHeight="1">
      <c r="A661" s="228"/>
      <c r="B661" s="228"/>
      <c r="C661" s="228"/>
      <c r="D661" s="228"/>
      <c r="E661" s="228"/>
      <c r="F661" s="228"/>
      <c r="G661" s="228"/>
      <c r="H661" s="228"/>
      <c r="I661" s="228"/>
      <c r="J661" s="228"/>
      <c r="K661" s="228"/>
      <c r="L661" s="228"/>
      <c r="M661" s="228"/>
      <c r="N661" s="228"/>
      <c r="O661" s="228"/>
      <c r="P661" s="228"/>
      <c r="Q661" s="228"/>
      <c r="R661" s="228"/>
      <c r="S661" s="228"/>
      <c r="T661" s="228"/>
      <c r="U661" s="228"/>
      <c r="V661" s="228"/>
      <c r="W661" s="228"/>
      <c r="X661" s="228"/>
      <c r="Y661" s="228"/>
      <c r="Z661" s="228"/>
      <c r="AA661" s="228"/>
      <c r="AB661" s="228"/>
      <c r="AC661" s="228"/>
      <c r="AD661" s="228"/>
      <c r="AE661" s="228"/>
      <c r="AF661" s="228"/>
      <c r="AG661" s="228"/>
      <c r="AH661" s="228"/>
      <c r="AI661" s="228"/>
      <c r="AJ661" s="228"/>
      <c r="AK661" s="228"/>
      <c r="AL661" s="228"/>
      <c r="AM661" s="228"/>
      <c r="AN661" s="228"/>
      <c r="AO661" s="228"/>
      <c r="AP661" s="228"/>
      <c r="AQ661" s="228"/>
      <c r="AR661" s="228"/>
      <c r="AS661" s="228"/>
      <c r="AT661" s="228"/>
      <c r="AU661" s="228"/>
      <c r="AV661" s="228"/>
      <c r="AW661" s="228"/>
      <c r="AX661" s="228"/>
      <c r="AY661" s="228"/>
      <c r="AZ661" s="228"/>
      <c r="BA661" s="228"/>
      <c r="BB661" s="228"/>
      <c r="BC661" s="228"/>
      <c r="BD661" s="228"/>
      <c r="BE661" s="228"/>
      <c r="BF661" s="228"/>
      <c r="BG661" s="228"/>
      <c r="BH661" s="228"/>
      <c r="BI661" s="228"/>
      <c r="BJ661" s="228"/>
      <c r="BK661" s="228"/>
      <c r="BL661" s="228"/>
      <c r="BM661" s="228"/>
      <c r="BN661" s="228"/>
      <c r="BO661" s="228"/>
      <c r="BP661" s="228"/>
      <c r="BQ661" s="228"/>
      <c r="BR661" s="228"/>
      <c r="BS661" s="228"/>
      <c r="BT661" s="228"/>
      <c r="BU661" s="228"/>
      <c r="BV661" s="228"/>
      <c r="BW661" s="228"/>
      <c r="BX661" s="228"/>
      <c r="BY661" s="228"/>
      <c r="BZ661" s="228"/>
      <c r="CA661" s="228"/>
      <c r="CB661" s="228"/>
      <c r="CC661" s="228"/>
      <c r="CD661" s="228"/>
      <c r="CE661" s="228"/>
      <c r="CF661" s="228"/>
      <c r="CG661" s="228"/>
      <c r="CH661" s="228"/>
      <c r="CI661" s="228"/>
      <c r="CJ661" s="228"/>
      <c r="CK661" s="228"/>
      <c r="CL661" s="228"/>
      <c r="CM661" s="228"/>
      <c r="CN661" s="228"/>
      <c r="CO661" s="228"/>
      <c r="CP661" s="228"/>
      <c r="CQ661" s="228"/>
      <c r="CR661" s="228"/>
      <c r="CS661" s="228"/>
      <c r="CT661" s="228"/>
      <c r="CU661" s="228"/>
      <c r="CV661" s="228"/>
      <c r="CW661" s="228"/>
      <c r="CX661" s="228"/>
      <c r="CY661" s="228"/>
      <c r="CZ661" s="228"/>
      <c r="DA661" s="228"/>
      <c r="DB661" s="228"/>
    </row>
    <row r="662" ht="12.0" customHeight="1">
      <c r="A662" s="228"/>
      <c r="B662" s="228"/>
      <c r="C662" s="228"/>
      <c r="D662" s="228"/>
      <c r="E662" s="228"/>
      <c r="F662" s="228"/>
      <c r="G662" s="228"/>
      <c r="H662" s="228"/>
      <c r="I662" s="228"/>
      <c r="J662" s="228"/>
      <c r="K662" s="228"/>
      <c r="L662" s="228"/>
      <c r="M662" s="228"/>
      <c r="N662" s="228"/>
      <c r="O662" s="228"/>
      <c r="P662" s="228"/>
      <c r="Q662" s="228"/>
      <c r="R662" s="228"/>
      <c r="S662" s="228"/>
      <c r="T662" s="228"/>
      <c r="U662" s="228"/>
      <c r="V662" s="228"/>
      <c r="W662" s="228"/>
      <c r="X662" s="228"/>
      <c r="Y662" s="228"/>
      <c r="Z662" s="228"/>
      <c r="AA662" s="228"/>
      <c r="AB662" s="228"/>
      <c r="AC662" s="228"/>
      <c r="AD662" s="228"/>
      <c r="AE662" s="228"/>
      <c r="AF662" s="228"/>
      <c r="AG662" s="228"/>
      <c r="AH662" s="228"/>
      <c r="AI662" s="228"/>
      <c r="AJ662" s="228"/>
      <c r="AK662" s="228"/>
      <c r="AL662" s="228"/>
      <c r="AM662" s="228"/>
      <c r="AN662" s="228"/>
      <c r="AO662" s="228"/>
      <c r="AP662" s="228"/>
      <c r="AQ662" s="228"/>
      <c r="AR662" s="228"/>
      <c r="AS662" s="228"/>
      <c r="AT662" s="228"/>
      <c r="AU662" s="228"/>
      <c r="AV662" s="228"/>
      <c r="AW662" s="228"/>
      <c r="AX662" s="228"/>
      <c r="AY662" s="228"/>
      <c r="AZ662" s="228"/>
      <c r="BA662" s="228"/>
      <c r="BB662" s="228"/>
      <c r="BC662" s="228"/>
      <c r="BD662" s="228"/>
      <c r="BE662" s="228"/>
      <c r="BF662" s="228"/>
      <c r="BG662" s="228"/>
      <c r="BH662" s="228"/>
      <c r="BI662" s="228"/>
      <c r="BJ662" s="228"/>
      <c r="BK662" s="228"/>
      <c r="BL662" s="228"/>
      <c r="BM662" s="228"/>
      <c r="BN662" s="228"/>
      <c r="BO662" s="228"/>
      <c r="BP662" s="228"/>
      <c r="BQ662" s="228"/>
      <c r="BR662" s="228"/>
      <c r="BS662" s="228"/>
      <c r="BT662" s="228"/>
      <c r="BU662" s="228"/>
      <c r="BV662" s="228"/>
      <c r="BW662" s="228"/>
      <c r="BX662" s="228"/>
      <c r="BY662" s="228"/>
      <c r="BZ662" s="228"/>
      <c r="CA662" s="228"/>
      <c r="CB662" s="228"/>
      <c r="CC662" s="228"/>
      <c r="CD662" s="228"/>
      <c r="CE662" s="228"/>
      <c r="CF662" s="228"/>
      <c r="CG662" s="228"/>
      <c r="CH662" s="228"/>
      <c r="CI662" s="228"/>
      <c r="CJ662" s="228"/>
      <c r="CK662" s="228"/>
      <c r="CL662" s="228"/>
      <c r="CM662" s="228"/>
      <c r="CN662" s="228"/>
      <c r="CO662" s="228"/>
      <c r="CP662" s="228"/>
      <c r="CQ662" s="228"/>
      <c r="CR662" s="228"/>
      <c r="CS662" s="228"/>
      <c r="CT662" s="228"/>
      <c r="CU662" s="228"/>
      <c r="CV662" s="228"/>
      <c r="CW662" s="228"/>
      <c r="CX662" s="228"/>
      <c r="CY662" s="228"/>
      <c r="CZ662" s="228"/>
      <c r="DA662" s="228"/>
      <c r="DB662" s="228"/>
    </row>
    <row r="663" ht="12.0" customHeight="1">
      <c r="A663" s="228"/>
      <c r="B663" s="228"/>
      <c r="C663" s="228"/>
      <c r="D663" s="228"/>
      <c r="E663" s="228"/>
      <c r="F663" s="228"/>
      <c r="G663" s="228"/>
      <c r="H663" s="228"/>
      <c r="I663" s="228"/>
      <c r="J663" s="228"/>
      <c r="K663" s="228"/>
      <c r="L663" s="228"/>
      <c r="M663" s="228"/>
      <c r="N663" s="228"/>
      <c r="O663" s="228"/>
      <c r="P663" s="228"/>
      <c r="Q663" s="228"/>
      <c r="R663" s="228"/>
      <c r="S663" s="228"/>
      <c r="T663" s="228"/>
      <c r="U663" s="228"/>
      <c r="V663" s="228"/>
      <c r="W663" s="228"/>
      <c r="X663" s="228"/>
      <c r="Y663" s="228"/>
      <c r="Z663" s="228"/>
      <c r="AA663" s="228"/>
      <c r="AB663" s="228"/>
      <c r="AC663" s="228"/>
      <c r="AD663" s="228"/>
      <c r="AE663" s="228"/>
      <c r="AF663" s="228"/>
      <c r="AG663" s="228"/>
      <c r="AH663" s="228"/>
      <c r="AI663" s="228"/>
      <c r="AJ663" s="228"/>
      <c r="AK663" s="228"/>
      <c r="AL663" s="228"/>
      <c r="AM663" s="228"/>
      <c r="AN663" s="228"/>
      <c r="AO663" s="228"/>
      <c r="AP663" s="228"/>
      <c r="AQ663" s="228"/>
      <c r="AR663" s="228"/>
      <c r="AS663" s="228"/>
      <c r="AT663" s="228"/>
      <c r="AU663" s="228"/>
      <c r="AV663" s="228"/>
      <c r="AW663" s="228"/>
      <c r="AX663" s="228"/>
      <c r="AY663" s="228"/>
      <c r="AZ663" s="228"/>
      <c r="BA663" s="228"/>
      <c r="BB663" s="228"/>
      <c r="BC663" s="228"/>
      <c r="BD663" s="228"/>
      <c r="BE663" s="228"/>
      <c r="BF663" s="228"/>
      <c r="BG663" s="228"/>
      <c r="BH663" s="228"/>
      <c r="BI663" s="228"/>
      <c r="BJ663" s="228"/>
      <c r="BK663" s="228"/>
      <c r="BL663" s="228"/>
      <c r="BM663" s="228"/>
      <c r="BN663" s="228"/>
      <c r="BO663" s="228"/>
      <c r="BP663" s="228"/>
      <c r="BQ663" s="228"/>
      <c r="BR663" s="228"/>
      <c r="BS663" s="228"/>
      <c r="BT663" s="228"/>
      <c r="BU663" s="228"/>
      <c r="BV663" s="228"/>
      <c r="BW663" s="228"/>
      <c r="BX663" s="228"/>
      <c r="BY663" s="228"/>
      <c r="BZ663" s="228"/>
      <c r="CA663" s="228"/>
      <c r="CB663" s="228"/>
      <c r="CC663" s="228"/>
      <c r="CD663" s="228"/>
      <c r="CE663" s="228"/>
      <c r="CF663" s="228"/>
      <c r="CG663" s="228"/>
      <c r="CH663" s="228"/>
      <c r="CI663" s="228"/>
      <c r="CJ663" s="228"/>
      <c r="CK663" s="228"/>
      <c r="CL663" s="228"/>
      <c r="CM663" s="228"/>
      <c r="CN663" s="228"/>
      <c r="CO663" s="228"/>
      <c r="CP663" s="228"/>
      <c r="CQ663" s="228"/>
      <c r="CR663" s="228"/>
      <c r="CS663" s="228"/>
      <c r="CT663" s="228"/>
      <c r="CU663" s="228"/>
      <c r="CV663" s="228"/>
      <c r="CW663" s="228"/>
      <c r="CX663" s="228"/>
      <c r="CY663" s="228"/>
      <c r="CZ663" s="228"/>
      <c r="DA663" s="228"/>
      <c r="DB663" s="228"/>
    </row>
    <row r="664" ht="12.0" customHeight="1">
      <c r="A664" s="228"/>
      <c r="B664" s="228"/>
      <c r="C664" s="228"/>
      <c r="D664" s="228"/>
      <c r="E664" s="228"/>
      <c r="F664" s="228"/>
      <c r="G664" s="228"/>
      <c r="H664" s="228"/>
      <c r="I664" s="228"/>
      <c r="J664" s="228"/>
      <c r="K664" s="228"/>
      <c r="L664" s="228"/>
      <c r="M664" s="228"/>
      <c r="N664" s="228"/>
      <c r="O664" s="228"/>
      <c r="P664" s="228"/>
      <c r="Q664" s="228"/>
      <c r="R664" s="228"/>
      <c r="S664" s="228"/>
      <c r="T664" s="228"/>
      <c r="U664" s="228"/>
      <c r="V664" s="228"/>
      <c r="W664" s="228"/>
      <c r="X664" s="228"/>
      <c r="Y664" s="228"/>
      <c r="Z664" s="228"/>
      <c r="AA664" s="228"/>
      <c r="AB664" s="228"/>
      <c r="AC664" s="228"/>
      <c r="AD664" s="228"/>
      <c r="AE664" s="228"/>
      <c r="AF664" s="228"/>
      <c r="AG664" s="228"/>
      <c r="AH664" s="228"/>
      <c r="AI664" s="228"/>
      <c r="AJ664" s="228"/>
      <c r="AK664" s="228"/>
      <c r="AL664" s="228"/>
      <c r="AM664" s="228"/>
      <c r="AN664" s="228"/>
      <c r="AO664" s="228"/>
      <c r="AP664" s="228"/>
      <c r="AQ664" s="228"/>
      <c r="AR664" s="228"/>
      <c r="AS664" s="228"/>
      <c r="AT664" s="228"/>
      <c r="AU664" s="228"/>
      <c r="AV664" s="228"/>
      <c r="AW664" s="228"/>
      <c r="AX664" s="228"/>
      <c r="AY664" s="228"/>
      <c r="AZ664" s="228"/>
      <c r="BA664" s="228"/>
      <c r="BB664" s="228"/>
      <c r="BC664" s="228"/>
      <c r="BD664" s="228"/>
      <c r="BE664" s="228"/>
      <c r="BF664" s="228"/>
      <c r="BG664" s="228"/>
      <c r="BH664" s="228"/>
      <c r="BI664" s="228"/>
      <c r="BJ664" s="228"/>
      <c r="BK664" s="228"/>
      <c r="BL664" s="228"/>
      <c r="BM664" s="228"/>
      <c r="BN664" s="228"/>
      <c r="BO664" s="228"/>
      <c r="BP664" s="228"/>
      <c r="BQ664" s="228"/>
      <c r="BR664" s="228"/>
      <c r="BS664" s="228"/>
      <c r="BT664" s="228"/>
      <c r="BU664" s="228"/>
      <c r="BV664" s="228"/>
      <c r="BW664" s="228"/>
      <c r="BX664" s="228"/>
      <c r="BY664" s="228"/>
      <c r="BZ664" s="228"/>
      <c r="CA664" s="228"/>
      <c r="CB664" s="228"/>
      <c r="CC664" s="228"/>
      <c r="CD664" s="228"/>
      <c r="CE664" s="228"/>
      <c r="CF664" s="228"/>
      <c r="CG664" s="228"/>
      <c r="CH664" s="228"/>
      <c r="CI664" s="228"/>
      <c r="CJ664" s="228"/>
      <c r="CK664" s="228"/>
      <c r="CL664" s="228"/>
      <c r="CM664" s="228"/>
      <c r="CN664" s="228"/>
      <c r="CO664" s="228"/>
      <c r="CP664" s="228"/>
      <c r="CQ664" s="228"/>
      <c r="CR664" s="228"/>
      <c r="CS664" s="228"/>
      <c r="CT664" s="228"/>
      <c r="CU664" s="228"/>
      <c r="CV664" s="228"/>
      <c r="CW664" s="228"/>
      <c r="CX664" s="228"/>
      <c r="CY664" s="228"/>
      <c r="CZ664" s="228"/>
      <c r="DA664" s="228"/>
      <c r="DB664" s="228"/>
    </row>
    <row r="665" ht="12.0" customHeight="1">
      <c r="A665" s="228"/>
      <c r="B665" s="228"/>
      <c r="C665" s="228"/>
      <c r="D665" s="228"/>
      <c r="E665" s="228"/>
      <c r="F665" s="228"/>
      <c r="G665" s="228"/>
      <c r="H665" s="228"/>
      <c r="I665" s="228"/>
      <c r="J665" s="228"/>
      <c r="K665" s="228"/>
      <c r="L665" s="228"/>
      <c r="M665" s="228"/>
      <c r="N665" s="228"/>
      <c r="O665" s="228"/>
      <c r="P665" s="228"/>
      <c r="Q665" s="228"/>
      <c r="R665" s="228"/>
      <c r="S665" s="228"/>
      <c r="T665" s="228"/>
      <c r="U665" s="228"/>
      <c r="V665" s="228"/>
      <c r="W665" s="228"/>
      <c r="X665" s="228"/>
      <c r="Y665" s="228"/>
      <c r="Z665" s="228"/>
      <c r="AA665" s="228"/>
      <c r="AB665" s="228"/>
      <c r="AC665" s="228"/>
      <c r="AD665" s="228"/>
      <c r="AE665" s="228"/>
      <c r="AF665" s="228"/>
      <c r="AG665" s="228"/>
      <c r="AH665" s="228"/>
      <c r="AI665" s="228"/>
      <c r="AJ665" s="228"/>
      <c r="AK665" s="228"/>
      <c r="AL665" s="228"/>
      <c r="AM665" s="228"/>
      <c r="AN665" s="228"/>
      <c r="AO665" s="228"/>
      <c r="AP665" s="228"/>
      <c r="AQ665" s="228"/>
      <c r="AR665" s="228"/>
      <c r="AS665" s="228"/>
      <c r="AT665" s="228"/>
      <c r="AU665" s="228"/>
      <c r="AV665" s="228"/>
      <c r="AW665" s="228"/>
      <c r="AX665" s="228"/>
      <c r="AY665" s="228"/>
      <c r="AZ665" s="228"/>
      <c r="BA665" s="228"/>
      <c r="BB665" s="228"/>
      <c r="BC665" s="228"/>
      <c r="BD665" s="228"/>
      <c r="BE665" s="228"/>
      <c r="BF665" s="228"/>
      <c r="BG665" s="228"/>
      <c r="BH665" s="228"/>
      <c r="BI665" s="228"/>
      <c r="BJ665" s="228"/>
      <c r="BK665" s="228"/>
      <c r="BL665" s="228"/>
      <c r="BM665" s="228"/>
      <c r="BN665" s="228"/>
      <c r="BO665" s="228"/>
      <c r="BP665" s="228"/>
      <c r="BQ665" s="228"/>
      <c r="BR665" s="228"/>
      <c r="BS665" s="228"/>
      <c r="BT665" s="228"/>
      <c r="BU665" s="228"/>
      <c r="BV665" s="228"/>
      <c r="BW665" s="228"/>
      <c r="BX665" s="228"/>
      <c r="BY665" s="228"/>
      <c r="BZ665" s="228"/>
      <c r="CA665" s="228"/>
      <c r="CB665" s="228"/>
      <c r="CC665" s="228"/>
      <c r="CD665" s="228"/>
      <c r="CE665" s="228"/>
      <c r="CF665" s="228"/>
      <c r="CG665" s="228"/>
      <c r="CH665" s="228"/>
      <c r="CI665" s="228"/>
      <c r="CJ665" s="228"/>
      <c r="CK665" s="228"/>
      <c r="CL665" s="228"/>
      <c r="CM665" s="228"/>
      <c r="CN665" s="228"/>
      <c r="CO665" s="228"/>
      <c r="CP665" s="228"/>
      <c r="CQ665" s="228"/>
      <c r="CR665" s="228"/>
      <c r="CS665" s="228"/>
      <c r="CT665" s="228"/>
      <c r="CU665" s="228"/>
      <c r="CV665" s="228"/>
      <c r="CW665" s="228"/>
      <c r="CX665" s="228"/>
      <c r="CY665" s="228"/>
      <c r="CZ665" s="228"/>
      <c r="DA665" s="228"/>
      <c r="DB665" s="228"/>
    </row>
    <row r="666" ht="12.0" customHeight="1">
      <c r="A666" s="228"/>
      <c r="B666" s="228"/>
      <c r="C666" s="228"/>
      <c r="D666" s="228"/>
      <c r="E666" s="228"/>
      <c r="F666" s="228"/>
      <c r="G666" s="228"/>
      <c r="H666" s="228"/>
      <c r="I666" s="228"/>
      <c r="J666" s="228"/>
      <c r="K666" s="228"/>
      <c r="L666" s="228"/>
      <c r="M666" s="228"/>
      <c r="N666" s="228"/>
      <c r="O666" s="228"/>
      <c r="P666" s="228"/>
      <c r="Q666" s="228"/>
      <c r="R666" s="228"/>
      <c r="S666" s="228"/>
      <c r="T666" s="228"/>
      <c r="U666" s="228"/>
      <c r="V666" s="228"/>
      <c r="W666" s="228"/>
      <c r="X666" s="228"/>
      <c r="Y666" s="228"/>
      <c r="Z666" s="228"/>
      <c r="AA666" s="228"/>
      <c r="AB666" s="228"/>
      <c r="AC666" s="228"/>
      <c r="AD666" s="228"/>
      <c r="AE666" s="228"/>
      <c r="AF666" s="228"/>
      <c r="AG666" s="228"/>
      <c r="AH666" s="228"/>
      <c r="AI666" s="228"/>
      <c r="AJ666" s="228"/>
      <c r="AK666" s="228"/>
      <c r="AL666" s="228"/>
      <c r="AM666" s="228"/>
      <c r="AN666" s="228"/>
      <c r="AO666" s="228"/>
      <c r="AP666" s="228"/>
      <c r="AQ666" s="228"/>
      <c r="AR666" s="228"/>
      <c r="AS666" s="228"/>
      <c r="AT666" s="228"/>
      <c r="AU666" s="228"/>
      <c r="AV666" s="228"/>
      <c r="AW666" s="228"/>
      <c r="AX666" s="228"/>
      <c r="AY666" s="228"/>
      <c r="AZ666" s="228"/>
      <c r="BA666" s="228"/>
      <c r="BB666" s="228"/>
      <c r="BC666" s="228"/>
      <c r="BD666" s="228"/>
      <c r="BE666" s="228"/>
      <c r="BF666" s="228"/>
      <c r="BG666" s="228"/>
      <c r="BH666" s="228"/>
      <c r="BI666" s="228"/>
      <c r="BJ666" s="228"/>
      <c r="BK666" s="228"/>
      <c r="BL666" s="228"/>
      <c r="BM666" s="228"/>
      <c r="BN666" s="228"/>
      <c r="BO666" s="228"/>
      <c r="BP666" s="228"/>
      <c r="BQ666" s="228"/>
      <c r="BR666" s="228"/>
      <c r="BS666" s="228"/>
      <c r="BT666" s="228"/>
      <c r="BU666" s="228"/>
      <c r="BV666" s="228"/>
      <c r="BW666" s="228"/>
      <c r="BX666" s="228"/>
      <c r="BY666" s="228"/>
      <c r="BZ666" s="228"/>
      <c r="CA666" s="228"/>
      <c r="CB666" s="228"/>
      <c r="CC666" s="228"/>
      <c r="CD666" s="228"/>
      <c r="CE666" s="228"/>
      <c r="CF666" s="228"/>
      <c r="CG666" s="228"/>
      <c r="CH666" s="228"/>
      <c r="CI666" s="228"/>
      <c r="CJ666" s="228"/>
      <c r="CK666" s="228"/>
      <c r="CL666" s="228"/>
      <c r="CM666" s="228"/>
      <c r="CN666" s="228"/>
      <c r="CO666" s="228"/>
      <c r="CP666" s="228"/>
      <c r="CQ666" s="228"/>
      <c r="CR666" s="228"/>
      <c r="CS666" s="228"/>
      <c r="CT666" s="228"/>
      <c r="CU666" s="228"/>
      <c r="CV666" s="228"/>
      <c r="CW666" s="228"/>
      <c r="CX666" s="228"/>
      <c r="CY666" s="228"/>
      <c r="CZ666" s="228"/>
      <c r="DA666" s="228"/>
      <c r="DB666" s="228"/>
    </row>
    <row r="667" ht="12.0" customHeight="1">
      <c r="A667" s="228"/>
      <c r="B667" s="228"/>
      <c r="C667" s="228"/>
      <c r="D667" s="228"/>
      <c r="E667" s="228"/>
      <c r="F667" s="228"/>
      <c r="G667" s="228"/>
      <c r="H667" s="228"/>
      <c r="I667" s="228"/>
      <c r="J667" s="228"/>
      <c r="K667" s="228"/>
      <c r="L667" s="228"/>
      <c r="M667" s="228"/>
      <c r="N667" s="228"/>
      <c r="O667" s="228"/>
      <c r="P667" s="228"/>
      <c r="Q667" s="228"/>
      <c r="R667" s="228"/>
      <c r="S667" s="228"/>
      <c r="T667" s="228"/>
      <c r="U667" s="228"/>
      <c r="V667" s="228"/>
      <c r="W667" s="228"/>
      <c r="X667" s="228"/>
      <c r="Y667" s="228"/>
      <c r="Z667" s="228"/>
      <c r="AA667" s="228"/>
      <c r="AB667" s="228"/>
      <c r="AC667" s="228"/>
      <c r="AD667" s="228"/>
      <c r="AE667" s="228"/>
      <c r="AF667" s="228"/>
      <c r="AG667" s="228"/>
      <c r="AH667" s="228"/>
      <c r="AI667" s="228"/>
      <c r="AJ667" s="228"/>
      <c r="AK667" s="228"/>
      <c r="AL667" s="228"/>
      <c r="AM667" s="228"/>
      <c r="AN667" s="228"/>
      <c r="AO667" s="228"/>
      <c r="AP667" s="228"/>
      <c r="AQ667" s="228"/>
      <c r="AR667" s="228"/>
      <c r="AS667" s="228"/>
      <c r="AT667" s="228"/>
      <c r="AU667" s="228"/>
      <c r="AV667" s="228"/>
      <c r="AW667" s="228"/>
      <c r="AX667" s="228"/>
      <c r="AY667" s="228"/>
      <c r="AZ667" s="228"/>
      <c r="BA667" s="228"/>
      <c r="BB667" s="228"/>
      <c r="BC667" s="228"/>
      <c r="BD667" s="228"/>
      <c r="BE667" s="228"/>
      <c r="BF667" s="228"/>
      <c r="BG667" s="228"/>
      <c r="BH667" s="228"/>
      <c r="BI667" s="228"/>
      <c r="BJ667" s="228"/>
      <c r="BK667" s="228"/>
      <c r="BL667" s="228"/>
      <c r="BM667" s="228"/>
      <c r="BN667" s="228"/>
      <c r="BO667" s="228"/>
      <c r="BP667" s="228"/>
      <c r="BQ667" s="228"/>
      <c r="BR667" s="228"/>
      <c r="BS667" s="228"/>
      <c r="BT667" s="228"/>
      <c r="BU667" s="228"/>
      <c r="BV667" s="228"/>
      <c r="BW667" s="228"/>
      <c r="BX667" s="228"/>
      <c r="BY667" s="228"/>
      <c r="BZ667" s="228"/>
      <c r="CA667" s="228"/>
      <c r="CB667" s="228"/>
      <c r="CC667" s="228"/>
      <c r="CD667" s="228"/>
      <c r="CE667" s="228"/>
      <c r="CF667" s="228"/>
      <c r="CG667" s="228"/>
      <c r="CH667" s="228"/>
      <c r="CI667" s="228"/>
      <c r="CJ667" s="228"/>
      <c r="CK667" s="228"/>
      <c r="CL667" s="228"/>
      <c r="CM667" s="228"/>
      <c r="CN667" s="228"/>
      <c r="CO667" s="228"/>
      <c r="CP667" s="228"/>
      <c r="CQ667" s="228"/>
      <c r="CR667" s="228"/>
      <c r="CS667" s="228"/>
      <c r="CT667" s="228"/>
      <c r="CU667" s="228"/>
      <c r="CV667" s="228"/>
      <c r="CW667" s="228"/>
      <c r="CX667" s="228"/>
      <c r="CY667" s="228"/>
      <c r="CZ667" s="228"/>
      <c r="DA667" s="228"/>
      <c r="DB667" s="228"/>
    </row>
    <row r="668" ht="12.0" customHeight="1">
      <c r="A668" s="228"/>
      <c r="B668" s="228"/>
      <c r="C668" s="228"/>
      <c r="D668" s="228"/>
      <c r="E668" s="228"/>
      <c r="F668" s="228"/>
      <c r="G668" s="228"/>
      <c r="H668" s="228"/>
      <c r="I668" s="228"/>
      <c r="J668" s="228"/>
      <c r="K668" s="228"/>
      <c r="L668" s="228"/>
      <c r="M668" s="228"/>
      <c r="N668" s="228"/>
      <c r="O668" s="228"/>
      <c r="P668" s="228"/>
      <c r="Q668" s="228"/>
      <c r="R668" s="228"/>
      <c r="S668" s="228"/>
      <c r="T668" s="228"/>
      <c r="U668" s="228"/>
      <c r="V668" s="228"/>
      <c r="W668" s="228"/>
      <c r="X668" s="228"/>
      <c r="Y668" s="228"/>
      <c r="Z668" s="228"/>
      <c r="AA668" s="228"/>
      <c r="AB668" s="228"/>
      <c r="AC668" s="228"/>
      <c r="AD668" s="228"/>
      <c r="AE668" s="228"/>
      <c r="AF668" s="228"/>
      <c r="AG668" s="228"/>
      <c r="AH668" s="228"/>
      <c r="AI668" s="228"/>
      <c r="AJ668" s="228"/>
      <c r="AK668" s="228"/>
      <c r="AL668" s="228"/>
      <c r="AM668" s="228"/>
      <c r="AN668" s="228"/>
      <c r="AO668" s="228"/>
      <c r="AP668" s="228"/>
      <c r="AQ668" s="228"/>
      <c r="AR668" s="228"/>
      <c r="AS668" s="228"/>
      <c r="AT668" s="228"/>
      <c r="AU668" s="228"/>
      <c r="AV668" s="228"/>
      <c r="AW668" s="228"/>
      <c r="AX668" s="228"/>
      <c r="AY668" s="228"/>
      <c r="AZ668" s="228"/>
      <c r="BA668" s="228"/>
      <c r="BB668" s="228"/>
      <c r="BC668" s="228"/>
      <c r="BD668" s="228"/>
      <c r="BE668" s="228"/>
      <c r="BF668" s="228"/>
      <c r="BG668" s="228"/>
      <c r="BH668" s="228"/>
      <c r="BI668" s="228"/>
      <c r="BJ668" s="228"/>
      <c r="BK668" s="228"/>
      <c r="BL668" s="228"/>
      <c r="BM668" s="228"/>
      <c r="BN668" s="228"/>
      <c r="BO668" s="228"/>
      <c r="BP668" s="228"/>
      <c r="BQ668" s="228"/>
      <c r="BR668" s="228"/>
      <c r="BS668" s="228"/>
      <c r="BT668" s="228"/>
      <c r="BU668" s="228"/>
      <c r="BV668" s="228"/>
      <c r="BW668" s="228"/>
      <c r="BX668" s="228"/>
      <c r="BY668" s="228"/>
      <c r="BZ668" s="228"/>
      <c r="CA668" s="228"/>
      <c r="CB668" s="228"/>
      <c r="CC668" s="228"/>
      <c r="CD668" s="228"/>
      <c r="CE668" s="228"/>
      <c r="CF668" s="228"/>
      <c r="CG668" s="228"/>
      <c r="CH668" s="228"/>
      <c r="CI668" s="228"/>
      <c r="CJ668" s="228"/>
      <c r="CK668" s="228"/>
      <c r="CL668" s="228"/>
      <c r="CM668" s="228"/>
      <c r="CN668" s="228"/>
      <c r="CO668" s="228"/>
      <c r="CP668" s="228"/>
      <c r="CQ668" s="228"/>
      <c r="CR668" s="228"/>
      <c r="CS668" s="228"/>
      <c r="CT668" s="228"/>
      <c r="CU668" s="228"/>
      <c r="CV668" s="228"/>
      <c r="CW668" s="228"/>
      <c r="CX668" s="228"/>
      <c r="CY668" s="228"/>
      <c r="CZ668" s="228"/>
      <c r="DA668" s="228"/>
      <c r="DB668" s="228"/>
    </row>
    <row r="669" ht="12.0" customHeight="1">
      <c r="A669" s="228"/>
      <c r="B669" s="228"/>
      <c r="C669" s="228"/>
      <c r="D669" s="228"/>
      <c r="E669" s="228"/>
      <c r="F669" s="228"/>
      <c r="G669" s="228"/>
      <c r="H669" s="228"/>
      <c r="I669" s="228"/>
      <c r="J669" s="228"/>
      <c r="K669" s="228"/>
      <c r="L669" s="228"/>
      <c r="M669" s="228"/>
      <c r="N669" s="228"/>
      <c r="O669" s="228"/>
      <c r="P669" s="228"/>
      <c r="Q669" s="228"/>
      <c r="R669" s="228"/>
      <c r="S669" s="228"/>
      <c r="T669" s="228"/>
      <c r="U669" s="228"/>
      <c r="V669" s="228"/>
      <c r="W669" s="228"/>
      <c r="X669" s="228"/>
      <c r="Y669" s="228"/>
      <c r="Z669" s="228"/>
      <c r="AA669" s="228"/>
      <c r="AB669" s="228"/>
      <c r="AC669" s="228"/>
      <c r="AD669" s="228"/>
      <c r="AE669" s="228"/>
      <c r="AF669" s="228"/>
      <c r="AG669" s="228"/>
      <c r="AH669" s="228"/>
      <c r="AI669" s="228"/>
      <c r="AJ669" s="228"/>
      <c r="AK669" s="228"/>
      <c r="AL669" s="228"/>
      <c r="AM669" s="228"/>
      <c r="AN669" s="228"/>
      <c r="AO669" s="228"/>
      <c r="AP669" s="228"/>
      <c r="AQ669" s="228"/>
      <c r="AR669" s="228"/>
      <c r="AS669" s="228"/>
      <c r="AT669" s="228"/>
      <c r="AU669" s="228"/>
      <c r="AV669" s="228"/>
      <c r="AW669" s="228"/>
      <c r="AX669" s="228"/>
      <c r="AY669" s="228"/>
      <c r="AZ669" s="228"/>
      <c r="BA669" s="228"/>
      <c r="BB669" s="228"/>
      <c r="BC669" s="228"/>
      <c r="BD669" s="228"/>
      <c r="BE669" s="228"/>
      <c r="BF669" s="228"/>
      <c r="BG669" s="228"/>
      <c r="BH669" s="228"/>
      <c r="BI669" s="228"/>
      <c r="BJ669" s="228"/>
      <c r="BK669" s="228"/>
      <c r="BL669" s="228"/>
      <c r="BM669" s="228"/>
      <c r="BN669" s="228"/>
      <c r="BO669" s="228"/>
      <c r="BP669" s="228"/>
      <c r="BQ669" s="228"/>
      <c r="BR669" s="228"/>
      <c r="BS669" s="228"/>
      <c r="BT669" s="228"/>
      <c r="BU669" s="228"/>
      <c r="BV669" s="228"/>
      <c r="BW669" s="228"/>
      <c r="BX669" s="228"/>
      <c r="BY669" s="228"/>
      <c r="BZ669" s="228"/>
      <c r="CA669" s="228"/>
      <c r="CB669" s="228"/>
      <c r="CC669" s="228"/>
      <c r="CD669" s="228"/>
      <c r="CE669" s="228"/>
      <c r="CF669" s="228"/>
      <c r="CG669" s="228"/>
      <c r="CH669" s="228"/>
      <c r="CI669" s="228"/>
      <c r="CJ669" s="228"/>
      <c r="CK669" s="228"/>
      <c r="CL669" s="228"/>
      <c r="CM669" s="228"/>
      <c r="CN669" s="228"/>
      <c r="CO669" s="228"/>
      <c r="CP669" s="228"/>
      <c r="CQ669" s="228"/>
      <c r="CR669" s="228"/>
      <c r="CS669" s="228"/>
      <c r="CT669" s="228"/>
      <c r="CU669" s="228"/>
      <c r="CV669" s="228"/>
      <c r="CW669" s="228"/>
      <c r="CX669" s="228"/>
      <c r="CY669" s="228"/>
      <c r="CZ669" s="228"/>
      <c r="DA669" s="228"/>
      <c r="DB669" s="228"/>
    </row>
    <row r="670" ht="12.0" customHeight="1">
      <c r="A670" s="228"/>
      <c r="B670" s="228"/>
      <c r="C670" s="228"/>
      <c r="D670" s="228"/>
      <c r="E670" s="228"/>
      <c r="F670" s="228"/>
      <c r="G670" s="228"/>
      <c r="H670" s="228"/>
      <c r="I670" s="228"/>
      <c r="J670" s="228"/>
      <c r="K670" s="228"/>
      <c r="L670" s="228"/>
      <c r="M670" s="228"/>
      <c r="N670" s="228"/>
      <c r="O670" s="228"/>
      <c r="P670" s="228"/>
      <c r="Q670" s="228"/>
      <c r="R670" s="228"/>
      <c r="S670" s="228"/>
      <c r="T670" s="228"/>
      <c r="U670" s="228"/>
      <c r="V670" s="228"/>
      <c r="W670" s="228"/>
      <c r="X670" s="228"/>
      <c r="Y670" s="228"/>
      <c r="Z670" s="228"/>
      <c r="AA670" s="228"/>
      <c r="AB670" s="228"/>
      <c r="AC670" s="228"/>
      <c r="AD670" s="228"/>
      <c r="AE670" s="228"/>
      <c r="AF670" s="228"/>
      <c r="AG670" s="228"/>
      <c r="AH670" s="228"/>
      <c r="AI670" s="228"/>
      <c r="AJ670" s="228"/>
      <c r="AK670" s="228"/>
      <c r="AL670" s="228"/>
      <c r="AM670" s="228"/>
      <c r="AN670" s="228"/>
      <c r="AO670" s="228"/>
      <c r="AP670" s="228"/>
      <c r="AQ670" s="228"/>
      <c r="AR670" s="228"/>
      <c r="AS670" s="228"/>
      <c r="AT670" s="228"/>
      <c r="AU670" s="228"/>
      <c r="AV670" s="228"/>
      <c r="AW670" s="228"/>
      <c r="AX670" s="228"/>
      <c r="AY670" s="228"/>
      <c r="AZ670" s="228"/>
      <c r="BA670" s="228"/>
      <c r="BB670" s="228"/>
      <c r="BC670" s="228"/>
      <c r="BD670" s="228"/>
      <c r="BE670" s="228"/>
      <c r="BF670" s="228"/>
      <c r="BG670" s="228"/>
      <c r="BH670" s="228"/>
      <c r="BI670" s="228"/>
      <c r="BJ670" s="228"/>
      <c r="BK670" s="228"/>
      <c r="BL670" s="228"/>
      <c r="BM670" s="228"/>
      <c r="BN670" s="228"/>
      <c r="BO670" s="228"/>
      <c r="BP670" s="228"/>
      <c r="BQ670" s="228"/>
      <c r="BR670" s="228"/>
      <c r="BS670" s="228"/>
      <c r="BT670" s="228"/>
      <c r="BU670" s="228"/>
      <c r="BV670" s="228"/>
      <c r="BW670" s="228"/>
      <c r="BX670" s="228"/>
      <c r="BY670" s="228"/>
      <c r="BZ670" s="228"/>
      <c r="CA670" s="228"/>
      <c r="CB670" s="228"/>
      <c r="CC670" s="228"/>
      <c r="CD670" s="228"/>
      <c r="CE670" s="228"/>
      <c r="CF670" s="228"/>
      <c r="CG670" s="228"/>
      <c r="CH670" s="228"/>
      <c r="CI670" s="228"/>
      <c r="CJ670" s="228"/>
      <c r="CK670" s="228"/>
      <c r="CL670" s="228"/>
      <c r="CM670" s="228"/>
      <c r="CN670" s="228"/>
      <c r="CO670" s="228"/>
      <c r="CP670" s="228"/>
      <c r="CQ670" s="228"/>
      <c r="CR670" s="228"/>
      <c r="CS670" s="228"/>
      <c r="CT670" s="228"/>
      <c r="CU670" s="228"/>
      <c r="CV670" s="228"/>
      <c r="CW670" s="228"/>
      <c r="CX670" s="228"/>
      <c r="CY670" s="228"/>
      <c r="CZ670" s="228"/>
      <c r="DA670" s="228"/>
      <c r="DB670" s="228"/>
    </row>
    <row r="671" ht="12.0" customHeight="1">
      <c r="A671" s="228"/>
      <c r="B671" s="228"/>
      <c r="C671" s="228"/>
      <c r="D671" s="228"/>
      <c r="E671" s="228"/>
      <c r="F671" s="228"/>
      <c r="G671" s="228"/>
      <c r="H671" s="228"/>
      <c r="I671" s="228"/>
      <c r="J671" s="228"/>
      <c r="K671" s="228"/>
      <c r="L671" s="228"/>
      <c r="M671" s="228"/>
      <c r="N671" s="228"/>
      <c r="O671" s="228"/>
      <c r="P671" s="228"/>
      <c r="Q671" s="228"/>
      <c r="R671" s="228"/>
      <c r="S671" s="228"/>
      <c r="T671" s="228"/>
      <c r="U671" s="228"/>
      <c r="V671" s="228"/>
      <c r="W671" s="228"/>
      <c r="X671" s="228"/>
      <c r="Y671" s="228"/>
      <c r="Z671" s="228"/>
      <c r="AA671" s="228"/>
      <c r="AB671" s="228"/>
      <c r="AC671" s="228"/>
      <c r="AD671" s="228"/>
      <c r="AE671" s="228"/>
      <c r="AF671" s="228"/>
      <c r="AG671" s="228"/>
      <c r="AH671" s="228"/>
      <c r="AI671" s="228"/>
      <c r="AJ671" s="228"/>
      <c r="AK671" s="228"/>
      <c r="AL671" s="228"/>
      <c r="AM671" s="228"/>
      <c r="AN671" s="228"/>
      <c r="AO671" s="228"/>
      <c r="AP671" s="228"/>
      <c r="AQ671" s="228"/>
      <c r="AR671" s="228"/>
      <c r="AS671" s="228"/>
      <c r="AT671" s="228"/>
      <c r="AU671" s="228"/>
      <c r="AV671" s="228"/>
      <c r="AW671" s="228"/>
      <c r="AX671" s="228"/>
      <c r="AY671" s="228"/>
      <c r="AZ671" s="228"/>
      <c r="BA671" s="228"/>
      <c r="BB671" s="228"/>
      <c r="BC671" s="228"/>
      <c r="BD671" s="228"/>
      <c r="BE671" s="228"/>
      <c r="BF671" s="228"/>
      <c r="BG671" s="228"/>
      <c r="BH671" s="228"/>
      <c r="BI671" s="228"/>
      <c r="BJ671" s="228"/>
      <c r="BK671" s="228"/>
      <c r="BL671" s="228"/>
      <c r="BM671" s="228"/>
      <c r="BN671" s="228"/>
      <c r="BO671" s="228"/>
      <c r="BP671" s="228"/>
      <c r="BQ671" s="228"/>
      <c r="BR671" s="228"/>
      <c r="BS671" s="228"/>
      <c r="BT671" s="228"/>
      <c r="BU671" s="228"/>
      <c r="BV671" s="228"/>
      <c r="BW671" s="228"/>
      <c r="BX671" s="228"/>
      <c r="BY671" s="228"/>
      <c r="BZ671" s="228"/>
      <c r="CA671" s="228"/>
      <c r="CB671" s="228"/>
      <c r="CC671" s="228"/>
      <c r="CD671" s="228"/>
      <c r="CE671" s="228"/>
      <c r="CF671" s="228"/>
      <c r="CG671" s="228"/>
      <c r="CH671" s="228"/>
      <c r="CI671" s="228"/>
      <c r="CJ671" s="228"/>
      <c r="CK671" s="228"/>
      <c r="CL671" s="228"/>
      <c r="CM671" s="228"/>
      <c r="CN671" s="228"/>
      <c r="CO671" s="228"/>
      <c r="CP671" s="228"/>
      <c r="CQ671" s="228"/>
      <c r="CR671" s="228"/>
      <c r="CS671" s="228"/>
      <c r="CT671" s="228"/>
      <c r="CU671" s="228"/>
      <c r="CV671" s="228"/>
      <c r="CW671" s="228"/>
      <c r="CX671" s="228"/>
      <c r="CY671" s="228"/>
      <c r="CZ671" s="228"/>
      <c r="DA671" s="228"/>
      <c r="DB671" s="228"/>
    </row>
    <row r="672" ht="12.0" customHeight="1">
      <c r="A672" s="228"/>
      <c r="B672" s="228"/>
      <c r="C672" s="228"/>
      <c r="D672" s="228"/>
      <c r="E672" s="228"/>
      <c r="F672" s="228"/>
      <c r="G672" s="228"/>
      <c r="H672" s="228"/>
      <c r="I672" s="228"/>
      <c r="J672" s="228"/>
      <c r="K672" s="228"/>
      <c r="L672" s="228"/>
      <c r="M672" s="228"/>
      <c r="N672" s="228"/>
      <c r="O672" s="228"/>
      <c r="P672" s="228"/>
      <c r="Q672" s="228"/>
      <c r="R672" s="228"/>
      <c r="S672" s="228"/>
      <c r="T672" s="228"/>
      <c r="U672" s="228"/>
      <c r="V672" s="228"/>
      <c r="W672" s="228"/>
      <c r="X672" s="228"/>
      <c r="Y672" s="228"/>
      <c r="Z672" s="228"/>
      <c r="AA672" s="228"/>
      <c r="AB672" s="228"/>
      <c r="AC672" s="228"/>
      <c r="AD672" s="228"/>
      <c r="AE672" s="228"/>
      <c r="AF672" s="228"/>
      <c r="AG672" s="228"/>
      <c r="AH672" s="228"/>
      <c r="AI672" s="228"/>
      <c r="AJ672" s="228"/>
      <c r="AK672" s="228"/>
      <c r="AL672" s="228"/>
      <c r="AM672" s="228"/>
      <c r="AN672" s="228"/>
      <c r="AO672" s="228"/>
      <c r="AP672" s="228"/>
      <c r="AQ672" s="228"/>
      <c r="AR672" s="228"/>
      <c r="AS672" s="228"/>
      <c r="AT672" s="228"/>
      <c r="AU672" s="228"/>
      <c r="AV672" s="228"/>
      <c r="AW672" s="228"/>
      <c r="AX672" s="228"/>
      <c r="AY672" s="228"/>
      <c r="AZ672" s="228"/>
      <c r="BA672" s="228"/>
      <c r="BB672" s="228"/>
      <c r="BC672" s="228"/>
      <c r="BD672" s="228"/>
      <c r="BE672" s="228"/>
      <c r="BF672" s="228"/>
      <c r="BG672" s="228"/>
      <c r="BH672" s="228"/>
      <c r="BI672" s="228"/>
      <c r="BJ672" s="228"/>
      <c r="BK672" s="228"/>
      <c r="BL672" s="228"/>
      <c r="BM672" s="228"/>
      <c r="BN672" s="228"/>
      <c r="BO672" s="228"/>
      <c r="BP672" s="228"/>
      <c r="BQ672" s="228"/>
      <c r="BR672" s="228"/>
      <c r="BS672" s="228"/>
      <c r="BT672" s="228"/>
      <c r="BU672" s="228"/>
      <c r="BV672" s="228"/>
      <c r="BW672" s="228"/>
      <c r="BX672" s="228"/>
      <c r="BY672" s="228"/>
      <c r="BZ672" s="228"/>
      <c r="CA672" s="228"/>
      <c r="CB672" s="228"/>
      <c r="CC672" s="228"/>
      <c r="CD672" s="228"/>
      <c r="CE672" s="228"/>
      <c r="CF672" s="228"/>
      <c r="CG672" s="228"/>
      <c r="CH672" s="228"/>
      <c r="CI672" s="228"/>
      <c r="CJ672" s="228"/>
      <c r="CK672" s="228"/>
      <c r="CL672" s="228"/>
      <c r="CM672" s="228"/>
      <c r="CN672" s="228"/>
      <c r="CO672" s="228"/>
      <c r="CP672" s="228"/>
      <c r="CQ672" s="228"/>
      <c r="CR672" s="228"/>
      <c r="CS672" s="228"/>
      <c r="CT672" s="228"/>
      <c r="CU672" s="228"/>
      <c r="CV672" s="228"/>
      <c r="CW672" s="228"/>
      <c r="CX672" s="228"/>
      <c r="CY672" s="228"/>
      <c r="CZ672" s="228"/>
      <c r="DA672" s="228"/>
      <c r="DB672" s="228"/>
    </row>
    <row r="673" ht="12.0" customHeight="1">
      <c r="A673" s="228"/>
      <c r="B673" s="228"/>
      <c r="C673" s="228"/>
      <c r="D673" s="228"/>
      <c r="E673" s="228"/>
      <c r="F673" s="228"/>
      <c r="G673" s="228"/>
      <c r="H673" s="228"/>
      <c r="I673" s="228"/>
      <c r="J673" s="228"/>
      <c r="K673" s="228"/>
      <c r="L673" s="228"/>
      <c r="M673" s="228"/>
      <c r="N673" s="228"/>
      <c r="O673" s="228"/>
      <c r="P673" s="228"/>
      <c r="Q673" s="228"/>
      <c r="R673" s="228"/>
      <c r="S673" s="228"/>
      <c r="T673" s="228"/>
      <c r="U673" s="228"/>
      <c r="V673" s="228"/>
      <c r="W673" s="228"/>
      <c r="X673" s="228"/>
      <c r="Y673" s="228"/>
      <c r="Z673" s="228"/>
      <c r="AA673" s="228"/>
      <c r="AB673" s="228"/>
      <c r="AC673" s="228"/>
      <c r="AD673" s="228"/>
      <c r="AE673" s="228"/>
      <c r="AF673" s="228"/>
      <c r="AG673" s="228"/>
      <c r="AH673" s="228"/>
      <c r="AI673" s="228"/>
      <c r="AJ673" s="228"/>
      <c r="AK673" s="228"/>
      <c r="AL673" s="228"/>
      <c r="AM673" s="228"/>
      <c r="AN673" s="228"/>
      <c r="AO673" s="228"/>
      <c r="AP673" s="228"/>
      <c r="AQ673" s="228"/>
      <c r="AR673" s="228"/>
      <c r="AS673" s="228"/>
      <c r="AT673" s="228"/>
      <c r="AU673" s="228"/>
      <c r="AV673" s="228"/>
      <c r="AW673" s="228"/>
      <c r="AX673" s="228"/>
      <c r="AY673" s="228"/>
      <c r="AZ673" s="228"/>
      <c r="BA673" s="228"/>
      <c r="BB673" s="228"/>
      <c r="BC673" s="228"/>
      <c r="BD673" s="228"/>
      <c r="BE673" s="228"/>
      <c r="BF673" s="228"/>
      <c r="BG673" s="228"/>
      <c r="BH673" s="228"/>
      <c r="BI673" s="228"/>
      <c r="BJ673" s="228"/>
      <c r="BK673" s="228"/>
      <c r="BL673" s="228"/>
      <c r="BM673" s="228"/>
      <c r="BN673" s="228"/>
      <c r="BO673" s="228"/>
      <c r="BP673" s="228"/>
      <c r="BQ673" s="228"/>
      <c r="BR673" s="228"/>
      <c r="BS673" s="228"/>
      <c r="BT673" s="228"/>
      <c r="BU673" s="228"/>
      <c r="BV673" s="228"/>
      <c r="BW673" s="228"/>
      <c r="BX673" s="228"/>
      <c r="BY673" s="228"/>
      <c r="BZ673" s="228"/>
      <c r="CA673" s="228"/>
      <c r="CB673" s="228"/>
      <c r="CC673" s="228"/>
      <c r="CD673" s="228"/>
      <c r="CE673" s="228"/>
      <c r="CF673" s="228"/>
      <c r="CG673" s="228"/>
      <c r="CH673" s="228"/>
      <c r="CI673" s="228"/>
      <c r="CJ673" s="228"/>
      <c r="CK673" s="228"/>
      <c r="CL673" s="228"/>
      <c r="CM673" s="228"/>
      <c r="CN673" s="228"/>
      <c r="CO673" s="228"/>
      <c r="CP673" s="228"/>
      <c r="CQ673" s="228"/>
      <c r="CR673" s="228"/>
      <c r="CS673" s="228"/>
      <c r="CT673" s="228"/>
      <c r="CU673" s="228"/>
      <c r="CV673" s="228"/>
      <c r="CW673" s="228"/>
      <c r="CX673" s="228"/>
      <c r="CY673" s="228"/>
      <c r="CZ673" s="228"/>
      <c r="DA673" s="228"/>
      <c r="DB673" s="228"/>
    </row>
    <row r="674" ht="12.0" customHeight="1">
      <c r="A674" s="228"/>
      <c r="B674" s="228"/>
      <c r="C674" s="228"/>
      <c r="D674" s="228"/>
      <c r="E674" s="228"/>
      <c r="F674" s="228"/>
      <c r="G674" s="228"/>
      <c r="H674" s="228"/>
      <c r="I674" s="228"/>
      <c r="J674" s="228"/>
      <c r="K674" s="228"/>
      <c r="L674" s="228"/>
      <c r="M674" s="228"/>
      <c r="N674" s="228"/>
      <c r="O674" s="228"/>
      <c r="P674" s="228"/>
      <c r="Q674" s="228"/>
      <c r="R674" s="228"/>
      <c r="S674" s="228"/>
      <c r="T674" s="228"/>
      <c r="U674" s="228"/>
      <c r="V674" s="228"/>
      <c r="W674" s="228"/>
      <c r="X674" s="228"/>
      <c r="Y674" s="228"/>
      <c r="Z674" s="228"/>
      <c r="AA674" s="228"/>
      <c r="AB674" s="228"/>
      <c r="AC674" s="228"/>
      <c r="AD674" s="228"/>
      <c r="AE674" s="228"/>
      <c r="AF674" s="228"/>
      <c r="AG674" s="228"/>
      <c r="AH674" s="228"/>
      <c r="AI674" s="228"/>
      <c r="AJ674" s="228"/>
      <c r="AK674" s="228"/>
      <c r="AL674" s="228"/>
      <c r="AM674" s="228"/>
      <c r="AN674" s="228"/>
      <c r="AO674" s="228"/>
      <c r="AP674" s="228"/>
      <c r="AQ674" s="228"/>
      <c r="AR674" s="228"/>
      <c r="AS674" s="228"/>
      <c r="AT674" s="228"/>
      <c r="AU674" s="228"/>
      <c r="AV674" s="228"/>
      <c r="AW674" s="228"/>
      <c r="AX674" s="228"/>
      <c r="AY674" s="228"/>
      <c r="AZ674" s="228"/>
      <c r="BA674" s="228"/>
      <c r="BB674" s="228"/>
      <c r="BC674" s="228"/>
      <c r="BD674" s="228"/>
      <c r="BE674" s="228"/>
      <c r="BF674" s="228"/>
      <c r="BG674" s="228"/>
      <c r="BH674" s="228"/>
      <c r="BI674" s="228"/>
      <c r="BJ674" s="228"/>
      <c r="BK674" s="228"/>
      <c r="BL674" s="228"/>
      <c r="BM674" s="228"/>
      <c r="BN674" s="228"/>
      <c r="BO674" s="228"/>
      <c r="BP674" s="228"/>
      <c r="BQ674" s="228"/>
      <c r="BR674" s="228"/>
      <c r="BS674" s="228"/>
      <c r="BT674" s="228"/>
      <c r="BU674" s="228"/>
      <c r="BV674" s="228"/>
      <c r="BW674" s="228"/>
      <c r="BX674" s="228"/>
      <c r="BY674" s="228"/>
      <c r="BZ674" s="228"/>
      <c r="CA674" s="228"/>
      <c r="CB674" s="228"/>
      <c r="CC674" s="228"/>
      <c r="CD674" s="228"/>
      <c r="CE674" s="228"/>
      <c r="CF674" s="228"/>
      <c r="CG674" s="228"/>
      <c r="CH674" s="228"/>
      <c r="CI674" s="228"/>
      <c r="CJ674" s="228"/>
      <c r="CK674" s="228"/>
      <c r="CL674" s="228"/>
      <c r="CM674" s="228"/>
      <c r="CN674" s="228"/>
      <c r="CO674" s="228"/>
      <c r="CP674" s="228"/>
      <c r="CQ674" s="228"/>
      <c r="CR674" s="228"/>
      <c r="CS674" s="228"/>
      <c r="CT674" s="228"/>
      <c r="CU674" s="228"/>
      <c r="CV674" s="228"/>
      <c r="CW674" s="228"/>
      <c r="CX674" s="228"/>
      <c r="CY674" s="228"/>
      <c r="CZ674" s="228"/>
      <c r="DA674" s="228"/>
      <c r="DB674" s="228"/>
    </row>
    <row r="675" ht="12.0" customHeight="1">
      <c r="A675" s="228"/>
      <c r="B675" s="228"/>
      <c r="C675" s="228"/>
      <c r="D675" s="228"/>
      <c r="E675" s="228"/>
      <c r="F675" s="228"/>
      <c r="G675" s="228"/>
      <c r="H675" s="228"/>
      <c r="I675" s="228"/>
      <c r="J675" s="228"/>
      <c r="K675" s="228"/>
      <c r="L675" s="228"/>
      <c r="M675" s="228"/>
      <c r="N675" s="228"/>
      <c r="O675" s="228"/>
      <c r="P675" s="228"/>
      <c r="Q675" s="228"/>
      <c r="R675" s="228"/>
      <c r="S675" s="228"/>
      <c r="T675" s="228"/>
      <c r="U675" s="228"/>
      <c r="V675" s="228"/>
      <c r="W675" s="228"/>
      <c r="X675" s="228"/>
      <c r="Y675" s="228"/>
      <c r="Z675" s="228"/>
      <c r="AA675" s="228"/>
      <c r="AB675" s="228"/>
      <c r="AC675" s="228"/>
      <c r="AD675" s="228"/>
      <c r="AE675" s="228"/>
      <c r="AF675" s="228"/>
      <c r="AG675" s="228"/>
      <c r="AH675" s="228"/>
      <c r="AI675" s="228"/>
      <c r="AJ675" s="228"/>
      <c r="AK675" s="228"/>
      <c r="AL675" s="228"/>
      <c r="AM675" s="228"/>
      <c r="AN675" s="228"/>
      <c r="AO675" s="228"/>
      <c r="AP675" s="228"/>
      <c r="AQ675" s="228"/>
      <c r="AR675" s="228"/>
      <c r="AS675" s="228"/>
      <c r="AT675" s="228"/>
      <c r="AU675" s="228"/>
      <c r="AV675" s="228"/>
      <c r="AW675" s="228"/>
      <c r="AX675" s="228"/>
      <c r="AY675" s="228"/>
      <c r="AZ675" s="228"/>
      <c r="BA675" s="228"/>
      <c r="BB675" s="228"/>
      <c r="BC675" s="228"/>
      <c r="BD675" s="228"/>
      <c r="BE675" s="228"/>
      <c r="BF675" s="228"/>
      <c r="BG675" s="228"/>
      <c r="BH675" s="228"/>
      <c r="BI675" s="228"/>
      <c r="BJ675" s="228"/>
      <c r="BK675" s="228"/>
      <c r="BL675" s="228"/>
      <c r="BM675" s="228"/>
      <c r="BN675" s="228"/>
      <c r="BO675" s="228"/>
      <c r="BP675" s="228"/>
      <c r="BQ675" s="228"/>
      <c r="BR675" s="228"/>
      <c r="BS675" s="228"/>
      <c r="BT675" s="228"/>
      <c r="BU675" s="228"/>
      <c r="BV675" s="228"/>
      <c r="BW675" s="228"/>
      <c r="BX675" s="228"/>
      <c r="BY675" s="228"/>
      <c r="BZ675" s="228"/>
      <c r="CA675" s="228"/>
      <c r="CB675" s="228"/>
      <c r="CC675" s="228"/>
      <c r="CD675" s="228"/>
      <c r="CE675" s="228"/>
      <c r="CF675" s="228"/>
      <c r="CG675" s="228"/>
      <c r="CH675" s="228"/>
      <c r="CI675" s="228"/>
      <c r="CJ675" s="228"/>
      <c r="CK675" s="228"/>
      <c r="CL675" s="228"/>
      <c r="CM675" s="228"/>
      <c r="CN675" s="228"/>
      <c r="CO675" s="228"/>
      <c r="CP675" s="228"/>
      <c r="CQ675" s="228"/>
      <c r="CR675" s="228"/>
      <c r="CS675" s="228"/>
      <c r="CT675" s="228"/>
      <c r="CU675" s="228"/>
      <c r="CV675" s="228"/>
      <c r="CW675" s="228"/>
      <c r="CX675" s="228"/>
      <c r="CY675" s="228"/>
      <c r="CZ675" s="228"/>
      <c r="DA675" s="228"/>
      <c r="DB675" s="228"/>
    </row>
    <row r="676" ht="12.0" customHeight="1">
      <c r="A676" s="228"/>
      <c r="B676" s="228"/>
      <c r="C676" s="228"/>
      <c r="D676" s="228"/>
      <c r="E676" s="228"/>
      <c r="F676" s="228"/>
      <c r="G676" s="228"/>
      <c r="H676" s="228"/>
      <c r="I676" s="228"/>
      <c r="J676" s="228"/>
      <c r="K676" s="228"/>
      <c r="L676" s="228"/>
      <c r="M676" s="228"/>
      <c r="N676" s="228"/>
      <c r="O676" s="228"/>
      <c r="P676" s="228"/>
      <c r="Q676" s="228"/>
      <c r="R676" s="228"/>
      <c r="S676" s="228"/>
      <c r="T676" s="228"/>
      <c r="U676" s="228"/>
      <c r="V676" s="228"/>
      <c r="W676" s="228"/>
      <c r="X676" s="228"/>
      <c r="Y676" s="228"/>
      <c r="Z676" s="228"/>
      <c r="AA676" s="228"/>
      <c r="AB676" s="228"/>
      <c r="AC676" s="228"/>
      <c r="AD676" s="228"/>
      <c r="AE676" s="228"/>
      <c r="AF676" s="228"/>
      <c r="AG676" s="228"/>
      <c r="AH676" s="228"/>
      <c r="AI676" s="228"/>
      <c r="AJ676" s="228"/>
      <c r="AK676" s="228"/>
      <c r="AL676" s="228"/>
      <c r="AM676" s="228"/>
      <c r="AN676" s="228"/>
      <c r="AO676" s="228"/>
      <c r="AP676" s="228"/>
      <c r="AQ676" s="228"/>
      <c r="AR676" s="228"/>
      <c r="AS676" s="228"/>
      <c r="AT676" s="228"/>
      <c r="AU676" s="228"/>
      <c r="AV676" s="228"/>
      <c r="AW676" s="228"/>
      <c r="AX676" s="228"/>
      <c r="AY676" s="228"/>
      <c r="AZ676" s="228"/>
      <c r="BA676" s="228"/>
      <c r="BB676" s="228"/>
      <c r="BC676" s="228"/>
      <c r="BD676" s="228"/>
      <c r="BE676" s="228"/>
      <c r="BF676" s="228"/>
      <c r="BG676" s="228"/>
      <c r="BH676" s="228"/>
      <c r="BI676" s="228"/>
      <c r="BJ676" s="228"/>
      <c r="BK676" s="228"/>
      <c r="BL676" s="228"/>
      <c r="BM676" s="228"/>
      <c r="BN676" s="228"/>
      <c r="BO676" s="228"/>
      <c r="BP676" s="228"/>
      <c r="BQ676" s="228"/>
      <c r="BR676" s="228"/>
      <c r="BS676" s="228"/>
      <c r="BT676" s="228"/>
      <c r="BU676" s="228"/>
      <c r="BV676" s="228"/>
      <c r="BW676" s="228"/>
      <c r="BX676" s="228"/>
      <c r="BY676" s="228"/>
      <c r="BZ676" s="228"/>
      <c r="CA676" s="228"/>
      <c r="CB676" s="228"/>
      <c r="CC676" s="228"/>
      <c r="CD676" s="228"/>
      <c r="CE676" s="228"/>
      <c r="CF676" s="228"/>
      <c r="CG676" s="228"/>
      <c r="CH676" s="228"/>
      <c r="CI676" s="228"/>
      <c r="CJ676" s="228"/>
      <c r="CK676" s="228"/>
      <c r="CL676" s="228"/>
      <c r="CM676" s="228"/>
      <c r="CN676" s="228"/>
      <c r="CO676" s="228"/>
      <c r="CP676" s="228"/>
      <c r="CQ676" s="228"/>
      <c r="CR676" s="228"/>
      <c r="CS676" s="228"/>
      <c r="CT676" s="228"/>
      <c r="CU676" s="228"/>
      <c r="CV676" s="228"/>
      <c r="CW676" s="228"/>
      <c r="CX676" s="228"/>
      <c r="CY676" s="228"/>
      <c r="CZ676" s="228"/>
      <c r="DA676" s="228"/>
      <c r="DB676" s="228"/>
    </row>
    <row r="677" ht="12.0" customHeight="1">
      <c r="A677" s="228"/>
      <c r="B677" s="228"/>
      <c r="C677" s="228"/>
      <c r="D677" s="228"/>
      <c r="E677" s="228"/>
      <c r="F677" s="228"/>
      <c r="G677" s="228"/>
      <c r="H677" s="228"/>
      <c r="I677" s="228"/>
      <c r="J677" s="228"/>
      <c r="K677" s="228"/>
      <c r="L677" s="228"/>
      <c r="M677" s="228"/>
      <c r="N677" s="228"/>
      <c r="O677" s="228"/>
      <c r="P677" s="228"/>
      <c r="Q677" s="228"/>
      <c r="R677" s="228"/>
      <c r="S677" s="228"/>
      <c r="T677" s="228"/>
      <c r="U677" s="228"/>
      <c r="V677" s="228"/>
      <c r="W677" s="228"/>
      <c r="X677" s="228"/>
      <c r="Y677" s="228"/>
      <c r="Z677" s="228"/>
      <c r="AA677" s="228"/>
      <c r="AB677" s="228"/>
      <c r="AC677" s="228"/>
      <c r="AD677" s="228"/>
      <c r="AE677" s="228"/>
      <c r="AF677" s="228"/>
      <c r="AG677" s="228"/>
      <c r="AH677" s="228"/>
      <c r="AI677" s="228"/>
      <c r="AJ677" s="228"/>
      <c r="AK677" s="228"/>
      <c r="AL677" s="228"/>
      <c r="AM677" s="228"/>
      <c r="AN677" s="228"/>
      <c r="AO677" s="228"/>
      <c r="AP677" s="228"/>
      <c r="AQ677" s="228"/>
      <c r="AR677" s="228"/>
      <c r="AS677" s="228"/>
      <c r="AT677" s="228"/>
      <c r="AU677" s="228"/>
      <c r="AV677" s="228"/>
      <c r="AW677" s="228"/>
      <c r="AX677" s="228"/>
      <c r="AY677" s="228"/>
      <c r="AZ677" s="228"/>
      <c r="BA677" s="228"/>
      <c r="BB677" s="228"/>
      <c r="BC677" s="228"/>
      <c r="BD677" s="228"/>
      <c r="BE677" s="228"/>
      <c r="BF677" s="228"/>
      <c r="BG677" s="228"/>
      <c r="BH677" s="228"/>
      <c r="BI677" s="228"/>
      <c r="BJ677" s="228"/>
      <c r="BK677" s="228"/>
      <c r="BL677" s="228"/>
      <c r="BM677" s="228"/>
      <c r="BN677" s="228"/>
      <c r="BO677" s="228"/>
      <c r="BP677" s="228"/>
      <c r="BQ677" s="228"/>
      <c r="BR677" s="228"/>
      <c r="BS677" s="228"/>
      <c r="BT677" s="228"/>
      <c r="BU677" s="228"/>
      <c r="BV677" s="228"/>
      <c r="BW677" s="228"/>
      <c r="BX677" s="228"/>
      <c r="BY677" s="228"/>
      <c r="BZ677" s="228"/>
      <c r="CA677" s="228"/>
      <c r="CB677" s="228"/>
      <c r="CC677" s="228"/>
      <c r="CD677" s="228"/>
      <c r="CE677" s="228"/>
      <c r="CF677" s="228"/>
      <c r="CG677" s="228"/>
      <c r="CH677" s="228"/>
      <c r="CI677" s="228"/>
      <c r="CJ677" s="228"/>
      <c r="CK677" s="228"/>
      <c r="CL677" s="228"/>
      <c r="CM677" s="228"/>
      <c r="CN677" s="228"/>
      <c r="CO677" s="228"/>
      <c r="CP677" s="228"/>
      <c r="CQ677" s="228"/>
      <c r="CR677" s="228"/>
      <c r="CS677" s="228"/>
      <c r="CT677" s="228"/>
      <c r="CU677" s="228"/>
      <c r="CV677" s="228"/>
      <c r="CW677" s="228"/>
      <c r="CX677" s="228"/>
      <c r="CY677" s="228"/>
      <c r="CZ677" s="228"/>
      <c r="DA677" s="228"/>
      <c r="DB677" s="228"/>
    </row>
    <row r="678" ht="12.0" customHeight="1">
      <c r="A678" s="228"/>
      <c r="B678" s="228"/>
      <c r="C678" s="228"/>
      <c r="D678" s="228"/>
      <c r="E678" s="228"/>
      <c r="F678" s="228"/>
      <c r="G678" s="228"/>
      <c r="H678" s="228"/>
      <c r="I678" s="228"/>
      <c r="J678" s="228"/>
      <c r="K678" s="228"/>
      <c r="L678" s="228"/>
      <c r="M678" s="228"/>
      <c r="N678" s="228"/>
      <c r="O678" s="228"/>
      <c r="P678" s="228"/>
      <c r="Q678" s="228"/>
      <c r="R678" s="228"/>
      <c r="S678" s="228"/>
      <c r="T678" s="228"/>
      <c r="U678" s="228"/>
      <c r="V678" s="228"/>
      <c r="W678" s="228"/>
      <c r="X678" s="228"/>
      <c r="Y678" s="228"/>
      <c r="Z678" s="228"/>
      <c r="AA678" s="228"/>
      <c r="AB678" s="228"/>
      <c r="AC678" s="228"/>
      <c r="AD678" s="228"/>
      <c r="AE678" s="228"/>
      <c r="AF678" s="228"/>
      <c r="AG678" s="228"/>
      <c r="AH678" s="228"/>
      <c r="AI678" s="228"/>
      <c r="AJ678" s="228"/>
      <c r="AK678" s="228"/>
      <c r="AL678" s="228"/>
      <c r="AM678" s="228"/>
      <c r="AN678" s="228"/>
      <c r="AO678" s="228"/>
      <c r="AP678" s="228"/>
      <c r="AQ678" s="228"/>
      <c r="AR678" s="228"/>
      <c r="AS678" s="228"/>
      <c r="AT678" s="228"/>
      <c r="AU678" s="228"/>
      <c r="AV678" s="228"/>
      <c r="AW678" s="228"/>
      <c r="AX678" s="228"/>
      <c r="AY678" s="228"/>
      <c r="AZ678" s="228"/>
      <c r="BA678" s="228"/>
      <c r="BB678" s="228"/>
      <c r="BC678" s="228"/>
      <c r="BD678" s="228"/>
      <c r="BE678" s="228"/>
      <c r="BF678" s="228"/>
      <c r="BG678" s="228"/>
      <c r="BH678" s="228"/>
      <c r="BI678" s="228"/>
      <c r="BJ678" s="228"/>
      <c r="BK678" s="228"/>
      <c r="BL678" s="228"/>
      <c r="BM678" s="228"/>
      <c r="BN678" s="228"/>
      <c r="BO678" s="228"/>
      <c r="BP678" s="228"/>
      <c r="BQ678" s="228"/>
      <c r="BR678" s="228"/>
      <c r="BS678" s="228"/>
      <c r="BT678" s="228"/>
      <c r="BU678" s="228"/>
      <c r="BV678" s="228"/>
      <c r="BW678" s="228"/>
      <c r="BX678" s="228"/>
      <c r="BY678" s="228"/>
      <c r="BZ678" s="228"/>
      <c r="CA678" s="228"/>
      <c r="CB678" s="228"/>
      <c r="CC678" s="228"/>
      <c r="CD678" s="228"/>
      <c r="CE678" s="228"/>
      <c r="CF678" s="228"/>
      <c r="CG678" s="228"/>
      <c r="CH678" s="228"/>
      <c r="CI678" s="228"/>
      <c r="CJ678" s="228"/>
      <c r="CK678" s="228"/>
      <c r="CL678" s="228"/>
      <c r="CM678" s="228"/>
      <c r="CN678" s="228"/>
      <c r="CO678" s="228"/>
      <c r="CP678" s="228"/>
      <c r="CQ678" s="228"/>
      <c r="CR678" s="228"/>
      <c r="CS678" s="228"/>
      <c r="CT678" s="228"/>
      <c r="CU678" s="228"/>
      <c r="CV678" s="228"/>
      <c r="CW678" s="228"/>
      <c r="CX678" s="228"/>
      <c r="CY678" s="228"/>
      <c r="CZ678" s="228"/>
      <c r="DA678" s="228"/>
      <c r="DB678" s="228"/>
    </row>
    <row r="679" ht="12.0" customHeight="1">
      <c r="A679" s="228"/>
      <c r="B679" s="228"/>
      <c r="C679" s="228"/>
      <c r="D679" s="228"/>
      <c r="E679" s="228"/>
      <c r="F679" s="228"/>
      <c r="G679" s="228"/>
      <c r="H679" s="228"/>
      <c r="I679" s="228"/>
      <c r="J679" s="228"/>
      <c r="K679" s="228"/>
      <c r="L679" s="228"/>
      <c r="M679" s="228"/>
      <c r="N679" s="228"/>
      <c r="O679" s="228"/>
      <c r="P679" s="228"/>
      <c r="Q679" s="228"/>
      <c r="R679" s="228"/>
      <c r="S679" s="228"/>
      <c r="T679" s="228"/>
      <c r="U679" s="228"/>
      <c r="V679" s="228"/>
      <c r="W679" s="228"/>
      <c r="X679" s="228"/>
      <c r="Y679" s="228"/>
      <c r="Z679" s="228"/>
      <c r="AA679" s="228"/>
      <c r="AB679" s="228"/>
      <c r="AC679" s="228"/>
      <c r="AD679" s="228"/>
      <c r="AE679" s="228"/>
      <c r="AF679" s="228"/>
      <c r="AG679" s="228"/>
      <c r="AH679" s="228"/>
      <c r="AI679" s="228"/>
      <c r="AJ679" s="228"/>
      <c r="AK679" s="228"/>
      <c r="AL679" s="228"/>
      <c r="AM679" s="228"/>
      <c r="AN679" s="228"/>
      <c r="AO679" s="228"/>
      <c r="AP679" s="228"/>
      <c r="AQ679" s="228"/>
      <c r="AR679" s="228"/>
      <c r="AS679" s="228"/>
      <c r="AT679" s="228"/>
      <c r="AU679" s="228"/>
      <c r="AV679" s="228"/>
      <c r="AW679" s="228"/>
      <c r="AX679" s="228"/>
      <c r="AY679" s="228"/>
      <c r="AZ679" s="228"/>
      <c r="BA679" s="228"/>
      <c r="BB679" s="228"/>
      <c r="BC679" s="228"/>
      <c r="BD679" s="228"/>
      <c r="BE679" s="228"/>
      <c r="BF679" s="228"/>
      <c r="BG679" s="228"/>
      <c r="BH679" s="228"/>
      <c r="BI679" s="228"/>
      <c r="BJ679" s="228"/>
      <c r="BK679" s="228"/>
      <c r="BL679" s="228"/>
      <c r="BM679" s="228"/>
      <c r="BN679" s="228"/>
      <c r="BO679" s="228"/>
      <c r="BP679" s="228"/>
      <c r="BQ679" s="228"/>
      <c r="BR679" s="228"/>
      <c r="BS679" s="228"/>
      <c r="BT679" s="228"/>
      <c r="BU679" s="228"/>
      <c r="BV679" s="228"/>
      <c r="BW679" s="228"/>
      <c r="BX679" s="228"/>
      <c r="BY679" s="228"/>
      <c r="BZ679" s="228"/>
      <c r="CA679" s="228"/>
      <c r="CB679" s="228"/>
      <c r="CC679" s="228"/>
      <c r="CD679" s="228"/>
      <c r="CE679" s="228"/>
      <c r="CF679" s="228"/>
      <c r="CG679" s="228"/>
      <c r="CH679" s="228"/>
      <c r="CI679" s="228"/>
      <c r="CJ679" s="228"/>
      <c r="CK679" s="228"/>
      <c r="CL679" s="228"/>
      <c r="CM679" s="228"/>
      <c r="CN679" s="228"/>
      <c r="CO679" s="228"/>
      <c r="CP679" s="228"/>
      <c r="CQ679" s="228"/>
      <c r="CR679" s="228"/>
      <c r="CS679" s="228"/>
      <c r="CT679" s="228"/>
      <c r="CU679" s="228"/>
      <c r="CV679" s="228"/>
      <c r="CW679" s="228"/>
      <c r="CX679" s="228"/>
      <c r="CY679" s="228"/>
      <c r="CZ679" s="228"/>
      <c r="DA679" s="228"/>
      <c r="DB679" s="228"/>
    </row>
    <row r="680" ht="12.0" customHeight="1">
      <c r="A680" s="228"/>
      <c r="B680" s="228"/>
      <c r="C680" s="228"/>
      <c r="D680" s="228"/>
      <c r="E680" s="228"/>
      <c r="F680" s="228"/>
      <c r="G680" s="228"/>
      <c r="H680" s="228"/>
      <c r="I680" s="228"/>
      <c r="J680" s="228"/>
      <c r="K680" s="228"/>
      <c r="L680" s="228"/>
      <c r="M680" s="228"/>
      <c r="N680" s="228"/>
      <c r="O680" s="228"/>
      <c r="P680" s="228"/>
      <c r="Q680" s="228"/>
      <c r="R680" s="228"/>
      <c r="S680" s="228"/>
      <c r="T680" s="228"/>
      <c r="U680" s="228"/>
      <c r="V680" s="228"/>
      <c r="W680" s="228"/>
      <c r="X680" s="228"/>
      <c r="Y680" s="228"/>
      <c r="Z680" s="228"/>
      <c r="AA680" s="228"/>
      <c r="AB680" s="228"/>
      <c r="AC680" s="228"/>
      <c r="AD680" s="228"/>
      <c r="AE680" s="228"/>
      <c r="AF680" s="228"/>
      <c r="AG680" s="228"/>
      <c r="AH680" s="228"/>
      <c r="AI680" s="228"/>
      <c r="AJ680" s="228"/>
      <c r="AK680" s="228"/>
      <c r="AL680" s="228"/>
      <c r="AM680" s="228"/>
      <c r="AN680" s="228"/>
      <c r="AO680" s="228"/>
      <c r="AP680" s="228"/>
      <c r="AQ680" s="228"/>
      <c r="AR680" s="228"/>
      <c r="AS680" s="228"/>
      <c r="AT680" s="228"/>
      <c r="AU680" s="228"/>
      <c r="AV680" s="228"/>
      <c r="AW680" s="228"/>
      <c r="AX680" s="228"/>
      <c r="AY680" s="228"/>
      <c r="AZ680" s="228"/>
      <c r="BA680" s="228"/>
      <c r="BB680" s="228"/>
      <c r="BC680" s="228"/>
      <c r="BD680" s="228"/>
      <c r="BE680" s="228"/>
      <c r="BF680" s="228"/>
      <c r="BG680" s="228"/>
      <c r="BH680" s="228"/>
      <c r="BI680" s="228"/>
      <c r="BJ680" s="228"/>
      <c r="BK680" s="228"/>
      <c r="BL680" s="228"/>
      <c r="BM680" s="228"/>
      <c r="BN680" s="228"/>
      <c r="BO680" s="228"/>
      <c r="BP680" s="228"/>
      <c r="BQ680" s="228"/>
      <c r="BR680" s="228"/>
      <c r="BS680" s="228"/>
      <c r="BT680" s="228"/>
      <c r="BU680" s="228"/>
      <c r="BV680" s="228"/>
      <c r="BW680" s="228"/>
      <c r="BX680" s="228"/>
      <c r="BY680" s="228"/>
      <c r="BZ680" s="228"/>
      <c r="CA680" s="228"/>
      <c r="CB680" s="228"/>
      <c r="CC680" s="228"/>
      <c r="CD680" s="228"/>
      <c r="CE680" s="228"/>
      <c r="CF680" s="228"/>
      <c r="CG680" s="228"/>
      <c r="CH680" s="228"/>
      <c r="CI680" s="228"/>
      <c r="CJ680" s="228"/>
      <c r="CK680" s="228"/>
      <c r="CL680" s="228"/>
      <c r="CM680" s="228"/>
      <c r="CN680" s="228"/>
      <c r="CO680" s="228"/>
      <c r="CP680" s="228"/>
      <c r="CQ680" s="228"/>
      <c r="CR680" s="228"/>
      <c r="CS680" s="228"/>
      <c r="CT680" s="228"/>
      <c r="CU680" s="228"/>
      <c r="CV680" s="228"/>
      <c r="CW680" s="228"/>
      <c r="CX680" s="228"/>
      <c r="CY680" s="228"/>
      <c r="CZ680" s="228"/>
      <c r="DA680" s="228"/>
      <c r="DB680" s="228"/>
    </row>
    <row r="681" ht="12.0" customHeight="1">
      <c r="A681" s="228"/>
      <c r="B681" s="228"/>
      <c r="C681" s="228"/>
      <c r="D681" s="228"/>
      <c r="E681" s="228"/>
      <c r="F681" s="228"/>
      <c r="G681" s="228"/>
      <c r="H681" s="228"/>
      <c r="I681" s="228"/>
      <c r="J681" s="228"/>
      <c r="K681" s="228"/>
      <c r="L681" s="228"/>
      <c r="M681" s="228"/>
      <c r="N681" s="228"/>
      <c r="O681" s="228"/>
      <c r="P681" s="228"/>
      <c r="Q681" s="228"/>
      <c r="R681" s="228"/>
      <c r="S681" s="228"/>
      <c r="T681" s="228"/>
      <c r="U681" s="228"/>
      <c r="V681" s="228"/>
      <c r="W681" s="228"/>
      <c r="X681" s="228"/>
      <c r="Y681" s="228"/>
      <c r="Z681" s="228"/>
      <c r="AA681" s="228"/>
      <c r="AB681" s="228"/>
      <c r="AC681" s="228"/>
      <c r="AD681" s="228"/>
      <c r="AE681" s="228"/>
      <c r="AF681" s="228"/>
      <c r="AG681" s="228"/>
      <c r="AH681" s="228"/>
      <c r="AI681" s="228"/>
      <c r="AJ681" s="228"/>
      <c r="AK681" s="228"/>
      <c r="AL681" s="228"/>
      <c r="AM681" s="228"/>
      <c r="AN681" s="228"/>
      <c r="AO681" s="228"/>
      <c r="AP681" s="228"/>
      <c r="AQ681" s="228"/>
      <c r="AR681" s="228"/>
      <c r="AS681" s="228"/>
      <c r="AT681" s="228"/>
      <c r="AU681" s="228"/>
      <c r="AV681" s="228"/>
      <c r="AW681" s="228"/>
      <c r="AX681" s="228"/>
      <c r="AY681" s="228"/>
      <c r="AZ681" s="228"/>
      <c r="BA681" s="228"/>
      <c r="BB681" s="228"/>
      <c r="BC681" s="228"/>
      <c r="BD681" s="228"/>
      <c r="BE681" s="228"/>
      <c r="BF681" s="228"/>
      <c r="BG681" s="228"/>
      <c r="BH681" s="228"/>
      <c r="BI681" s="228"/>
      <c r="BJ681" s="228"/>
      <c r="BK681" s="228"/>
      <c r="BL681" s="228"/>
      <c r="BM681" s="228"/>
      <c r="BN681" s="228"/>
      <c r="BO681" s="228"/>
      <c r="BP681" s="228"/>
      <c r="BQ681" s="228"/>
      <c r="BR681" s="228"/>
      <c r="BS681" s="228"/>
      <c r="BT681" s="228"/>
      <c r="BU681" s="228"/>
      <c r="BV681" s="228"/>
      <c r="BW681" s="228"/>
      <c r="BX681" s="228"/>
      <c r="BY681" s="228"/>
      <c r="BZ681" s="228"/>
      <c r="CA681" s="228"/>
      <c r="CB681" s="228"/>
      <c r="CC681" s="228"/>
      <c r="CD681" s="228"/>
      <c r="CE681" s="228"/>
      <c r="CF681" s="228"/>
      <c r="CG681" s="228"/>
      <c r="CH681" s="228"/>
      <c r="CI681" s="228"/>
      <c r="CJ681" s="228"/>
      <c r="CK681" s="228"/>
      <c r="CL681" s="228"/>
      <c r="CM681" s="228"/>
      <c r="CN681" s="228"/>
      <c r="CO681" s="228"/>
      <c r="CP681" s="228"/>
      <c r="CQ681" s="228"/>
      <c r="CR681" s="228"/>
      <c r="CS681" s="228"/>
      <c r="CT681" s="228"/>
      <c r="CU681" s="228"/>
      <c r="CV681" s="228"/>
      <c r="CW681" s="228"/>
      <c r="CX681" s="228"/>
      <c r="CY681" s="228"/>
      <c r="CZ681" s="228"/>
      <c r="DA681" s="228"/>
      <c r="DB681" s="228"/>
    </row>
    <row r="682" ht="12.0" customHeight="1">
      <c r="A682" s="228"/>
      <c r="B682" s="228"/>
      <c r="C682" s="228"/>
      <c r="D682" s="228"/>
      <c r="E682" s="228"/>
      <c r="F682" s="228"/>
      <c r="G682" s="228"/>
      <c r="H682" s="228"/>
      <c r="I682" s="228"/>
      <c r="J682" s="228"/>
      <c r="K682" s="228"/>
      <c r="L682" s="228"/>
      <c r="M682" s="228"/>
      <c r="N682" s="228"/>
      <c r="O682" s="228"/>
      <c r="P682" s="228"/>
      <c r="Q682" s="228"/>
      <c r="R682" s="228"/>
      <c r="S682" s="228"/>
      <c r="T682" s="228"/>
      <c r="U682" s="228"/>
      <c r="V682" s="228"/>
      <c r="W682" s="228"/>
      <c r="X682" s="228"/>
      <c r="Y682" s="228"/>
      <c r="Z682" s="228"/>
      <c r="AA682" s="228"/>
      <c r="AB682" s="228"/>
      <c r="AC682" s="228"/>
      <c r="AD682" s="228"/>
      <c r="AE682" s="228"/>
      <c r="AF682" s="228"/>
      <c r="AG682" s="228"/>
      <c r="AH682" s="228"/>
      <c r="AI682" s="228"/>
      <c r="AJ682" s="228"/>
      <c r="AK682" s="228"/>
      <c r="AL682" s="228"/>
      <c r="AM682" s="228"/>
      <c r="AN682" s="228"/>
      <c r="AO682" s="228"/>
      <c r="AP682" s="228"/>
      <c r="AQ682" s="228"/>
      <c r="AR682" s="228"/>
      <c r="AS682" s="228"/>
      <c r="AT682" s="228"/>
      <c r="AU682" s="228"/>
      <c r="AV682" s="228"/>
      <c r="AW682" s="228"/>
      <c r="AX682" s="228"/>
      <c r="AY682" s="228"/>
      <c r="AZ682" s="228"/>
      <c r="BA682" s="228"/>
      <c r="BB682" s="228"/>
      <c r="BC682" s="228"/>
      <c r="BD682" s="228"/>
      <c r="BE682" s="228"/>
      <c r="BF682" s="228"/>
      <c r="BG682" s="228"/>
      <c r="BH682" s="228"/>
      <c r="BI682" s="228"/>
      <c r="BJ682" s="228"/>
      <c r="BK682" s="228"/>
      <c r="BL682" s="228"/>
      <c r="BM682" s="228"/>
      <c r="BN682" s="228"/>
      <c r="BO682" s="228"/>
      <c r="BP682" s="228"/>
      <c r="BQ682" s="228"/>
      <c r="BR682" s="228"/>
      <c r="BS682" s="228"/>
      <c r="BT682" s="228"/>
      <c r="BU682" s="228"/>
      <c r="BV682" s="228"/>
      <c r="BW682" s="228"/>
      <c r="BX682" s="228"/>
      <c r="BY682" s="228"/>
      <c r="BZ682" s="228"/>
      <c r="CA682" s="228"/>
      <c r="CB682" s="228"/>
      <c r="CC682" s="228"/>
      <c r="CD682" s="228"/>
      <c r="CE682" s="228"/>
      <c r="CF682" s="228"/>
      <c r="CG682" s="228"/>
      <c r="CH682" s="228"/>
      <c r="CI682" s="228"/>
      <c r="CJ682" s="228"/>
      <c r="CK682" s="228"/>
      <c r="CL682" s="228"/>
      <c r="CM682" s="228"/>
      <c r="CN682" s="228"/>
      <c r="CO682" s="228"/>
      <c r="CP682" s="228"/>
      <c r="CQ682" s="228"/>
      <c r="CR682" s="228"/>
      <c r="CS682" s="228"/>
      <c r="CT682" s="228"/>
      <c r="CU682" s="228"/>
      <c r="CV682" s="228"/>
      <c r="CW682" s="228"/>
      <c r="CX682" s="228"/>
      <c r="CY682" s="228"/>
      <c r="CZ682" s="228"/>
      <c r="DA682" s="228"/>
      <c r="DB682" s="228"/>
    </row>
    <row r="683" ht="12.0" customHeight="1">
      <c r="A683" s="228"/>
      <c r="B683" s="228"/>
      <c r="C683" s="228"/>
      <c r="D683" s="228"/>
      <c r="E683" s="228"/>
      <c r="F683" s="228"/>
      <c r="G683" s="228"/>
      <c r="H683" s="228"/>
      <c r="I683" s="228"/>
      <c r="J683" s="228"/>
      <c r="K683" s="228"/>
      <c r="L683" s="228"/>
      <c r="M683" s="228"/>
      <c r="N683" s="228"/>
      <c r="O683" s="228"/>
      <c r="P683" s="228"/>
      <c r="Q683" s="228"/>
      <c r="R683" s="228"/>
      <c r="S683" s="228"/>
      <c r="T683" s="228"/>
      <c r="U683" s="228"/>
      <c r="V683" s="228"/>
      <c r="W683" s="228"/>
      <c r="X683" s="228"/>
      <c r="Y683" s="228"/>
      <c r="Z683" s="228"/>
      <c r="AA683" s="228"/>
      <c r="AB683" s="228"/>
      <c r="AC683" s="228"/>
      <c r="AD683" s="228"/>
      <c r="AE683" s="228"/>
      <c r="AF683" s="228"/>
      <c r="AG683" s="228"/>
      <c r="AH683" s="228"/>
      <c r="AI683" s="228"/>
      <c r="AJ683" s="228"/>
      <c r="AK683" s="228"/>
      <c r="AL683" s="228"/>
      <c r="AM683" s="228"/>
      <c r="AN683" s="228"/>
      <c r="AO683" s="228"/>
      <c r="AP683" s="228"/>
      <c r="AQ683" s="228"/>
      <c r="AR683" s="228"/>
      <c r="AS683" s="228"/>
      <c r="AT683" s="228"/>
      <c r="AU683" s="228"/>
      <c r="AV683" s="228"/>
      <c r="AW683" s="228"/>
      <c r="AX683" s="228"/>
      <c r="AY683" s="228"/>
      <c r="AZ683" s="228"/>
      <c r="BA683" s="228"/>
      <c r="BB683" s="228"/>
      <c r="BC683" s="228"/>
      <c r="BD683" s="228"/>
      <c r="BE683" s="228"/>
      <c r="BF683" s="228"/>
      <c r="BG683" s="228"/>
      <c r="BH683" s="228"/>
      <c r="BI683" s="228"/>
      <c r="BJ683" s="228"/>
      <c r="BK683" s="228"/>
      <c r="BL683" s="228"/>
      <c r="BM683" s="228"/>
      <c r="BN683" s="228"/>
      <c r="BO683" s="228"/>
      <c r="BP683" s="228"/>
      <c r="BQ683" s="228"/>
      <c r="BR683" s="228"/>
      <c r="BS683" s="228"/>
      <c r="BT683" s="228"/>
      <c r="BU683" s="228"/>
      <c r="BV683" s="228"/>
      <c r="BW683" s="228"/>
      <c r="BX683" s="228"/>
      <c r="BY683" s="228"/>
      <c r="BZ683" s="228"/>
      <c r="CA683" s="228"/>
      <c r="CB683" s="228"/>
      <c r="CC683" s="228"/>
      <c r="CD683" s="228"/>
      <c r="CE683" s="228"/>
      <c r="CF683" s="228"/>
      <c r="CG683" s="228"/>
      <c r="CH683" s="228"/>
      <c r="CI683" s="228"/>
      <c r="CJ683" s="228"/>
      <c r="CK683" s="228"/>
      <c r="CL683" s="228"/>
      <c r="CM683" s="228"/>
      <c r="CN683" s="228"/>
      <c r="CO683" s="228"/>
      <c r="CP683" s="228"/>
      <c r="CQ683" s="228"/>
      <c r="CR683" s="228"/>
      <c r="CS683" s="228"/>
      <c r="CT683" s="228"/>
      <c r="CU683" s="228"/>
      <c r="CV683" s="228"/>
      <c r="CW683" s="228"/>
      <c r="CX683" s="228"/>
      <c r="CY683" s="228"/>
      <c r="CZ683" s="228"/>
      <c r="DA683" s="228"/>
      <c r="DB683" s="228"/>
    </row>
    <row r="684" ht="12.0" customHeight="1">
      <c r="A684" s="228"/>
      <c r="B684" s="228"/>
      <c r="C684" s="228"/>
      <c r="D684" s="228"/>
      <c r="E684" s="228"/>
      <c r="F684" s="228"/>
      <c r="G684" s="228"/>
      <c r="H684" s="228"/>
      <c r="I684" s="228"/>
      <c r="J684" s="228"/>
      <c r="K684" s="228"/>
      <c r="L684" s="228"/>
      <c r="M684" s="228"/>
      <c r="N684" s="228"/>
      <c r="O684" s="228"/>
      <c r="P684" s="228"/>
      <c r="Q684" s="228"/>
      <c r="R684" s="228"/>
      <c r="S684" s="228"/>
      <c r="T684" s="228"/>
      <c r="U684" s="228"/>
      <c r="V684" s="228"/>
      <c r="W684" s="228"/>
      <c r="X684" s="228"/>
      <c r="Y684" s="228"/>
      <c r="Z684" s="228"/>
      <c r="AA684" s="228"/>
      <c r="AB684" s="228"/>
      <c r="AC684" s="228"/>
      <c r="AD684" s="228"/>
      <c r="AE684" s="228"/>
      <c r="AF684" s="228"/>
      <c r="AG684" s="228"/>
      <c r="AH684" s="228"/>
      <c r="AI684" s="228"/>
      <c r="AJ684" s="228"/>
      <c r="AK684" s="228"/>
      <c r="AL684" s="228"/>
      <c r="AM684" s="228"/>
      <c r="AN684" s="228"/>
      <c r="AO684" s="228"/>
      <c r="AP684" s="228"/>
      <c r="AQ684" s="228"/>
      <c r="AR684" s="228"/>
      <c r="AS684" s="228"/>
      <c r="AT684" s="228"/>
      <c r="AU684" s="228"/>
      <c r="AV684" s="228"/>
      <c r="AW684" s="228"/>
      <c r="AX684" s="228"/>
      <c r="AY684" s="228"/>
      <c r="AZ684" s="228"/>
      <c r="BA684" s="228"/>
      <c r="BB684" s="228"/>
      <c r="BC684" s="228"/>
      <c r="BD684" s="228"/>
      <c r="BE684" s="228"/>
      <c r="BF684" s="228"/>
      <c r="BG684" s="228"/>
      <c r="BH684" s="228"/>
      <c r="BI684" s="228"/>
      <c r="BJ684" s="228"/>
      <c r="BK684" s="228"/>
      <c r="BL684" s="228"/>
      <c r="BM684" s="228"/>
      <c r="BN684" s="228"/>
      <c r="BO684" s="228"/>
      <c r="BP684" s="228"/>
      <c r="BQ684" s="228"/>
      <c r="BR684" s="228"/>
      <c r="BS684" s="228"/>
      <c r="BT684" s="228"/>
      <c r="BU684" s="228"/>
      <c r="BV684" s="228"/>
      <c r="BW684" s="228"/>
      <c r="BX684" s="228"/>
      <c r="BY684" s="228"/>
      <c r="BZ684" s="228"/>
      <c r="CA684" s="228"/>
      <c r="CB684" s="228"/>
      <c r="CC684" s="228"/>
      <c r="CD684" s="228"/>
      <c r="CE684" s="228"/>
      <c r="CF684" s="228"/>
      <c r="CG684" s="228"/>
      <c r="CH684" s="228"/>
      <c r="CI684" s="228"/>
      <c r="CJ684" s="228"/>
      <c r="CK684" s="228"/>
      <c r="CL684" s="228"/>
      <c r="CM684" s="228"/>
      <c r="CN684" s="228"/>
      <c r="CO684" s="228"/>
      <c r="CP684" s="228"/>
      <c r="CQ684" s="228"/>
      <c r="CR684" s="228"/>
      <c r="CS684" s="228"/>
      <c r="CT684" s="228"/>
      <c r="CU684" s="228"/>
      <c r="CV684" s="228"/>
      <c r="CW684" s="228"/>
      <c r="CX684" s="228"/>
      <c r="CY684" s="228"/>
      <c r="CZ684" s="228"/>
      <c r="DA684" s="228"/>
      <c r="DB684" s="228"/>
    </row>
    <row r="685" ht="12.0" customHeight="1">
      <c r="A685" s="228"/>
      <c r="B685" s="228"/>
      <c r="C685" s="228"/>
      <c r="D685" s="228"/>
      <c r="E685" s="228"/>
      <c r="F685" s="228"/>
      <c r="G685" s="228"/>
      <c r="H685" s="228"/>
      <c r="I685" s="228"/>
      <c r="J685" s="228"/>
      <c r="K685" s="228"/>
      <c r="L685" s="228"/>
      <c r="M685" s="228"/>
      <c r="N685" s="228"/>
      <c r="O685" s="228"/>
      <c r="P685" s="228"/>
      <c r="Q685" s="228"/>
      <c r="R685" s="228"/>
      <c r="S685" s="228"/>
      <c r="T685" s="228"/>
      <c r="U685" s="228"/>
      <c r="V685" s="228"/>
      <c r="W685" s="228"/>
      <c r="X685" s="228"/>
      <c r="Y685" s="228"/>
      <c r="Z685" s="228"/>
      <c r="AA685" s="228"/>
      <c r="AB685" s="228"/>
      <c r="AC685" s="228"/>
      <c r="AD685" s="228"/>
      <c r="AE685" s="228"/>
      <c r="AF685" s="228"/>
      <c r="AG685" s="228"/>
      <c r="AH685" s="228"/>
      <c r="AI685" s="228"/>
      <c r="AJ685" s="228"/>
      <c r="AK685" s="228"/>
      <c r="AL685" s="228"/>
      <c r="AM685" s="228"/>
      <c r="AN685" s="228"/>
      <c r="AO685" s="228"/>
      <c r="AP685" s="228"/>
      <c r="AQ685" s="228"/>
      <c r="AR685" s="228"/>
      <c r="AS685" s="228"/>
      <c r="AT685" s="228"/>
      <c r="AU685" s="228"/>
      <c r="AV685" s="228"/>
      <c r="AW685" s="228"/>
      <c r="AX685" s="228"/>
      <c r="AY685" s="228"/>
      <c r="AZ685" s="228"/>
      <c r="BA685" s="228"/>
      <c r="BB685" s="228"/>
      <c r="BC685" s="228"/>
      <c r="BD685" s="228"/>
      <c r="BE685" s="228"/>
      <c r="BF685" s="228"/>
      <c r="BG685" s="228"/>
      <c r="BH685" s="228"/>
      <c r="BI685" s="228"/>
      <c r="BJ685" s="228"/>
      <c r="BK685" s="228"/>
      <c r="BL685" s="228"/>
      <c r="BM685" s="228"/>
      <c r="BN685" s="228"/>
      <c r="BO685" s="228"/>
      <c r="BP685" s="228"/>
      <c r="BQ685" s="228"/>
      <c r="BR685" s="228"/>
      <c r="BS685" s="228"/>
      <c r="BT685" s="228"/>
      <c r="BU685" s="228"/>
      <c r="BV685" s="228"/>
      <c r="BW685" s="228"/>
      <c r="BX685" s="228"/>
      <c r="BY685" s="228"/>
      <c r="BZ685" s="228"/>
      <c r="CA685" s="228"/>
      <c r="CB685" s="228"/>
      <c r="CC685" s="228"/>
      <c r="CD685" s="228"/>
      <c r="CE685" s="228"/>
      <c r="CF685" s="228"/>
      <c r="CG685" s="228"/>
      <c r="CH685" s="228"/>
      <c r="CI685" s="228"/>
      <c r="CJ685" s="228"/>
      <c r="CK685" s="228"/>
      <c r="CL685" s="228"/>
      <c r="CM685" s="228"/>
      <c r="CN685" s="228"/>
      <c r="CO685" s="228"/>
      <c r="CP685" s="228"/>
      <c r="CQ685" s="228"/>
      <c r="CR685" s="228"/>
      <c r="CS685" s="228"/>
      <c r="CT685" s="228"/>
      <c r="CU685" s="228"/>
      <c r="CV685" s="228"/>
      <c r="CW685" s="228"/>
      <c r="CX685" s="228"/>
      <c r="CY685" s="228"/>
      <c r="CZ685" s="228"/>
      <c r="DA685" s="228"/>
      <c r="DB685" s="228"/>
    </row>
    <row r="686" ht="12.0" customHeight="1">
      <c r="A686" s="228"/>
      <c r="B686" s="228"/>
      <c r="C686" s="228"/>
      <c r="D686" s="228"/>
      <c r="E686" s="228"/>
      <c r="F686" s="228"/>
      <c r="G686" s="228"/>
      <c r="H686" s="228"/>
      <c r="I686" s="228"/>
      <c r="J686" s="228"/>
      <c r="K686" s="228"/>
      <c r="L686" s="228"/>
      <c r="M686" s="228"/>
      <c r="N686" s="228"/>
      <c r="O686" s="228"/>
      <c r="P686" s="228"/>
      <c r="Q686" s="228"/>
      <c r="R686" s="228"/>
      <c r="S686" s="228"/>
      <c r="T686" s="228"/>
      <c r="U686" s="228"/>
      <c r="V686" s="228"/>
      <c r="W686" s="228"/>
      <c r="X686" s="228"/>
      <c r="Y686" s="228"/>
      <c r="Z686" s="228"/>
      <c r="AA686" s="228"/>
      <c r="AB686" s="228"/>
      <c r="AC686" s="228"/>
      <c r="AD686" s="228"/>
      <c r="AE686" s="228"/>
      <c r="AF686" s="228"/>
      <c r="AG686" s="228"/>
      <c r="AH686" s="228"/>
      <c r="AI686" s="228"/>
      <c r="AJ686" s="228"/>
      <c r="AK686" s="228"/>
      <c r="AL686" s="228"/>
      <c r="AM686" s="228"/>
      <c r="AN686" s="228"/>
      <c r="AO686" s="228"/>
      <c r="AP686" s="228"/>
      <c r="AQ686" s="228"/>
      <c r="AR686" s="228"/>
      <c r="AS686" s="228"/>
      <c r="AT686" s="228"/>
      <c r="AU686" s="228"/>
      <c r="AV686" s="228"/>
      <c r="AW686" s="228"/>
      <c r="AX686" s="228"/>
      <c r="AY686" s="228"/>
      <c r="AZ686" s="228"/>
      <c r="BA686" s="228"/>
      <c r="BB686" s="228"/>
      <c r="BC686" s="228"/>
      <c r="BD686" s="228"/>
      <c r="BE686" s="228"/>
      <c r="BF686" s="228"/>
      <c r="BG686" s="228"/>
      <c r="BH686" s="228"/>
      <c r="BI686" s="228"/>
      <c r="BJ686" s="228"/>
      <c r="BK686" s="228"/>
      <c r="BL686" s="228"/>
      <c r="BM686" s="228"/>
      <c r="BN686" s="228"/>
      <c r="BO686" s="228"/>
      <c r="BP686" s="228"/>
      <c r="BQ686" s="228"/>
      <c r="BR686" s="228"/>
      <c r="BS686" s="228"/>
      <c r="BT686" s="228"/>
      <c r="BU686" s="228"/>
      <c r="BV686" s="228"/>
      <c r="BW686" s="228"/>
      <c r="BX686" s="228"/>
      <c r="BY686" s="228"/>
      <c r="BZ686" s="228"/>
      <c r="CA686" s="228"/>
      <c r="CB686" s="228"/>
      <c r="CC686" s="228"/>
      <c r="CD686" s="228"/>
      <c r="CE686" s="228"/>
      <c r="CF686" s="228"/>
      <c r="CG686" s="228"/>
      <c r="CH686" s="228"/>
      <c r="CI686" s="228"/>
      <c r="CJ686" s="228"/>
      <c r="CK686" s="228"/>
      <c r="CL686" s="228"/>
      <c r="CM686" s="228"/>
      <c r="CN686" s="228"/>
      <c r="CO686" s="228"/>
      <c r="CP686" s="228"/>
      <c r="CQ686" s="228"/>
      <c r="CR686" s="228"/>
      <c r="CS686" s="228"/>
      <c r="CT686" s="228"/>
      <c r="CU686" s="228"/>
      <c r="CV686" s="228"/>
      <c r="CW686" s="228"/>
      <c r="CX686" s="228"/>
      <c r="CY686" s="228"/>
      <c r="CZ686" s="228"/>
      <c r="DA686" s="228"/>
      <c r="DB686" s="228"/>
    </row>
    <row r="687" ht="12.0" customHeight="1">
      <c r="A687" s="228"/>
      <c r="B687" s="228"/>
      <c r="C687" s="228"/>
      <c r="D687" s="228"/>
      <c r="E687" s="228"/>
      <c r="F687" s="228"/>
      <c r="G687" s="228"/>
      <c r="H687" s="228"/>
      <c r="I687" s="228"/>
      <c r="J687" s="228"/>
      <c r="K687" s="228"/>
      <c r="L687" s="228"/>
      <c r="M687" s="228"/>
      <c r="N687" s="228"/>
      <c r="O687" s="228"/>
      <c r="P687" s="228"/>
      <c r="Q687" s="228"/>
      <c r="R687" s="228"/>
      <c r="S687" s="228"/>
      <c r="T687" s="228"/>
      <c r="U687" s="228"/>
      <c r="V687" s="228"/>
      <c r="W687" s="228"/>
      <c r="X687" s="228"/>
      <c r="Y687" s="228"/>
      <c r="Z687" s="228"/>
      <c r="AA687" s="228"/>
      <c r="AB687" s="228"/>
      <c r="AC687" s="228"/>
      <c r="AD687" s="228"/>
      <c r="AE687" s="228"/>
      <c r="AF687" s="228"/>
      <c r="AG687" s="228"/>
      <c r="AH687" s="228"/>
      <c r="AI687" s="228"/>
      <c r="AJ687" s="228"/>
      <c r="AK687" s="228"/>
      <c r="AL687" s="228"/>
      <c r="AM687" s="228"/>
      <c r="AN687" s="228"/>
      <c r="AO687" s="228"/>
      <c r="AP687" s="228"/>
      <c r="AQ687" s="228"/>
      <c r="AR687" s="228"/>
      <c r="AS687" s="228"/>
      <c r="AT687" s="228"/>
      <c r="AU687" s="228"/>
      <c r="AV687" s="228"/>
      <c r="AW687" s="228"/>
      <c r="AX687" s="228"/>
      <c r="AY687" s="228"/>
      <c r="AZ687" s="228"/>
      <c r="BA687" s="228"/>
      <c r="BB687" s="228"/>
      <c r="BC687" s="228"/>
      <c r="BD687" s="228"/>
      <c r="BE687" s="228"/>
      <c r="BF687" s="228"/>
      <c r="BG687" s="228"/>
      <c r="BH687" s="228"/>
      <c r="BI687" s="228"/>
      <c r="BJ687" s="228"/>
      <c r="BK687" s="228"/>
      <c r="BL687" s="228"/>
      <c r="BM687" s="228"/>
      <c r="BN687" s="228"/>
      <c r="BO687" s="228"/>
      <c r="BP687" s="228"/>
      <c r="BQ687" s="228"/>
      <c r="BR687" s="228"/>
      <c r="BS687" s="228"/>
      <c r="BT687" s="228"/>
      <c r="BU687" s="228"/>
      <c r="BV687" s="228"/>
      <c r="BW687" s="228"/>
      <c r="BX687" s="228"/>
      <c r="BY687" s="228"/>
      <c r="BZ687" s="228"/>
      <c r="CA687" s="228"/>
      <c r="CB687" s="228"/>
      <c r="CC687" s="228"/>
      <c r="CD687" s="228"/>
      <c r="CE687" s="228"/>
      <c r="CF687" s="228"/>
      <c r="CG687" s="228"/>
      <c r="CH687" s="228"/>
      <c r="CI687" s="228"/>
      <c r="CJ687" s="228"/>
      <c r="CK687" s="228"/>
      <c r="CL687" s="228"/>
      <c r="CM687" s="228"/>
      <c r="CN687" s="228"/>
      <c r="CO687" s="228"/>
      <c r="CP687" s="228"/>
      <c r="CQ687" s="228"/>
      <c r="CR687" s="228"/>
      <c r="CS687" s="228"/>
      <c r="CT687" s="228"/>
      <c r="CU687" s="228"/>
      <c r="CV687" s="228"/>
      <c r="CW687" s="228"/>
      <c r="CX687" s="228"/>
      <c r="CY687" s="228"/>
      <c r="CZ687" s="228"/>
      <c r="DA687" s="228"/>
      <c r="DB687" s="228"/>
    </row>
    <row r="688" ht="12.0" customHeight="1">
      <c r="A688" s="228"/>
      <c r="B688" s="228"/>
      <c r="C688" s="228"/>
      <c r="D688" s="228"/>
      <c r="E688" s="228"/>
      <c r="F688" s="228"/>
      <c r="G688" s="228"/>
      <c r="H688" s="228"/>
      <c r="I688" s="228"/>
      <c r="J688" s="228"/>
      <c r="K688" s="228"/>
      <c r="L688" s="228"/>
      <c r="M688" s="228"/>
      <c r="N688" s="228"/>
      <c r="O688" s="228"/>
      <c r="P688" s="228"/>
      <c r="Q688" s="228"/>
      <c r="R688" s="228"/>
      <c r="S688" s="228"/>
      <c r="T688" s="228"/>
      <c r="U688" s="228"/>
      <c r="V688" s="228"/>
      <c r="W688" s="228"/>
      <c r="X688" s="228"/>
      <c r="Y688" s="228"/>
      <c r="Z688" s="228"/>
      <c r="AA688" s="228"/>
      <c r="AB688" s="228"/>
      <c r="AC688" s="228"/>
      <c r="AD688" s="228"/>
      <c r="AE688" s="228"/>
      <c r="AF688" s="228"/>
      <c r="AG688" s="228"/>
      <c r="AH688" s="228"/>
      <c r="AI688" s="228"/>
      <c r="AJ688" s="228"/>
      <c r="AK688" s="228"/>
      <c r="AL688" s="228"/>
      <c r="AM688" s="228"/>
      <c r="AN688" s="228"/>
      <c r="AO688" s="228"/>
      <c r="AP688" s="228"/>
      <c r="AQ688" s="228"/>
      <c r="AR688" s="228"/>
      <c r="AS688" s="228"/>
      <c r="AT688" s="228"/>
      <c r="AU688" s="228"/>
      <c r="AV688" s="228"/>
      <c r="AW688" s="228"/>
      <c r="AX688" s="228"/>
      <c r="AY688" s="228"/>
      <c r="AZ688" s="228"/>
      <c r="BA688" s="228"/>
      <c r="BB688" s="228"/>
      <c r="BC688" s="228"/>
      <c r="BD688" s="228"/>
      <c r="BE688" s="228"/>
      <c r="BF688" s="228"/>
      <c r="BG688" s="228"/>
      <c r="BH688" s="228"/>
      <c r="BI688" s="228"/>
      <c r="BJ688" s="228"/>
      <c r="BK688" s="228"/>
      <c r="BL688" s="228"/>
      <c r="BM688" s="228"/>
      <c r="BN688" s="228"/>
      <c r="BO688" s="228"/>
      <c r="BP688" s="228"/>
      <c r="BQ688" s="228"/>
      <c r="BR688" s="228"/>
      <c r="BS688" s="228"/>
      <c r="BT688" s="228"/>
      <c r="BU688" s="228"/>
      <c r="BV688" s="228"/>
      <c r="BW688" s="228"/>
      <c r="BX688" s="228"/>
      <c r="BY688" s="228"/>
      <c r="BZ688" s="228"/>
      <c r="CA688" s="228"/>
      <c r="CB688" s="228"/>
      <c r="CC688" s="228"/>
      <c r="CD688" s="228"/>
      <c r="CE688" s="228"/>
      <c r="CF688" s="228"/>
      <c r="CG688" s="228"/>
      <c r="CH688" s="228"/>
      <c r="CI688" s="228"/>
      <c r="CJ688" s="228"/>
      <c r="CK688" s="228"/>
      <c r="CL688" s="228"/>
      <c r="CM688" s="228"/>
      <c r="CN688" s="228"/>
      <c r="CO688" s="228"/>
      <c r="CP688" s="228"/>
      <c r="CQ688" s="228"/>
      <c r="CR688" s="228"/>
      <c r="CS688" s="228"/>
      <c r="CT688" s="228"/>
      <c r="CU688" s="228"/>
      <c r="CV688" s="228"/>
      <c r="CW688" s="228"/>
      <c r="CX688" s="228"/>
      <c r="CY688" s="228"/>
      <c r="CZ688" s="228"/>
      <c r="DA688" s="228"/>
      <c r="DB688" s="228"/>
    </row>
    <row r="689" ht="12.0" customHeight="1">
      <c r="A689" s="228"/>
      <c r="B689" s="228"/>
      <c r="C689" s="228"/>
      <c r="D689" s="228"/>
      <c r="E689" s="228"/>
      <c r="F689" s="228"/>
      <c r="G689" s="228"/>
      <c r="H689" s="228"/>
      <c r="I689" s="228"/>
      <c r="J689" s="228"/>
      <c r="K689" s="228"/>
      <c r="L689" s="228"/>
      <c r="M689" s="228"/>
      <c r="N689" s="228"/>
      <c r="O689" s="228"/>
      <c r="P689" s="228"/>
      <c r="Q689" s="228"/>
      <c r="R689" s="228"/>
      <c r="S689" s="228"/>
      <c r="T689" s="228"/>
      <c r="U689" s="228"/>
      <c r="V689" s="228"/>
      <c r="W689" s="228"/>
      <c r="X689" s="228"/>
      <c r="Y689" s="228"/>
      <c r="Z689" s="228"/>
      <c r="AA689" s="228"/>
      <c r="AB689" s="228"/>
      <c r="AC689" s="228"/>
      <c r="AD689" s="228"/>
      <c r="AE689" s="228"/>
      <c r="AF689" s="228"/>
      <c r="AG689" s="228"/>
      <c r="AH689" s="228"/>
      <c r="AI689" s="228"/>
      <c r="AJ689" s="228"/>
      <c r="AK689" s="228"/>
      <c r="AL689" s="228"/>
      <c r="AM689" s="228"/>
      <c r="AN689" s="228"/>
      <c r="AO689" s="228"/>
      <c r="AP689" s="228"/>
      <c r="AQ689" s="228"/>
      <c r="AR689" s="228"/>
      <c r="AS689" s="228"/>
      <c r="AT689" s="228"/>
      <c r="AU689" s="228"/>
      <c r="AV689" s="228"/>
      <c r="AW689" s="228"/>
      <c r="AX689" s="228"/>
      <c r="AY689" s="228"/>
      <c r="AZ689" s="228"/>
      <c r="BA689" s="228"/>
      <c r="BB689" s="228"/>
      <c r="BC689" s="228"/>
      <c r="BD689" s="228"/>
      <c r="BE689" s="228"/>
      <c r="BF689" s="228"/>
      <c r="BG689" s="228"/>
      <c r="BH689" s="228"/>
      <c r="BI689" s="228"/>
      <c r="BJ689" s="228"/>
      <c r="BK689" s="228"/>
      <c r="BL689" s="228"/>
      <c r="BM689" s="228"/>
      <c r="BN689" s="228"/>
      <c r="BO689" s="228"/>
      <c r="BP689" s="228"/>
      <c r="BQ689" s="228"/>
      <c r="BR689" s="228"/>
      <c r="BS689" s="228"/>
      <c r="BT689" s="228"/>
      <c r="BU689" s="228"/>
      <c r="BV689" s="228"/>
      <c r="BW689" s="228"/>
      <c r="BX689" s="228"/>
      <c r="BY689" s="228"/>
      <c r="BZ689" s="228"/>
      <c r="CA689" s="228"/>
      <c r="CB689" s="228"/>
      <c r="CC689" s="228"/>
      <c r="CD689" s="228"/>
      <c r="CE689" s="228"/>
      <c r="CF689" s="228"/>
      <c r="CG689" s="228"/>
      <c r="CH689" s="228"/>
      <c r="CI689" s="228"/>
      <c r="CJ689" s="228"/>
      <c r="CK689" s="228"/>
      <c r="CL689" s="228"/>
      <c r="CM689" s="228"/>
      <c r="CN689" s="228"/>
      <c r="CO689" s="228"/>
      <c r="CP689" s="228"/>
      <c r="CQ689" s="228"/>
      <c r="CR689" s="228"/>
      <c r="CS689" s="228"/>
      <c r="CT689" s="228"/>
      <c r="CU689" s="228"/>
      <c r="CV689" s="228"/>
      <c r="CW689" s="228"/>
      <c r="CX689" s="228"/>
      <c r="CY689" s="228"/>
      <c r="CZ689" s="228"/>
      <c r="DA689" s="228"/>
      <c r="DB689" s="228"/>
    </row>
    <row r="690" ht="12.0" customHeight="1">
      <c r="A690" s="228"/>
      <c r="B690" s="228"/>
      <c r="C690" s="228"/>
      <c r="D690" s="228"/>
      <c r="E690" s="228"/>
      <c r="F690" s="228"/>
      <c r="G690" s="228"/>
      <c r="H690" s="228"/>
      <c r="I690" s="228"/>
      <c r="J690" s="228"/>
      <c r="K690" s="228"/>
      <c r="L690" s="228"/>
      <c r="M690" s="228"/>
      <c r="N690" s="228"/>
      <c r="O690" s="228"/>
      <c r="P690" s="228"/>
      <c r="Q690" s="228"/>
      <c r="R690" s="228"/>
      <c r="S690" s="228"/>
      <c r="T690" s="228"/>
      <c r="U690" s="228"/>
      <c r="V690" s="228"/>
      <c r="W690" s="228"/>
      <c r="X690" s="228"/>
      <c r="Y690" s="228"/>
      <c r="Z690" s="228"/>
      <c r="AA690" s="228"/>
      <c r="AB690" s="228"/>
      <c r="AC690" s="228"/>
      <c r="AD690" s="228"/>
      <c r="AE690" s="228"/>
      <c r="AF690" s="228"/>
      <c r="AG690" s="228"/>
      <c r="AH690" s="228"/>
      <c r="AI690" s="228"/>
      <c r="AJ690" s="228"/>
      <c r="AK690" s="228"/>
      <c r="AL690" s="228"/>
      <c r="AM690" s="228"/>
      <c r="AN690" s="228"/>
      <c r="AO690" s="228"/>
      <c r="AP690" s="228"/>
      <c r="AQ690" s="228"/>
      <c r="AR690" s="228"/>
      <c r="AS690" s="228"/>
      <c r="AT690" s="228"/>
      <c r="AU690" s="228"/>
      <c r="AV690" s="228"/>
      <c r="AW690" s="228"/>
      <c r="AX690" s="228"/>
      <c r="AY690" s="228"/>
      <c r="AZ690" s="228"/>
      <c r="BA690" s="228"/>
      <c r="BB690" s="228"/>
      <c r="BC690" s="228"/>
      <c r="BD690" s="228"/>
      <c r="BE690" s="228"/>
      <c r="BF690" s="228"/>
      <c r="BG690" s="228"/>
      <c r="BH690" s="228"/>
      <c r="BI690" s="228"/>
      <c r="BJ690" s="228"/>
      <c r="BK690" s="228"/>
      <c r="BL690" s="228"/>
      <c r="BM690" s="228"/>
      <c r="BN690" s="228"/>
      <c r="BO690" s="228"/>
      <c r="BP690" s="228"/>
      <c r="BQ690" s="228"/>
      <c r="BR690" s="228"/>
      <c r="BS690" s="228"/>
      <c r="BT690" s="228"/>
      <c r="BU690" s="228"/>
      <c r="BV690" s="228"/>
      <c r="BW690" s="228"/>
      <c r="BX690" s="228"/>
      <c r="BY690" s="228"/>
      <c r="BZ690" s="228"/>
      <c r="CA690" s="228"/>
      <c r="CB690" s="228"/>
      <c r="CC690" s="228"/>
      <c r="CD690" s="228"/>
      <c r="CE690" s="228"/>
      <c r="CF690" s="228"/>
      <c r="CG690" s="228"/>
      <c r="CH690" s="228"/>
      <c r="CI690" s="228"/>
      <c r="CJ690" s="228"/>
      <c r="CK690" s="228"/>
      <c r="CL690" s="228"/>
      <c r="CM690" s="228"/>
      <c r="CN690" s="228"/>
      <c r="CO690" s="228"/>
      <c r="CP690" s="228"/>
      <c r="CQ690" s="228"/>
      <c r="CR690" s="228"/>
      <c r="CS690" s="228"/>
      <c r="CT690" s="228"/>
      <c r="CU690" s="228"/>
      <c r="CV690" s="228"/>
      <c r="CW690" s="228"/>
      <c r="CX690" s="228"/>
      <c r="CY690" s="228"/>
      <c r="CZ690" s="228"/>
      <c r="DA690" s="228"/>
      <c r="DB690" s="228"/>
    </row>
    <row r="691" ht="12.0" customHeight="1">
      <c r="A691" s="228"/>
      <c r="B691" s="228"/>
      <c r="C691" s="228"/>
      <c r="D691" s="228"/>
      <c r="E691" s="228"/>
      <c r="F691" s="228"/>
      <c r="G691" s="228"/>
      <c r="H691" s="228"/>
      <c r="I691" s="228"/>
      <c r="J691" s="228"/>
      <c r="K691" s="228"/>
      <c r="L691" s="228"/>
      <c r="M691" s="228"/>
      <c r="N691" s="228"/>
      <c r="O691" s="228"/>
      <c r="P691" s="228"/>
      <c r="Q691" s="228"/>
      <c r="R691" s="228"/>
      <c r="S691" s="228"/>
      <c r="T691" s="228"/>
      <c r="U691" s="228"/>
      <c r="V691" s="228"/>
      <c r="W691" s="228"/>
      <c r="X691" s="228"/>
      <c r="Y691" s="228"/>
      <c r="Z691" s="228"/>
      <c r="AA691" s="228"/>
      <c r="AB691" s="228"/>
      <c r="AC691" s="228"/>
      <c r="AD691" s="228"/>
      <c r="AE691" s="228"/>
      <c r="AF691" s="228"/>
      <c r="AG691" s="228"/>
      <c r="AH691" s="228"/>
      <c r="AI691" s="228"/>
      <c r="AJ691" s="228"/>
      <c r="AK691" s="228"/>
      <c r="AL691" s="228"/>
      <c r="AM691" s="228"/>
      <c r="AN691" s="228"/>
      <c r="AO691" s="228"/>
      <c r="AP691" s="228"/>
      <c r="AQ691" s="228"/>
      <c r="AR691" s="228"/>
      <c r="AS691" s="228"/>
      <c r="AT691" s="228"/>
      <c r="AU691" s="228"/>
      <c r="AV691" s="228"/>
      <c r="AW691" s="228"/>
      <c r="AX691" s="228"/>
      <c r="AY691" s="228"/>
      <c r="AZ691" s="228"/>
      <c r="BA691" s="228"/>
      <c r="BB691" s="228"/>
      <c r="BC691" s="228"/>
      <c r="BD691" s="228"/>
      <c r="BE691" s="228"/>
      <c r="BF691" s="228"/>
      <c r="BG691" s="228"/>
      <c r="BH691" s="228"/>
      <c r="BI691" s="228"/>
      <c r="BJ691" s="228"/>
      <c r="BK691" s="228"/>
      <c r="BL691" s="228"/>
      <c r="BM691" s="228"/>
      <c r="BN691" s="228"/>
      <c r="BO691" s="228"/>
      <c r="BP691" s="228"/>
      <c r="BQ691" s="228"/>
      <c r="BR691" s="228"/>
      <c r="BS691" s="228"/>
      <c r="BT691" s="228"/>
      <c r="BU691" s="228"/>
      <c r="BV691" s="228"/>
      <c r="BW691" s="228"/>
      <c r="BX691" s="228"/>
      <c r="BY691" s="228"/>
      <c r="BZ691" s="228"/>
      <c r="CA691" s="228"/>
      <c r="CB691" s="228"/>
      <c r="CC691" s="228"/>
      <c r="CD691" s="228"/>
      <c r="CE691" s="228"/>
      <c r="CF691" s="228"/>
      <c r="CG691" s="228"/>
      <c r="CH691" s="228"/>
      <c r="CI691" s="228"/>
      <c r="CJ691" s="228"/>
      <c r="CK691" s="228"/>
      <c r="CL691" s="228"/>
      <c r="CM691" s="228"/>
      <c r="CN691" s="228"/>
      <c r="CO691" s="228"/>
      <c r="CP691" s="228"/>
      <c r="CQ691" s="228"/>
      <c r="CR691" s="228"/>
      <c r="CS691" s="228"/>
      <c r="CT691" s="228"/>
      <c r="CU691" s="228"/>
      <c r="CV691" s="228"/>
      <c r="CW691" s="228"/>
      <c r="CX691" s="228"/>
      <c r="CY691" s="228"/>
      <c r="CZ691" s="228"/>
      <c r="DA691" s="228"/>
      <c r="DB691" s="228"/>
    </row>
    <row r="692" ht="12.0" customHeight="1">
      <c r="A692" s="228"/>
      <c r="B692" s="228"/>
      <c r="C692" s="228"/>
      <c r="D692" s="228"/>
      <c r="E692" s="228"/>
      <c r="F692" s="228"/>
      <c r="G692" s="228"/>
      <c r="H692" s="228"/>
      <c r="I692" s="228"/>
      <c r="J692" s="228"/>
      <c r="K692" s="228"/>
      <c r="L692" s="228"/>
      <c r="M692" s="228"/>
      <c r="N692" s="228"/>
      <c r="O692" s="228"/>
      <c r="P692" s="228"/>
      <c r="Q692" s="228"/>
      <c r="R692" s="228"/>
      <c r="S692" s="228"/>
      <c r="T692" s="228"/>
      <c r="U692" s="228"/>
      <c r="V692" s="228"/>
      <c r="W692" s="228"/>
      <c r="X692" s="228"/>
      <c r="Y692" s="228"/>
      <c r="Z692" s="228"/>
      <c r="AA692" s="228"/>
      <c r="AB692" s="228"/>
      <c r="AC692" s="228"/>
      <c r="AD692" s="228"/>
      <c r="AE692" s="228"/>
      <c r="AF692" s="228"/>
      <c r="AG692" s="228"/>
      <c r="AH692" s="228"/>
      <c r="AI692" s="228"/>
      <c r="AJ692" s="228"/>
      <c r="AK692" s="228"/>
      <c r="AL692" s="228"/>
      <c r="AM692" s="228"/>
      <c r="AN692" s="228"/>
      <c r="AO692" s="228"/>
      <c r="AP692" s="228"/>
      <c r="AQ692" s="228"/>
      <c r="AR692" s="228"/>
      <c r="AS692" s="228"/>
      <c r="AT692" s="228"/>
      <c r="AU692" s="228"/>
      <c r="AV692" s="228"/>
      <c r="AW692" s="228"/>
      <c r="AX692" s="228"/>
      <c r="AY692" s="228"/>
      <c r="AZ692" s="228"/>
      <c r="BA692" s="228"/>
      <c r="BB692" s="228"/>
      <c r="BC692" s="228"/>
      <c r="BD692" s="228"/>
      <c r="BE692" s="228"/>
      <c r="BF692" s="228"/>
      <c r="BG692" s="228"/>
      <c r="BH692" s="228"/>
      <c r="BI692" s="228"/>
      <c r="BJ692" s="228"/>
      <c r="BK692" s="228"/>
      <c r="BL692" s="228"/>
      <c r="BM692" s="228"/>
      <c r="BN692" s="228"/>
      <c r="BO692" s="228"/>
      <c r="BP692" s="228"/>
      <c r="BQ692" s="228"/>
      <c r="BR692" s="228"/>
      <c r="BS692" s="228"/>
      <c r="BT692" s="228"/>
      <c r="BU692" s="228"/>
      <c r="BV692" s="228"/>
      <c r="BW692" s="228"/>
      <c r="BX692" s="228"/>
      <c r="BY692" s="228"/>
      <c r="BZ692" s="228"/>
      <c r="CA692" s="228"/>
      <c r="CB692" s="228"/>
      <c r="CC692" s="228"/>
      <c r="CD692" s="228"/>
      <c r="CE692" s="228"/>
      <c r="CF692" s="228"/>
      <c r="CG692" s="228"/>
      <c r="CH692" s="228"/>
      <c r="CI692" s="228"/>
      <c r="CJ692" s="228"/>
      <c r="CK692" s="228"/>
      <c r="CL692" s="228"/>
      <c r="CM692" s="228"/>
      <c r="CN692" s="228"/>
      <c r="CO692" s="228"/>
      <c r="CP692" s="228"/>
      <c r="CQ692" s="228"/>
      <c r="CR692" s="228"/>
      <c r="CS692" s="228"/>
      <c r="CT692" s="228"/>
      <c r="CU692" s="228"/>
      <c r="CV692" s="228"/>
      <c r="CW692" s="228"/>
      <c r="CX692" s="228"/>
      <c r="CY692" s="228"/>
      <c r="CZ692" s="228"/>
      <c r="DA692" s="228"/>
      <c r="DB692" s="228"/>
    </row>
    <row r="693" ht="12.0" customHeight="1">
      <c r="A693" s="228"/>
      <c r="B693" s="228"/>
      <c r="C693" s="228"/>
      <c r="D693" s="228"/>
      <c r="E693" s="228"/>
      <c r="F693" s="228"/>
      <c r="G693" s="228"/>
      <c r="H693" s="228"/>
      <c r="I693" s="228"/>
      <c r="J693" s="228"/>
      <c r="K693" s="228"/>
      <c r="L693" s="228"/>
      <c r="M693" s="228"/>
      <c r="N693" s="228"/>
      <c r="O693" s="228"/>
      <c r="P693" s="228"/>
      <c r="Q693" s="228"/>
      <c r="R693" s="228"/>
      <c r="S693" s="228"/>
      <c r="T693" s="228"/>
      <c r="U693" s="228"/>
      <c r="V693" s="228"/>
      <c r="W693" s="228"/>
      <c r="X693" s="228"/>
      <c r="Y693" s="228"/>
      <c r="Z693" s="228"/>
      <c r="AA693" s="228"/>
      <c r="AB693" s="228"/>
      <c r="AC693" s="228"/>
      <c r="AD693" s="228"/>
      <c r="AE693" s="228"/>
      <c r="AF693" s="228"/>
      <c r="AG693" s="228"/>
      <c r="AH693" s="228"/>
      <c r="AI693" s="228"/>
      <c r="AJ693" s="228"/>
      <c r="AK693" s="228"/>
      <c r="AL693" s="228"/>
      <c r="AM693" s="228"/>
      <c r="AN693" s="228"/>
      <c r="AO693" s="228"/>
      <c r="AP693" s="228"/>
      <c r="AQ693" s="228"/>
      <c r="AR693" s="228"/>
      <c r="AS693" s="228"/>
      <c r="AT693" s="228"/>
      <c r="AU693" s="228"/>
      <c r="AV693" s="228"/>
      <c r="AW693" s="228"/>
      <c r="AX693" s="228"/>
      <c r="AY693" s="228"/>
      <c r="AZ693" s="228"/>
      <c r="BA693" s="228"/>
      <c r="BB693" s="228"/>
      <c r="BC693" s="228"/>
      <c r="BD693" s="228"/>
      <c r="BE693" s="228"/>
      <c r="BF693" s="228"/>
      <c r="BG693" s="228"/>
      <c r="BH693" s="228"/>
      <c r="BI693" s="228"/>
      <c r="BJ693" s="228"/>
      <c r="BK693" s="228"/>
      <c r="BL693" s="228"/>
      <c r="BM693" s="228"/>
      <c r="BN693" s="228"/>
      <c r="BO693" s="228"/>
      <c r="BP693" s="228"/>
      <c r="BQ693" s="228"/>
      <c r="BR693" s="228"/>
      <c r="BS693" s="228"/>
      <c r="BT693" s="228"/>
      <c r="BU693" s="228"/>
      <c r="BV693" s="228"/>
      <c r="BW693" s="228"/>
      <c r="BX693" s="228"/>
      <c r="BY693" s="228"/>
      <c r="BZ693" s="228"/>
      <c r="CA693" s="228"/>
      <c r="CB693" s="228"/>
      <c r="CC693" s="228"/>
      <c r="CD693" s="228"/>
      <c r="CE693" s="228"/>
      <c r="CF693" s="228"/>
      <c r="CG693" s="228"/>
      <c r="CH693" s="228"/>
      <c r="CI693" s="228"/>
      <c r="CJ693" s="228"/>
      <c r="CK693" s="228"/>
      <c r="CL693" s="228"/>
      <c r="CM693" s="228"/>
      <c r="CN693" s="228"/>
      <c r="CO693" s="228"/>
      <c r="CP693" s="228"/>
      <c r="CQ693" s="228"/>
      <c r="CR693" s="228"/>
      <c r="CS693" s="228"/>
      <c r="CT693" s="228"/>
      <c r="CU693" s="228"/>
      <c r="CV693" s="228"/>
      <c r="CW693" s="228"/>
      <c r="CX693" s="228"/>
      <c r="CY693" s="228"/>
      <c r="CZ693" s="228"/>
      <c r="DA693" s="228"/>
      <c r="DB693" s="228"/>
    </row>
    <row r="694" ht="12.0" customHeight="1">
      <c r="A694" s="228"/>
      <c r="B694" s="228"/>
      <c r="C694" s="228"/>
      <c r="D694" s="228"/>
      <c r="E694" s="228"/>
      <c r="F694" s="228"/>
      <c r="G694" s="228"/>
      <c r="H694" s="228"/>
      <c r="I694" s="228"/>
      <c r="J694" s="228"/>
      <c r="K694" s="228"/>
      <c r="L694" s="228"/>
      <c r="M694" s="228"/>
      <c r="N694" s="228"/>
      <c r="O694" s="228"/>
      <c r="P694" s="228"/>
      <c r="Q694" s="228"/>
      <c r="R694" s="228"/>
      <c r="S694" s="228"/>
      <c r="T694" s="228"/>
      <c r="U694" s="228"/>
      <c r="V694" s="228"/>
      <c r="W694" s="228"/>
      <c r="X694" s="228"/>
      <c r="Y694" s="228"/>
      <c r="Z694" s="228"/>
      <c r="AA694" s="228"/>
      <c r="AB694" s="228"/>
      <c r="AC694" s="228"/>
      <c r="AD694" s="228"/>
      <c r="AE694" s="228"/>
      <c r="AF694" s="228"/>
      <c r="AG694" s="228"/>
      <c r="AH694" s="228"/>
      <c r="AI694" s="228"/>
      <c r="AJ694" s="228"/>
      <c r="AK694" s="228"/>
      <c r="AL694" s="228"/>
      <c r="AM694" s="228"/>
      <c r="AN694" s="228"/>
      <c r="AO694" s="228"/>
      <c r="AP694" s="228"/>
      <c r="AQ694" s="228"/>
      <c r="AR694" s="228"/>
      <c r="AS694" s="228"/>
      <c r="AT694" s="228"/>
      <c r="AU694" s="228"/>
      <c r="AV694" s="228"/>
      <c r="AW694" s="228"/>
      <c r="AX694" s="228"/>
      <c r="AY694" s="228"/>
      <c r="AZ694" s="228"/>
      <c r="BA694" s="228"/>
      <c r="BB694" s="228"/>
      <c r="BC694" s="228"/>
      <c r="BD694" s="228"/>
      <c r="BE694" s="228"/>
      <c r="BF694" s="228"/>
      <c r="BG694" s="228"/>
      <c r="BH694" s="228"/>
      <c r="BI694" s="228"/>
      <c r="BJ694" s="228"/>
      <c r="BK694" s="228"/>
      <c r="BL694" s="228"/>
      <c r="BM694" s="228"/>
      <c r="BN694" s="228"/>
      <c r="BO694" s="228"/>
      <c r="BP694" s="228"/>
      <c r="BQ694" s="228"/>
      <c r="BR694" s="228"/>
      <c r="BS694" s="228"/>
      <c r="BT694" s="228"/>
      <c r="BU694" s="228"/>
      <c r="BV694" s="228"/>
      <c r="BW694" s="228"/>
      <c r="BX694" s="228"/>
      <c r="BY694" s="228"/>
      <c r="BZ694" s="228"/>
      <c r="CA694" s="228"/>
      <c r="CB694" s="228"/>
      <c r="CC694" s="228"/>
      <c r="CD694" s="228"/>
      <c r="CE694" s="228"/>
      <c r="CF694" s="228"/>
      <c r="CG694" s="228"/>
      <c r="CH694" s="228"/>
      <c r="CI694" s="228"/>
      <c r="CJ694" s="228"/>
      <c r="CK694" s="228"/>
      <c r="CL694" s="228"/>
      <c r="CM694" s="228"/>
      <c r="CN694" s="228"/>
      <c r="CO694" s="228"/>
      <c r="CP694" s="228"/>
      <c r="CQ694" s="228"/>
      <c r="CR694" s="228"/>
      <c r="CS694" s="228"/>
      <c r="CT694" s="228"/>
      <c r="CU694" s="228"/>
      <c r="CV694" s="228"/>
      <c r="CW694" s="228"/>
      <c r="CX694" s="228"/>
      <c r="CY694" s="228"/>
      <c r="CZ694" s="228"/>
      <c r="DA694" s="228"/>
      <c r="DB694" s="228"/>
    </row>
    <row r="695" ht="12.0" customHeight="1">
      <c r="A695" s="228"/>
      <c r="B695" s="228"/>
      <c r="C695" s="228"/>
      <c r="D695" s="228"/>
      <c r="E695" s="228"/>
      <c r="F695" s="228"/>
      <c r="G695" s="228"/>
      <c r="H695" s="228"/>
      <c r="I695" s="228"/>
      <c r="J695" s="228"/>
      <c r="K695" s="228"/>
      <c r="L695" s="228"/>
      <c r="M695" s="228"/>
      <c r="N695" s="228"/>
      <c r="O695" s="228"/>
      <c r="P695" s="228"/>
      <c r="Q695" s="228"/>
      <c r="R695" s="228"/>
      <c r="S695" s="228"/>
      <c r="T695" s="228"/>
      <c r="U695" s="228"/>
      <c r="V695" s="228"/>
      <c r="W695" s="228"/>
      <c r="X695" s="228"/>
      <c r="Y695" s="228"/>
      <c r="Z695" s="228"/>
      <c r="AA695" s="228"/>
      <c r="AB695" s="228"/>
      <c r="AC695" s="228"/>
      <c r="AD695" s="228"/>
      <c r="AE695" s="228"/>
      <c r="AF695" s="228"/>
      <c r="AG695" s="228"/>
      <c r="AH695" s="228"/>
      <c r="AI695" s="228"/>
      <c r="AJ695" s="228"/>
      <c r="AK695" s="228"/>
      <c r="AL695" s="228"/>
      <c r="AM695" s="228"/>
      <c r="AN695" s="228"/>
      <c r="AO695" s="228"/>
      <c r="AP695" s="228"/>
      <c r="AQ695" s="228"/>
      <c r="AR695" s="228"/>
      <c r="AS695" s="228"/>
      <c r="AT695" s="228"/>
      <c r="AU695" s="228"/>
      <c r="AV695" s="228"/>
      <c r="AW695" s="228"/>
      <c r="AX695" s="228"/>
      <c r="AY695" s="228"/>
      <c r="AZ695" s="228"/>
      <c r="BA695" s="228"/>
      <c r="BB695" s="228"/>
      <c r="BC695" s="228"/>
      <c r="BD695" s="228"/>
      <c r="BE695" s="228"/>
      <c r="BF695" s="228"/>
      <c r="BG695" s="228"/>
      <c r="BH695" s="228"/>
      <c r="BI695" s="228"/>
      <c r="BJ695" s="228"/>
      <c r="BK695" s="228"/>
      <c r="BL695" s="228"/>
      <c r="BM695" s="228"/>
      <c r="BN695" s="228"/>
      <c r="BO695" s="228"/>
      <c r="BP695" s="228"/>
      <c r="BQ695" s="228"/>
      <c r="BR695" s="228"/>
      <c r="BS695" s="228"/>
      <c r="BT695" s="228"/>
      <c r="BU695" s="228"/>
      <c r="BV695" s="228"/>
      <c r="BW695" s="228"/>
      <c r="BX695" s="228"/>
      <c r="BY695" s="228"/>
      <c r="BZ695" s="228"/>
      <c r="CA695" s="228"/>
      <c r="CB695" s="228"/>
      <c r="CC695" s="228"/>
      <c r="CD695" s="228"/>
      <c r="CE695" s="228"/>
      <c r="CF695" s="228"/>
      <c r="CG695" s="228"/>
      <c r="CH695" s="228"/>
      <c r="CI695" s="228"/>
      <c r="CJ695" s="228"/>
      <c r="CK695" s="228"/>
      <c r="CL695" s="228"/>
      <c r="CM695" s="228"/>
      <c r="CN695" s="228"/>
      <c r="CO695" s="228"/>
      <c r="CP695" s="228"/>
      <c r="CQ695" s="228"/>
      <c r="CR695" s="228"/>
      <c r="CS695" s="228"/>
      <c r="CT695" s="228"/>
      <c r="CU695" s="228"/>
      <c r="CV695" s="228"/>
      <c r="CW695" s="228"/>
      <c r="CX695" s="228"/>
      <c r="CY695" s="228"/>
      <c r="CZ695" s="228"/>
      <c r="DA695" s="228"/>
      <c r="DB695" s="228"/>
    </row>
    <row r="696" ht="12.0" customHeight="1">
      <c r="A696" s="228"/>
      <c r="B696" s="228"/>
      <c r="C696" s="228"/>
      <c r="D696" s="228"/>
      <c r="E696" s="228"/>
      <c r="F696" s="228"/>
      <c r="G696" s="228"/>
      <c r="H696" s="228"/>
      <c r="I696" s="228"/>
      <c r="J696" s="228"/>
      <c r="K696" s="228"/>
      <c r="L696" s="228"/>
      <c r="M696" s="228"/>
      <c r="N696" s="228"/>
      <c r="O696" s="228"/>
      <c r="P696" s="228"/>
      <c r="Q696" s="228"/>
      <c r="R696" s="228"/>
      <c r="S696" s="228"/>
      <c r="T696" s="228"/>
      <c r="U696" s="228"/>
      <c r="V696" s="228"/>
      <c r="W696" s="228"/>
      <c r="X696" s="228"/>
      <c r="Y696" s="228"/>
      <c r="Z696" s="228"/>
      <c r="AA696" s="228"/>
      <c r="AB696" s="228"/>
      <c r="AC696" s="228"/>
      <c r="AD696" s="228"/>
      <c r="AE696" s="228"/>
      <c r="AF696" s="228"/>
      <c r="AG696" s="228"/>
      <c r="AH696" s="228"/>
      <c r="AI696" s="228"/>
      <c r="AJ696" s="228"/>
      <c r="AK696" s="228"/>
      <c r="AL696" s="228"/>
      <c r="AM696" s="228"/>
      <c r="AN696" s="228"/>
      <c r="AO696" s="228"/>
      <c r="AP696" s="228"/>
      <c r="AQ696" s="228"/>
      <c r="AR696" s="228"/>
      <c r="AS696" s="228"/>
      <c r="AT696" s="228"/>
      <c r="AU696" s="228"/>
      <c r="AV696" s="228"/>
      <c r="AW696" s="228"/>
      <c r="AX696" s="228"/>
      <c r="AY696" s="228"/>
      <c r="AZ696" s="228"/>
      <c r="BA696" s="228"/>
      <c r="BB696" s="228"/>
      <c r="BC696" s="228"/>
      <c r="BD696" s="228"/>
      <c r="BE696" s="228"/>
      <c r="BF696" s="228"/>
      <c r="BG696" s="228"/>
      <c r="BH696" s="228"/>
      <c r="BI696" s="228"/>
      <c r="BJ696" s="228"/>
      <c r="BK696" s="228"/>
      <c r="BL696" s="228"/>
      <c r="BM696" s="228"/>
      <c r="BN696" s="228"/>
      <c r="BO696" s="228"/>
      <c r="BP696" s="228"/>
      <c r="BQ696" s="228"/>
      <c r="BR696" s="228"/>
      <c r="BS696" s="228"/>
      <c r="BT696" s="228"/>
      <c r="BU696" s="228"/>
      <c r="BV696" s="228"/>
      <c r="BW696" s="228"/>
      <c r="BX696" s="228"/>
      <c r="BY696" s="228"/>
      <c r="BZ696" s="228"/>
      <c r="CA696" s="228"/>
      <c r="CB696" s="228"/>
      <c r="CC696" s="228"/>
      <c r="CD696" s="228"/>
      <c r="CE696" s="228"/>
      <c r="CF696" s="228"/>
      <c r="CG696" s="228"/>
      <c r="CH696" s="228"/>
      <c r="CI696" s="228"/>
      <c r="CJ696" s="228"/>
      <c r="CK696" s="228"/>
      <c r="CL696" s="228"/>
      <c r="CM696" s="228"/>
      <c r="CN696" s="228"/>
      <c r="CO696" s="228"/>
      <c r="CP696" s="228"/>
      <c r="CQ696" s="228"/>
      <c r="CR696" s="228"/>
      <c r="CS696" s="228"/>
      <c r="CT696" s="228"/>
      <c r="CU696" s="228"/>
      <c r="CV696" s="228"/>
      <c r="CW696" s="228"/>
      <c r="CX696" s="228"/>
      <c r="CY696" s="228"/>
      <c r="CZ696" s="228"/>
      <c r="DA696" s="228"/>
      <c r="DB696" s="228"/>
    </row>
    <row r="697" ht="12.0" customHeight="1">
      <c r="A697" s="228"/>
      <c r="B697" s="228"/>
      <c r="C697" s="228"/>
      <c r="D697" s="228"/>
      <c r="E697" s="228"/>
      <c r="F697" s="228"/>
      <c r="G697" s="228"/>
      <c r="H697" s="228"/>
      <c r="I697" s="228"/>
      <c r="J697" s="228"/>
      <c r="K697" s="228"/>
      <c r="L697" s="228"/>
      <c r="M697" s="228"/>
      <c r="N697" s="228"/>
      <c r="O697" s="228"/>
      <c r="P697" s="228"/>
      <c r="Q697" s="228"/>
      <c r="R697" s="228"/>
      <c r="S697" s="228"/>
      <c r="T697" s="228"/>
      <c r="U697" s="228"/>
      <c r="V697" s="228"/>
      <c r="W697" s="228"/>
      <c r="X697" s="228"/>
      <c r="Y697" s="228"/>
      <c r="Z697" s="228"/>
      <c r="AA697" s="228"/>
      <c r="AB697" s="228"/>
      <c r="AC697" s="228"/>
      <c r="AD697" s="228"/>
      <c r="AE697" s="228"/>
      <c r="AF697" s="228"/>
      <c r="AG697" s="228"/>
      <c r="AH697" s="228"/>
      <c r="AI697" s="228"/>
      <c r="AJ697" s="228"/>
      <c r="AK697" s="228"/>
      <c r="AL697" s="228"/>
      <c r="AM697" s="228"/>
      <c r="AN697" s="228"/>
      <c r="AO697" s="228"/>
      <c r="AP697" s="228"/>
      <c r="AQ697" s="228"/>
      <c r="AR697" s="228"/>
      <c r="AS697" s="228"/>
      <c r="AT697" s="228"/>
      <c r="AU697" s="228"/>
      <c r="AV697" s="228"/>
      <c r="AW697" s="228"/>
      <c r="AX697" s="228"/>
      <c r="AY697" s="228"/>
      <c r="AZ697" s="228"/>
      <c r="BA697" s="228"/>
      <c r="BB697" s="228"/>
      <c r="BC697" s="228"/>
      <c r="BD697" s="228"/>
      <c r="BE697" s="228"/>
      <c r="BF697" s="228"/>
      <c r="BG697" s="228"/>
      <c r="BH697" s="228"/>
      <c r="BI697" s="228"/>
      <c r="BJ697" s="228"/>
      <c r="BK697" s="228"/>
      <c r="BL697" s="228"/>
      <c r="BM697" s="228"/>
      <c r="BN697" s="228"/>
      <c r="BO697" s="228"/>
      <c r="BP697" s="228"/>
      <c r="BQ697" s="228"/>
      <c r="BR697" s="228"/>
      <c r="BS697" s="228"/>
      <c r="BT697" s="228"/>
      <c r="BU697" s="228"/>
      <c r="BV697" s="228"/>
      <c r="BW697" s="228"/>
      <c r="BX697" s="228"/>
      <c r="BY697" s="228"/>
      <c r="BZ697" s="228"/>
      <c r="CA697" s="228"/>
      <c r="CB697" s="228"/>
      <c r="CC697" s="228"/>
      <c r="CD697" s="228"/>
      <c r="CE697" s="228"/>
      <c r="CF697" s="228"/>
      <c r="CG697" s="228"/>
      <c r="CH697" s="228"/>
      <c r="CI697" s="228"/>
      <c r="CJ697" s="228"/>
      <c r="CK697" s="228"/>
      <c r="CL697" s="228"/>
      <c r="CM697" s="228"/>
      <c r="CN697" s="228"/>
      <c r="CO697" s="228"/>
      <c r="CP697" s="228"/>
      <c r="CQ697" s="228"/>
      <c r="CR697" s="228"/>
      <c r="CS697" s="228"/>
      <c r="CT697" s="228"/>
      <c r="CU697" s="228"/>
      <c r="CV697" s="228"/>
      <c r="CW697" s="228"/>
      <c r="CX697" s="228"/>
      <c r="CY697" s="228"/>
      <c r="CZ697" s="228"/>
      <c r="DA697" s="228"/>
      <c r="DB697" s="228"/>
    </row>
    <row r="698" ht="12.0" customHeight="1">
      <c r="A698" s="228"/>
      <c r="B698" s="228"/>
      <c r="C698" s="228"/>
      <c r="D698" s="228"/>
      <c r="E698" s="228"/>
      <c r="F698" s="228"/>
      <c r="G698" s="228"/>
      <c r="H698" s="228"/>
      <c r="I698" s="228"/>
      <c r="J698" s="228"/>
      <c r="K698" s="228"/>
      <c r="L698" s="228"/>
      <c r="M698" s="228"/>
      <c r="N698" s="228"/>
      <c r="O698" s="228"/>
      <c r="P698" s="228"/>
      <c r="Q698" s="228"/>
      <c r="R698" s="228"/>
      <c r="S698" s="228"/>
      <c r="T698" s="228"/>
      <c r="U698" s="228"/>
      <c r="V698" s="228"/>
      <c r="W698" s="228"/>
      <c r="X698" s="228"/>
      <c r="Y698" s="228"/>
      <c r="Z698" s="228"/>
      <c r="AA698" s="228"/>
      <c r="AB698" s="228"/>
      <c r="AC698" s="228"/>
      <c r="AD698" s="228"/>
      <c r="AE698" s="228"/>
      <c r="AF698" s="228"/>
      <c r="AG698" s="228"/>
      <c r="AH698" s="228"/>
      <c r="AI698" s="228"/>
      <c r="AJ698" s="228"/>
      <c r="AK698" s="228"/>
      <c r="AL698" s="228"/>
      <c r="AM698" s="228"/>
      <c r="AN698" s="228"/>
      <c r="AO698" s="228"/>
      <c r="AP698" s="228"/>
      <c r="AQ698" s="228"/>
      <c r="AR698" s="228"/>
      <c r="AS698" s="228"/>
      <c r="AT698" s="228"/>
      <c r="AU698" s="228"/>
      <c r="AV698" s="228"/>
      <c r="AW698" s="228"/>
      <c r="AX698" s="228"/>
      <c r="AY698" s="228"/>
      <c r="AZ698" s="228"/>
      <c r="BA698" s="228"/>
      <c r="BB698" s="228"/>
      <c r="BC698" s="228"/>
      <c r="BD698" s="228"/>
      <c r="BE698" s="228"/>
      <c r="BF698" s="228"/>
      <c r="BG698" s="228"/>
      <c r="BH698" s="228"/>
      <c r="BI698" s="228"/>
      <c r="BJ698" s="228"/>
      <c r="BK698" s="228"/>
      <c r="BL698" s="228"/>
      <c r="BM698" s="228"/>
      <c r="BN698" s="228"/>
      <c r="BO698" s="228"/>
      <c r="BP698" s="228"/>
      <c r="BQ698" s="228"/>
      <c r="BR698" s="228"/>
      <c r="BS698" s="228"/>
      <c r="BT698" s="228"/>
      <c r="BU698" s="228"/>
      <c r="BV698" s="228"/>
      <c r="BW698" s="228"/>
      <c r="BX698" s="228"/>
      <c r="BY698" s="228"/>
      <c r="BZ698" s="228"/>
      <c r="CA698" s="228"/>
      <c r="CB698" s="228"/>
      <c r="CC698" s="228"/>
      <c r="CD698" s="228"/>
      <c r="CE698" s="228"/>
      <c r="CF698" s="228"/>
      <c r="CG698" s="228"/>
      <c r="CH698" s="228"/>
      <c r="CI698" s="228"/>
      <c r="CJ698" s="228"/>
      <c r="CK698" s="228"/>
      <c r="CL698" s="228"/>
      <c r="CM698" s="228"/>
      <c r="CN698" s="228"/>
      <c r="CO698" s="228"/>
      <c r="CP698" s="228"/>
      <c r="CQ698" s="228"/>
      <c r="CR698" s="228"/>
      <c r="CS698" s="228"/>
      <c r="CT698" s="228"/>
      <c r="CU698" s="228"/>
      <c r="CV698" s="228"/>
      <c r="CW698" s="228"/>
      <c r="CX698" s="228"/>
      <c r="CY698" s="228"/>
      <c r="CZ698" s="228"/>
      <c r="DA698" s="228"/>
      <c r="DB698" s="228"/>
    </row>
    <row r="699" ht="12.0" customHeight="1">
      <c r="A699" s="228"/>
      <c r="B699" s="228"/>
      <c r="C699" s="228"/>
      <c r="D699" s="228"/>
      <c r="E699" s="228"/>
      <c r="F699" s="228"/>
      <c r="G699" s="228"/>
      <c r="H699" s="228"/>
      <c r="I699" s="228"/>
      <c r="J699" s="228"/>
      <c r="K699" s="228"/>
      <c r="L699" s="228"/>
      <c r="M699" s="228"/>
      <c r="N699" s="228"/>
      <c r="O699" s="228"/>
      <c r="P699" s="228"/>
      <c r="Q699" s="228"/>
      <c r="R699" s="228"/>
      <c r="S699" s="228"/>
      <c r="T699" s="228"/>
      <c r="U699" s="228"/>
      <c r="V699" s="228"/>
      <c r="W699" s="228"/>
      <c r="X699" s="228"/>
      <c r="Y699" s="228"/>
      <c r="Z699" s="228"/>
      <c r="AA699" s="228"/>
      <c r="AB699" s="228"/>
      <c r="AC699" s="228"/>
      <c r="AD699" s="228"/>
      <c r="AE699" s="228"/>
      <c r="AF699" s="228"/>
      <c r="AG699" s="228"/>
      <c r="AH699" s="228"/>
      <c r="AI699" s="228"/>
      <c r="AJ699" s="228"/>
      <c r="AK699" s="228"/>
      <c r="AL699" s="228"/>
      <c r="AM699" s="228"/>
      <c r="AN699" s="228"/>
      <c r="AO699" s="228"/>
      <c r="AP699" s="228"/>
      <c r="AQ699" s="228"/>
      <c r="AR699" s="228"/>
      <c r="AS699" s="228"/>
      <c r="AT699" s="228"/>
      <c r="AU699" s="228"/>
      <c r="AV699" s="228"/>
      <c r="AW699" s="228"/>
      <c r="AX699" s="228"/>
      <c r="AY699" s="228"/>
      <c r="AZ699" s="228"/>
      <c r="BA699" s="228"/>
      <c r="BB699" s="228"/>
      <c r="BC699" s="228"/>
      <c r="BD699" s="228"/>
      <c r="BE699" s="228"/>
      <c r="BF699" s="228"/>
      <c r="BG699" s="228"/>
      <c r="BH699" s="228"/>
      <c r="BI699" s="228"/>
      <c r="BJ699" s="228"/>
      <c r="BK699" s="228"/>
      <c r="BL699" s="228"/>
      <c r="BM699" s="228"/>
      <c r="BN699" s="228"/>
      <c r="BO699" s="228"/>
      <c r="BP699" s="228"/>
      <c r="BQ699" s="228"/>
      <c r="BR699" s="228"/>
      <c r="BS699" s="228"/>
      <c r="BT699" s="228"/>
      <c r="BU699" s="228"/>
      <c r="BV699" s="228"/>
      <c r="BW699" s="228"/>
      <c r="BX699" s="228"/>
      <c r="BY699" s="228"/>
      <c r="BZ699" s="228"/>
      <c r="CA699" s="228"/>
      <c r="CB699" s="228"/>
      <c r="CC699" s="228"/>
      <c r="CD699" s="228"/>
      <c r="CE699" s="228"/>
      <c r="CF699" s="228"/>
      <c r="CG699" s="228"/>
      <c r="CH699" s="228"/>
      <c r="CI699" s="228"/>
      <c r="CJ699" s="228"/>
      <c r="CK699" s="228"/>
      <c r="CL699" s="228"/>
      <c r="CM699" s="228"/>
      <c r="CN699" s="228"/>
      <c r="CO699" s="228"/>
      <c r="CP699" s="228"/>
      <c r="CQ699" s="228"/>
      <c r="CR699" s="228"/>
      <c r="CS699" s="228"/>
      <c r="CT699" s="228"/>
      <c r="CU699" s="228"/>
      <c r="CV699" s="228"/>
      <c r="CW699" s="228"/>
      <c r="CX699" s="228"/>
      <c r="CY699" s="228"/>
      <c r="CZ699" s="228"/>
      <c r="DA699" s="228"/>
      <c r="DB699" s="228"/>
    </row>
    <row r="700" ht="12.0" customHeight="1">
      <c r="A700" s="228"/>
      <c r="B700" s="228"/>
      <c r="C700" s="228"/>
      <c r="D700" s="228"/>
      <c r="E700" s="228"/>
      <c r="F700" s="228"/>
      <c r="G700" s="228"/>
      <c r="H700" s="228"/>
      <c r="I700" s="228"/>
      <c r="J700" s="228"/>
      <c r="K700" s="228"/>
      <c r="L700" s="228"/>
      <c r="M700" s="228"/>
      <c r="N700" s="228"/>
      <c r="O700" s="228"/>
      <c r="P700" s="228"/>
      <c r="Q700" s="228"/>
      <c r="R700" s="228"/>
      <c r="S700" s="228"/>
      <c r="T700" s="228"/>
      <c r="U700" s="228"/>
      <c r="V700" s="228"/>
      <c r="W700" s="228"/>
      <c r="X700" s="228"/>
      <c r="Y700" s="228"/>
      <c r="Z700" s="228"/>
      <c r="AA700" s="228"/>
      <c r="AB700" s="228"/>
      <c r="AC700" s="228"/>
      <c r="AD700" s="228"/>
      <c r="AE700" s="228"/>
      <c r="AF700" s="228"/>
      <c r="AG700" s="228"/>
      <c r="AH700" s="228"/>
      <c r="AI700" s="228"/>
      <c r="AJ700" s="228"/>
      <c r="AK700" s="228"/>
      <c r="AL700" s="228"/>
      <c r="AM700" s="228"/>
      <c r="AN700" s="228"/>
      <c r="AO700" s="228"/>
      <c r="AP700" s="228"/>
      <c r="AQ700" s="228"/>
      <c r="AR700" s="228"/>
      <c r="AS700" s="228"/>
      <c r="AT700" s="228"/>
      <c r="AU700" s="228"/>
      <c r="AV700" s="228"/>
      <c r="AW700" s="228"/>
      <c r="AX700" s="228"/>
      <c r="AY700" s="228"/>
      <c r="AZ700" s="228"/>
      <c r="BA700" s="228"/>
      <c r="BB700" s="228"/>
      <c r="BC700" s="228"/>
      <c r="BD700" s="228"/>
      <c r="BE700" s="228"/>
      <c r="BF700" s="228"/>
      <c r="BG700" s="228"/>
      <c r="BH700" s="228"/>
      <c r="BI700" s="228"/>
      <c r="BJ700" s="228"/>
      <c r="BK700" s="228"/>
      <c r="BL700" s="228"/>
      <c r="BM700" s="228"/>
      <c r="BN700" s="228"/>
      <c r="BO700" s="228"/>
      <c r="BP700" s="228"/>
      <c r="BQ700" s="228"/>
      <c r="BR700" s="228"/>
      <c r="BS700" s="228"/>
      <c r="BT700" s="228"/>
      <c r="BU700" s="228"/>
      <c r="BV700" s="228"/>
      <c r="BW700" s="228"/>
      <c r="BX700" s="228"/>
      <c r="BY700" s="228"/>
      <c r="BZ700" s="228"/>
      <c r="CA700" s="228"/>
      <c r="CB700" s="228"/>
      <c r="CC700" s="228"/>
      <c r="CD700" s="228"/>
      <c r="CE700" s="228"/>
      <c r="CF700" s="228"/>
      <c r="CG700" s="228"/>
      <c r="CH700" s="228"/>
      <c r="CI700" s="228"/>
      <c r="CJ700" s="228"/>
      <c r="CK700" s="228"/>
      <c r="CL700" s="228"/>
      <c r="CM700" s="228"/>
      <c r="CN700" s="228"/>
      <c r="CO700" s="228"/>
      <c r="CP700" s="228"/>
      <c r="CQ700" s="228"/>
      <c r="CR700" s="228"/>
      <c r="CS700" s="228"/>
      <c r="CT700" s="228"/>
      <c r="CU700" s="228"/>
      <c r="CV700" s="228"/>
      <c r="CW700" s="228"/>
      <c r="CX700" s="228"/>
      <c r="CY700" s="228"/>
      <c r="CZ700" s="228"/>
      <c r="DA700" s="228"/>
      <c r="DB700" s="228"/>
    </row>
    <row r="701" ht="12.0" customHeight="1">
      <c r="A701" s="228"/>
      <c r="B701" s="228"/>
      <c r="C701" s="228"/>
      <c r="D701" s="228"/>
      <c r="E701" s="228"/>
      <c r="F701" s="228"/>
      <c r="G701" s="228"/>
      <c r="H701" s="228"/>
      <c r="I701" s="228"/>
      <c r="J701" s="228"/>
      <c r="K701" s="228"/>
      <c r="L701" s="228"/>
      <c r="M701" s="228"/>
      <c r="N701" s="228"/>
      <c r="O701" s="228"/>
      <c r="P701" s="228"/>
      <c r="Q701" s="228"/>
      <c r="R701" s="228"/>
      <c r="S701" s="228"/>
      <c r="T701" s="228"/>
      <c r="U701" s="228"/>
      <c r="V701" s="228"/>
      <c r="W701" s="228"/>
      <c r="X701" s="228"/>
      <c r="Y701" s="228"/>
      <c r="Z701" s="228"/>
      <c r="AA701" s="228"/>
      <c r="AB701" s="228"/>
      <c r="AC701" s="228"/>
      <c r="AD701" s="228"/>
      <c r="AE701" s="228"/>
      <c r="AF701" s="228"/>
      <c r="AG701" s="228"/>
      <c r="AH701" s="228"/>
      <c r="AI701" s="228"/>
      <c r="AJ701" s="228"/>
      <c r="AK701" s="228"/>
      <c r="AL701" s="228"/>
      <c r="AM701" s="228"/>
      <c r="AN701" s="228"/>
      <c r="AO701" s="228"/>
      <c r="AP701" s="228"/>
      <c r="AQ701" s="228"/>
      <c r="AR701" s="228"/>
      <c r="AS701" s="228"/>
      <c r="AT701" s="228"/>
      <c r="AU701" s="228"/>
      <c r="AV701" s="228"/>
      <c r="AW701" s="228"/>
      <c r="AX701" s="228"/>
      <c r="AY701" s="228"/>
      <c r="AZ701" s="228"/>
      <c r="BA701" s="228"/>
      <c r="BB701" s="228"/>
      <c r="BC701" s="228"/>
      <c r="BD701" s="228"/>
      <c r="BE701" s="228"/>
      <c r="BF701" s="228"/>
      <c r="BG701" s="228"/>
      <c r="BH701" s="228"/>
      <c r="BI701" s="228"/>
      <c r="BJ701" s="228"/>
      <c r="BK701" s="228"/>
      <c r="BL701" s="228"/>
      <c r="BM701" s="228"/>
      <c r="BN701" s="228"/>
      <c r="BO701" s="228"/>
      <c r="BP701" s="228"/>
      <c r="BQ701" s="228"/>
      <c r="BR701" s="228"/>
      <c r="BS701" s="228"/>
      <c r="BT701" s="228"/>
      <c r="BU701" s="228"/>
      <c r="BV701" s="228"/>
      <c r="BW701" s="228"/>
      <c r="BX701" s="228"/>
      <c r="BY701" s="228"/>
      <c r="BZ701" s="228"/>
      <c r="CA701" s="228"/>
      <c r="CB701" s="228"/>
      <c r="CC701" s="228"/>
      <c r="CD701" s="228"/>
      <c r="CE701" s="228"/>
      <c r="CF701" s="228"/>
      <c r="CG701" s="228"/>
      <c r="CH701" s="228"/>
      <c r="CI701" s="228"/>
      <c r="CJ701" s="228"/>
      <c r="CK701" s="228"/>
      <c r="CL701" s="228"/>
      <c r="CM701" s="228"/>
      <c r="CN701" s="228"/>
      <c r="CO701" s="228"/>
      <c r="CP701" s="228"/>
      <c r="CQ701" s="228"/>
      <c r="CR701" s="228"/>
      <c r="CS701" s="228"/>
      <c r="CT701" s="228"/>
      <c r="CU701" s="228"/>
      <c r="CV701" s="228"/>
      <c r="CW701" s="228"/>
      <c r="CX701" s="228"/>
      <c r="CY701" s="228"/>
      <c r="CZ701" s="228"/>
      <c r="DA701" s="228"/>
      <c r="DB701" s="228"/>
    </row>
    <row r="702" ht="12.0" customHeight="1">
      <c r="A702" s="228"/>
      <c r="B702" s="228"/>
      <c r="C702" s="228"/>
      <c r="D702" s="228"/>
      <c r="E702" s="228"/>
      <c r="F702" s="228"/>
      <c r="G702" s="228"/>
      <c r="H702" s="228"/>
      <c r="I702" s="228"/>
      <c r="J702" s="228"/>
      <c r="K702" s="228"/>
      <c r="L702" s="228"/>
      <c r="M702" s="228"/>
      <c r="N702" s="228"/>
      <c r="O702" s="228"/>
      <c r="P702" s="228"/>
      <c r="Q702" s="228"/>
      <c r="R702" s="228"/>
      <c r="S702" s="228"/>
      <c r="T702" s="228"/>
      <c r="U702" s="228"/>
      <c r="V702" s="228"/>
      <c r="W702" s="228"/>
      <c r="X702" s="228"/>
      <c r="Y702" s="228"/>
      <c r="Z702" s="228"/>
      <c r="AA702" s="228"/>
      <c r="AB702" s="228"/>
      <c r="AC702" s="228"/>
      <c r="AD702" s="228"/>
      <c r="AE702" s="228"/>
      <c r="AF702" s="228"/>
      <c r="AG702" s="228"/>
      <c r="AH702" s="228"/>
      <c r="AI702" s="228"/>
      <c r="AJ702" s="228"/>
      <c r="AK702" s="228"/>
      <c r="AL702" s="228"/>
      <c r="AM702" s="228"/>
      <c r="AN702" s="228"/>
      <c r="AO702" s="228"/>
      <c r="AP702" s="228"/>
      <c r="AQ702" s="228"/>
      <c r="AR702" s="228"/>
      <c r="AS702" s="228"/>
      <c r="AT702" s="228"/>
      <c r="AU702" s="228"/>
      <c r="AV702" s="228"/>
      <c r="AW702" s="228"/>
      <c r="AX702" s="228"/>
      <c r="AY702" s="228"/>
      <c r="AZ702" s="228"/>
      <c r="BA702" s="228"/>
      <c r="BB702" s="228"/>
      <c r="BC702" s="228"/>
      <c r="BD702" s="228"/>
      <c r="BE702" s="228"/>
      <c r="BF702" s="228"/>
      <c r="BG702" s="228"/>
      <c r="BH702" s="228"/>
      <c r="BI702" s="228"/>
      <c r="BJ702" s="228"/>
      <c r="BK702" s="228"/>
      <c r="BL702" s="228"/>
      <c r="BM702" s="228"/>
      <c r="BN702" s="228"/>
      <c r="BO702" s="228"/>
      <c r="BP702" s="228"/>
      <c r="BQ702" s="228"/>
      <c r="BR702" s="228"/>
      <c r="BS702" s="228"/>
      <c r="BT702" s="228"/>
      <c r="BU702" s="228"/>
      <c r="BV702" s="228"/>
      <c r="BW702" s="228"/>
      <c r="BX702" s="228"/>
      <c r="BY702" s="228"/>
      <c r="BZ702" s="228"/>
      <c r="CA702" s="228"/>
      <c r="CB702" s="228"/>
      <c r="CC702" s="228"/>
      <c r="CD702" s="228"/>
      <c r="CE702" s="228"/>
      <c r="CF702" s="228"/>
      <c r="CG702" s="228"/>
      <c r="CH702" s="228"/>
      <c r="CI702" s="228"/>
      <c r="CJ702" s="228"/>
      <c r="CK702" s="228"/>
      <c r="CL702" s="228"/>
      <c r="CM702" s="228"/>
      <c r="CN702" s="228"/>
      <c r="CO702" s="228"/>
      <c r="CP702" s="228"/>
      <c r="CQ702" s="228"/>
      <c r="CR702" s="228"/>
      <c r="CS702" s="228"/>
      <c r="CT702" s="228"/>
      <c r="CU702" s="228"/>
      <c r="CV702" s="228"/>
      <c r="CW702" s="228"/>
      <c r="CX702" s="228"/>
      <c r="CY702" s="228"/>
      <c r="CZ702" s="228"/>
      <c r="DA702" s="228"/>
      <c r="DB702" s="228"/>
    </row>
    <row r="703" ht="12.0" customHeight="1">
      <c r="A703" s="228"/>
      <c r="B703" s="228"/>
      <c r="C703" s="228"/>
      <c r="D703" s="228"/>
      <c r="E703" s="228"/>
      <c r="F703" s="228"/>
      <c r="G703" s="228"/>
      <c r="H703" s="228"/>
      <c r="I703" s="228"/>
      <c r="J703" s="228"/>
      <c r="K703" s="228"/>
      <c r="L703" s="228"/>
      <c r="M703" s="228"/>
      <c r="N703" s="228"/>
      <c r="O703" s="228"/>
      <c r="P703" s="228"/>
      <c r="Q703" s="228"/>
      <c r="R703" s="228"/>
      <c r="S703" s="228"/>
      <c r="T703" s="228"/>
      <c r="U703" s="228"/>
      <c r="V703" s="228"/>
      <c r="W703" s="228"/>
      <c r="X703" s="228"/>
      <c r="Y703" s="228"/>
      <c r="Z703" s="228"/>
      <c r="AA703" s="228"/>
      <c r="AB703" s="228"/>
      <c r="AC703" s="228"/>
      <c r="AD703" s="228"/>
      <c r="AE703" s="228"/>
      <c r="AF703" s="228"/>
      <c r="AG703" s="228"/>
      <c r="AH703" s="228"/>
      <c r="AI703" s="228"/>
      <c r="AJ703" s="228"/>
      <c r="AK703" s="228"/>
      <c r="AL703" s="228"/>
      <c r="AM703" s="228"/>
      <c r="AN703" s="228"/>
      <c r="AO703" s="228"/>
      <c r="AP703" s="228"/>
      <c r="AQ703" s="228"/>
      <c r="AR703" s="228"/>
      <c r="AS703" s="228"/>
      <c r="AT703" s="228"/>
      <c r="AU703" s="228"/>
      <c r="AV703" s="228"/>
      <c r="AW703" s="228"/>
      <c r="AX703" s="228"/>
      <c r="AY703" s="228"/>
      <c r="AZ703" s="228"/>
      <c r="BA703" s="228"/>
      <c r="BB703" s="228"/>
      <c r="BC703" s="228"/>
      <c r="BD703" s="228"/>
      <c r="BE703" s="228"/>
      <c r="BF703" s="228"/>
      <c r="BG703" s="228"/>
      <c r="BH703" s="228"/>
      <c r="BI703" s="228"/>
      <c r="BJ703" s="228"/>
      <c r="BK703" s="228"/>
      <c r="BL703" s="228"/>
      <c r="BM703" s="228"/>
      <c r="BN703" s="228"/>
      <c r="BO703" s="228"/>
      <c r="BP703" s="228"/>
      <c r="BQ703" s="228"/>
      <c r="BR703" s="228"/>
      <c r="BS703" s="228"/>
      <c r="BT703" s="228"/>
      <c r="BU703" s="228"/>
      <c r="BV703" s="228"/>
      <c r="BW703" s="228"/>
      <c r="BX703" s="228"/>
      <c r="BY703" s="228"/>
      <c r="BZ703" s="228"/>
      <c r="CA703" s="228"/>
      <c r="CB703" s="228"/>
      <c r="CC703" s="228"/>
      <c r="CD703" s="228"/>
      <c r="CE703" s="228"/>
      <c r="CF703" s="228"/>
      <c r="CG703" s="228"/>
      <c r="CH703" s="228"/>
      <c r="CI703" s="228"/>
      <c r="CJ703" s="228"/>
      <c r="CK703" s="228"/>
      <c r="CL703" s="228"/>
      <c r="CM703" s="228"/>
      <c r="CN703" s="228"/>
      <c r="CO703" s="228"/>
      <c r="CP703" s="228"/>
      <c r="CQ703" s="228"/>
      <c r="CR703" s="228"/>
      <c r="CS703" s="228"/>
      <c r="CT703" s="228"/>
      <c r="CU703" s="228"/>
      <c r="CV703" s="228"/>
      <c r="CW703" s="228"/>
      <c r="CX703" s="228"/>
      <c r="CY703" s="228"/>
      <c r="CZ703" s="228"/>
      <c r="DA703" s="228"/>
      <c r="DB703" s="228"/>
    </row>
    <row r="704" ht="12.0" customHeight="1">
      <c r="A704" s="228"/>
      <c r="B704" s="228"/>
      <c r="C704" s="228"/>
      <c r="D704" s="228"/>
      <c r="E704" s="228"/>
      <c r="F704" s="228"/>
      <c r="G704" s="228"/>
      <c r="H704" s="228"/>
      <c r="I704" s="228"/>
      <c r="J704" s="228"/>
      <c r="K704" s="228"/>
      <c r="L704" s="228"/>
      <c r="M704" s="228"/>
      <c r="N704" s="228"/>
      <c r="O704" s="228"/>
      <c r="P704" s="228"/>
      <c r="Q704" s="228"/>
      <c r="R704" s="228"/>
      <c r="S704" s="228"/>
      <c r="T704" s="228"/>
      <c r="U704" s="228"/>
      <c r="V704" s="228"/>
      <c r="W704" s="228"/>
      <c r="X704" s="228"/>
      <c r="Y704" s="228"/>
      <c r="Z704" s="228"/>
      <c r="AA704" s="228"/>
      <c r="AB704" s="228"/>
      <c r="AC704" s="228"/>
      <c r="AD704" s="228"/>
      <c r="AE704" s="228"/>
      <c r="AF704" s="228"/>
      <c r="AG704" s="228"/>
      <c r="AH704" s="228"/>
      <c r="AI704" s="228"/>
      <c r="AJ704" s="228"/>
      <c r="AK704" s="228"/>
      <c r="AL704" s="228"/>
      <c r="AM704" s="228"/>
      <c r="AN704" s="228"/>
      <c r="AO704" s="228"/>
      <c r="AP704" s="228"/>
      <c r="AQ704" s="228"/>
      <c r="AR704" s="228"/>
      <c r="AS704" s="228"/>
      <c r="AT704" s="228"/>
      <c r="AU704" s="228"/>
      <c r="AV704" s="228"/>
      <c r="AW704" s="228"/>
      <c r="AX704" s="228"/>
      <c r="AY704" s="228"/>
      <c r="AZ704" s="228"/>
      <c r="BA704" s="228"/>
      <c r="BB704" s="228"/>
      <c r="BC704" s="228"/>
      <c r="BD704" s="228"/>
      <c r="BE704" s="228"/>
      <c r="BF704" s="228"/>
      <c r="BG704" s="228"/>
      <c r="BH704" s="228"/>
      <c r="BI704" s="228"/>
      <c r="BJ704" s="228"/>
      <c r="BK704" s="228"/>
      <c r="BL704" s="228"/>
      <c r="BM704" s="228"/>
      <c r="BN704" s="228"/>
      <c r="BO704" s="228"/>
      <c r="BP704" s="228"/>
      <c r="BQ704" s="228"/>
      <c r="BR704" s="228"/>
      <c r="BS704" s="228"/>
      <c r="BT704" s="228"/>
      <c r="BU704" s="228"/>
      <c r="BV704" s="228"/>
      <c r="BW704" s="228"/>
      <c r="BX704" s="228"/>
      <c r="BY704" s="228"/>
      <c r="BZ704" s="228"/>
      <c r="CA704" s="228"/>
      <c r="CB704" s="228"/>
      <c r="CC704" s="228"/>
      <c r="CD704" s="228"/>
      <c r="CE704" s="228"/>
      <c r="CF704" s="228"/>
      <c r="CG704" s="228"/>
      <c r="CH704" s="228"/>
      <c r="CI704" s="228"/>
      <c r="CJ704" s="228"/>
      <c r="CK704" s="228"/>
      <c r="CL704" s="228"/>
      <c r="CM704" s="228"/>
      <c r="CN704" s="228"/>
      <c r="CO704" s="228"/>
      <c r="CP704" s="228"/>
      <c r="CQ704" s="228"/>
      <c r="CR704" s="228"/>
      <c r="CS704" s="228"/>
      <c r="CT704" s="228"/>
      <c r="CU704" s="228"/>
      <c r="CV704" s="228"/>
      <c r="CW704" s="228"/>
      <c r="CX704" s="228"/>
      <c r="CY704" s="228"/>
      <c r="CZ704" s="228"/>
      <c r="DA704" s="228"/>
      <c r="DB704" s="228"/>
    </row>
    <row r="705" ht="12.0" customHeight="1">
      <c r="A705" s="228"/>
      <c r="B705" s="228"/>
      <c r="C705" s="228"/>
      <c r="D705" s="228"/>
      <c r="E705" s="228"/>
      <c r="F705" s="228"/>
      <c r="G705" s="228"/>
      <c r="H705" s="228"/>
      <c r="I705" s="228"/>
      <c r="J705" s="228"/>
      <c r="K705" s="228"/>
      <c r="L705" s="228"/>
      <c r="M705" s="228"/>
      <c r="N705" s="228"/>
      <c r="O705" s="228"/>
      <c r="P705" s="228"/>
      <c r="Q705" s="228"/>
      <c r="R705" s="228"/>
      <c r="S705" s="228"/>
      <c r="T705" s="228"/>
      <c r="U705" s="228"/>
      <c r="V705" s="228"/>
      <c r="W705" s="228"/>
      <c r="X705" s="228"/>
      <c r="Y705" s="228"/>
      <c r="Z705" s="228"/>
      <c r="AA705" s="228"/>
      <c r="AB705" s="228"/>
      <c r="AC705" s="228"/>
      <c r="AD705" s="228"/>
      <c r="AE705" s="228"/>
      <c r="AF705" s="228"/>
      <c r="AG705" s="228"/>
      <c r="AH705" s="228"/>
      <c r="AI705" s="228"/>
      <c r="AJ705" s="228"/>
      <c r="AK705" s="228"/>
      <c r="AL705" s="228"/>
      <c r="AM705" s="228"/>
      <c r="AN705" s="228"/>
      <c r="AO705" s="228"/>
      <c r="AP705" s="228"/>
      <c r="AQ705" s="228"/>
      <c r="AR705" s="228"/>
      <c r="AS705" s="228"/>
      <c r="AT705" s="228"/>
      <c r="AU705" s="228"/>
      <c r="AV705" s="228"/>
      <c r="AW705" s="228"/>
      <c r="AX705" s="228"/>
      <c r="AY705" s="228"/>
      <c r="AZ705" s="228"/>
      <c r="BA705" s="228"/>
      <c r="BB705" s="228"/>
      <c r="BC705" s="228"/>
      <c r="BD705" s="228"/>
      <c r="BE705" s="228"/>
      <c r="BF705" s="228"/>
      <c r="BG705" s="228"/>
      <c r="BH705" s="228"/>
      <c r="BI705" s="228"/>
      <c r="BJ705" s="228"/>
      <c r="BK705" s="228"/>
      <c r="BL705" s="228"/>
      <c r="BM705" s="228"/>
      <c r="BN705" s="228"/>
      <c r="BO705" s="228"/>
      <c r="BP705" s="228"/>
      <c r="BQ705" s="228"/>
      <c r="BR705" s="228"/>
      <c r="BS705" s="228"/>
      <c r="BT705" s="228"/>
      <c r="BU705" s="228"/>
      <c r="BV705" s="228"/>
      <c r="BW705" s="228"/>
      <c r="BX705" s="228"/>
      <c r="BY705" s="228"/>
      <c r="BZ705" s="228"/>
      <c r="CA705" s="228"/>
      <c r="CB705" s="228"/>
      <c r="CC705" s="228"/>
      <c r="CD705" s="228"/>
      <c r="CE705" s="228"/>
      <c r="CF705" s="228"/>
      <c r="CG705" s="228"/>
      <c r="CH705" s="228"/>
      <c r="CI705" s="228"/>
      <c r="CJ705" s="228"/>
      <c r="CK705" s="228"/>
      <c r="CL705" s="228"/>
      <c r="CM705" s="228"/>
      <c r="CN705" s="228"/>
      <c r="CO705" s="228"/>
      <c r="CP705" s="228"/>
      <c r="CQ705" s="228"/>
      <c r="CR705" s="228"/>
      <c r="CS705" s="228"/>
      <c r="CT705" s="228"/>
      <c r="CU705" s="228"/>
      <c r="CV705" s="228"/>
      <c r="CW705" s="228"/>
      <c r="CX705" s="228"/>
      <c r="CY705" s="228"/>
      <c r="CZ705" s="228"/>
      <c r="DA705" s="228"/>
      <c r="DB705" s="228"/>
    </row>
    <row r="706" ht="12.0" customHeight="1">
      <c r="A706" s="228"/>
      <c r="B706" s="228"/>
      <c r="C706" s="228"/>
      <c r="D706" s="228"/>
      <c r="E706" s="228"/>
      <c r="F706" s="228"/>
      <c r="G706" s="228"/>
      <c r="H706" s="228"/>
      <c r="I706" s="228"/>
      <c r="J706" s="228"/>
      <c r="K706" s="228"/>
      <c r="L706" s="228"/>
      <c r="M706" s="228"/>
      <c r="N706" s="228"/>
      <c r="O706" s="228"/>
      <c r="P706" s="228"/>
      <c r="Q706" s="228"/>
      <c r="R706" s="228"/>
      <c r="S706" s="228"/>
      <c r="T706" s="228"/>
      <c r="U706" s="228"/>
      <c r="V706" s="228"/>
      <c r="W706" s="228"/>
      <c r="X706" s="228"/>
      <c r="Y706" s="228"/>
      <c r="Z706" s="228"/>
      <c r="AA706" s="228"/>
      <c r="AB706" s="228"/>
      <c r="AC706" s="228"/>
      <c r="AD706" s="228"/>
      <c r="AE706" s="228"/>
      <c r="AF706" s="228"/>
      <c r="AG706" s="228"/>
      <c r="AH706" s="228"/>
      <c r="AI706" s="228"/>
      <c r="AJ706" s="228"/>
      <c r="AK706" s="228"/>
      <c r="AL706" s="228"/>
      <c r="AM706" s="228"/>
      <c r="AN706" s="228"/>
      <c r="AO706" s="228"/>
      <c r="AP706" s="228"/>
      <c r="AQ706" s="228"/>
      <c r="AR706" s="228"/>
      <c r="AS706" s="228"/>
      <c r="AT706" s="228"/>
      <c r="AU706" s="228"/>
      <c r="AV706" s="228"/>
      <c r="AW706" s="228"/>
      <c r="AX706" s="228"/>
      <c r="AY706" s="228"/>
      <c r="AZ706" s="228"/>
      <c r="BA706" s="228"/>
      <c r="BB706" s="228"/>
      <c r="BC706" s="228"/>
      <c r="BD706" s="228"/>
      <c r="BE706" s="228"/>
      <c r="BF706" s="228"/>
      <c r="BG706" s="228"/>
      <c r="BH706" s="228"/>
      <c r="BI706" s="228"/>
      <c r="BJ706" s="228"/>
      <c r="BK706" s="228"/>
      <c r="BL706" s="228"/>
      <c r="BM706" s="228"/>
      <c r="BN706" s="228"/>
      <c r="BO706" s="228"/>
      <c r="BP706" s="228"/>
      <c r="BQ706" s="228"/>
      <c r="BR706" s="228"/>
      <c r="BS706" s="228"/>
      <c r="BT706" s="228"/>
      <c r="BU706" s="228"/>
      <c r="BV706" s="228"/>
      <c r="BW706" s="228"/>
      <c r="BX706" s="228"/>
      <c r="BY706" s="228"/>
      <c r="BZ706" s="228"/>
      <c r="CA706" s="228"/>
      <c r="CB706" s="228"/>
      <c r="CC706" s="228"/>
      <c r="CD706" s="228"/>
      <c r="CE706" s="228"/>
      <c r="CF706" s="228"/>
      <c r="CG706" s="228"/>
      <c r="CH706" s="228"/>
      <c r="CI706" s="228"/>
      <c r="CJ706" s="228"/>
      <c r="CK706" s="228"/>
      <c r="CL706" s="228"/>
      <c r="CM706" s="228"/>
      <c r="CN706" s="228"/>
      <c r="CO706" s="228"/>
      <c r="CP706" s="228"/>
      <c r="CQ706" s="228"/>
      <c r="CR706" s="228"/>
      <c r="CS706" s="228"/>
      <c r="CT706" s="228"/>
      <c r="CU706" s="228"/>
      <c r="CV706" s="228"/>
      <c r="CW706" s="228"/>
      <c r="CX706" s="228"/>
      <c r="CY706" s="228"/>
      <c r="CZ706" s="228"/>
      <c r="DA706" s="228"/>
      <c r="DB706" s="228"/>
    </row>
    <row r="707" ht="12.0" customHeight="1">
      <c r="A707" s="228"/>
      <c r="B707" s="228"/>
      <c r="C707" s="228"/>
      <c r="D707" s="228"/>
      <c r="E707" s="228"/>
      <c r="F707" s="228"/>
      <c r="G707" s="228"/>
      <c r="H707" s="228"/>
      <c r="I707" s="228"/>
      <c r="J707" s="228"/>
      <c r="K707" s="228"/>
      <c r="L707" s="228"/>
      <c r="M707" s="228"/>
      <c r="N707" s="228"/>
      <c r="O707" s="228"/>
      <c r="P707" s="228"/>
      <c r="Q707" s="228"/>
      <c r="R707" s="228"/>
      <c r="S707" s="228"/>
      <c r="T707" s="228"/>
      <c r="U707" s="228"/>
      <c r="V707" s="228"/>
      <c r="W707" s="228"/>
      <c r="X707" s="228"/>
      <c r="Y707" s="228"/>
      <c r="Z707" s="228"/>
      <c r="AA707" s="228"/>
      <c r="AB707" s="228"/>
      <c r="AC707" s="228"/>
      <c r="AD707" s="228"/>
      <c r="AE707" s="228"/>
      <c r="AF707" s="228"/>
      <c r="AG707" s="228"/>
      <c r="AH707" s="228"/>
      <c r="AI707" s="228"/>
      <c r="AJ707" s="228"/>
      <c r="AK707" s="228"/>
      <c r="AL707" s="228"/>
      <c r="AM707" s="228"/>
      <c r="AN707" s="228"/>
      <c r="AO707" s="228"/>
      <c r="AP707" s="228"/>
      <c r="AQ707" s="228"/>
      <c r="AR707" s="228"/>
      <c r="AS707" s="228"/>
      <c r="AT707" s="228"/>
      <c r="AU707" s="228"/>
      <c r="AV707" s="228"/>
      <c r="AW707" s="228"/>
      <c r="AX707" s="228"/>
      <c r="AY707" s="228"/>
      <c r="AZ707" s="228"/>
      <c r="BA707" s="228"/>
      <c r="BB707" s="228"/>
      <c r="BC707" s="228"/>
      <c r="BD707" s="228"/>
      <c r="BE707" s="228"/>
      <c r="BF707" s="228"/>
      <c r="BG707" s="228"/>
      <c r="BH707" s="228"/>
      <c r="BI707" s="228"/>
      <c r="BJ707" s="228"/>
      <c r="BK707" s="228"/>
      <c r="BL707" s="228"/>
      <c r="BM707" s="228"/>
      <c r="BN707" s="228"/>
      <c r="BO707" s="228"/>
      <c r="BP707" s="228"/>
      <c r="BQ707" s="228"/>
      <c r="BR707" s="228"/>
      <c r="BS707" s="228"/>
      <c r="BT707" s="228"/>
      <c r="BU707" s="228"/>
      <c r="BV707" s="228"/>
      <c r="BW707" s="228"/>
      <c r="BX707" s="228"/>
      <c r="BY707" s="228"/>
      <c r="BZ707" s="228"/>
      <c r="CA707" s="228"/>
      <c r="CB707" s="228"/>
      <c r="CC707" s="228"/>
      <c r="CD707" s="228"/>
      <c r="CE707" s="228"/>
      <c r="CF707" s="228"/>
      <c r="CG707" s="228"/>
      <c r="CH707" s="228"/>
      <c r="CI707" s="228"/>
      <c r="CJ707" s="228"/>
      <c r="CK707" s="228"/>
      <c r="CL707" s="228"/>
      <c r="CM707" s="228"/>
      <c r="CN707" s="228"/>
      <c r="CO707" s="228"/>
      <c r="CP707" s="228"/>
      <c r="CQ707" s="228"/>
      <c r="CR707" s="228"/>
      <c r="CS707" s="228"/>
      <c r="CT707" s="228"/>
      <c r="CU707" s="228"/>
      <c r="CV707" s="228"/>
      <c r="CW707" s="228"/>
      <c r="CX707" s="228"/>
      <c r="CY707" s="228"/>
      <c r="CZ707" s="228"/>
      <c r="DA707" s="228"/>
      <c r="DB707" s="228"/>
    </row>
    <row r="708" ht="12.0" customHeight="1">
      <c r="A708" s="228"/>
      <c r="B708" s="228"/>
      <c r="C708" s="228"/>
      <c r="D708" s="228"/>
      <c r="E708" s="228"/>
      <c r="F708" s="228"/>
      <c r="G708" s="228"/>
      <c r="H708" s="228"/>
      <c r="I708" s="228"/>
      <c r="J708" s="228"/>
      <c r="K708" s="228"/>
      <c r="L708" s="228"/>
      <c r="M708" s="228"/>
      <c r="N708" s="228"/>
      <c r="O708" s="228"/>
      <c r="P708" s="228"/>
      <c r="Q708" s="228"/>
      <c r="R708" s="228"/>
      <c r="S708" s="228"/>
      <c r="T708" s="228"/>
      <c r="U708" s="228"/>
      <c r="V708" s="228"/>
      <c r="W708" s="228"/>
      <c r="X708" s="228"/>
      <c r="Y708" s="228"/>
      <c r="Z708" s="228"/>
      <c r="AA708" s="228"/>
      <c r="AB708" s="228"/>
      <c r="AC708" s="228"/>
      <c r="AD708" s="228"/>
      <c r="AE708" s="228"/>
      <c r="AF708" s="228"/>
      <c r="AG708" s="228"/>
      <c r="AH708" s="228"/>
      <c r="AI708" s="228"/>
      <c r="AJ708" s="228"/>
      <c r="AK708" s="228"/>
      <c r="AL708" s="228"/>
      <c r="AM708" s="228"/>
      <c r="AN708" s="228"/>
      <c r="AO708" s="228"/>
      <c r="AP708" s="228"/>
      <c r="AQ708" s="228"/>
      <c r="AR708" s="228"/>
      <c r="AS708" s="228"/>
      <c r="AT708" s="228"/>
      <c r="AU708" s="228"/>
      <c r="AV708" s="228"/>
      <c r="AW708" s="228"/>
      <c r="AX708" s="228"/>
      <c r="AY708" s="228"/>
      <c r="AZ708" s="228"/>
      <c r="BA708" s="228"/>
      <c r="BB708" s="228"/>
      <c r="BC708" s="228"/>
      <c r="BD708" s="228"/>
      <c r="BE708" s="228"/>
      <c r="BF708" s="228"/>
      <c r="BG708" s="228"/>
      <c r="BH708" s="228"/>
      <c r="BI708" s="228"/>
      <c r="BJ708" s="228"/>
      <c r="BK708" s="228"/>
      <c r="BL708" s="228"/>
      <c r="BM708" s="228"/>
      <c r="BN708" s="228"/>
      <c r="BO708" s="228"/>
      <c r="BP708" s="228"/>
      <c r="BQ708" s="228"/>
      <c r="BR708" s="228"/>
      <c r="BS708" s="228"/>
      <c r="BT708" s="228"/>
      <c r="BU708" s="228"/>
      <c r="BV708" s="228"/>
      <c r="BW708" s="228"/>
      <c r="BX708" s="228"/>
      <c r="BY708" s="228"/>
      <c r="BZ708" s="228"/>
      <c r="CA708" s="228"/>
      <c r="CB708" s="228"/>
      <c r="CC708" s="228"/>
      <c r="CD708" s="228"/>
      <c r="CE708" s="228"/>
      <c r="CF708" s="228"/>
      <c r="CG708" s="228"/>
      <c r="CH708" s="228"/>
      <c r="CI708" s="228"/>
      <c r="CJ708" s="228"/>
      <c r="CK708" s="228"/>
      <c r="CL708" s="228"/>
      <c r="CM708" s="228"/>
      <c r="CN708" s="228"/>
      <c r="CO708" s="228"/>
      <c r="CP708" s="228"/>
      <c r="CQ708" s="228"/>
      <c r="CR708" s="228"/>
      <c r="CS708" s="228"/>
      <c r="CT708" s="228"/>
      <c r="CU708" s="228"/>
      <c r="CV708" s="228"/>
      <c r="CW708" s="228"/>
      <c r="CX708" s="228"/>
      <c r="CY708" s="228"/>
      <c r="CZ708" s="228"/>
      <c r="DA708" s="228"/>
      <c r="DB708" s="228"/>
    </row>
    <row r="709" ht="12.0" customHeight="1">
      <c r="A709" s="228"/>
      <c r="B709" s="228"/>
      <c r="C709" s="228"/>
      <c r="D709" s="228"/>
      <c r="E709" s="228"/>
      <c r="F709" s="228"/>
      <c r="G709" s="228"/>
      <c r="H709" s="228"/>
      <c r="I709" s="228"/>
      <c r="J709" s="228"/>
      <c r="K709" s="228"/>
      <c r="L709" s="228"/>
      <c r="M709" s="228"/>
      <c r="N709" s="228"/>
      <c r="O709" s="228"/>
      <c r="P709" s="228"/>
      <c r="Q709" s="228"/>
      <c r="R709" s="228"/>
      <c r="S709" s="228"/>
      <c r="T709" s="228"/>
      <c r="U709" s="228"/>
      <c r="V709" s="228"/>
      <c r="W709" s="228"/>
      <c r="X709" s="228"/>
      <c r="Y709" s="228"/>
      <c r="Z709" s="228"/>
      <c r="AA709" s="228"/>
      <c r="AB709" s="228"/>
      <c r="AC709" s="228"/>
      <c r="AD709" s="228"/>
      <c r="AE709" s="228"/>
      <c r="AF709" s="228"/>
      <c r="AG709" s="228"/>
      <c r="AH709" s="228"/>
      <c r="AI709" s="228"/>
      <c r="AJ709" s="228"/>
      <c r="AK709" s="228"/>
      <c r="AL709" s="228"/>
      <c r="AM709" s="228"/>
      <c r="AN709" s="228"/>
      <c r="AO709" s="228"/>
      <c r="AP709" s="228"/>
      <c r="AQ709" s="228"/>
      <c r="AR709" s="228"/>
      <c r="AS709" s="228"/>
      <c r="AT709" s="228"/>
      <c r="AU709" s="228"/>
      <c r="AV709" s="228"/>
      <c r="AW709" s="228"/>
      <c r="AX709" s="228"/>
      <c r="AY709" s="228"/>
      <c r="AZ709" s="228"/>
      <c r="BA709" s="228"/>
      <c r="BB709" s="228"/>
      <c r="BC709" s="228"/>
      <c r="BD709" s="228"/>
      <c r="BE709" s="228"/>
      <c r="BF709" s="228"/>
      <c r="BG709" s="228"/>
      <c r="BH709" s="228"/>
      <c r="BI709" s="228"/>
      <c r="BJ709" s="228"/>
      <c r="BK709" s="228"/>
      <c r="BL709" s="228"/>
      <c r="BM709" s="228"/>
      <c r="BN709" s="228"/>
      <c r="BO709" s="228"/>
      <c r="BP709" s="228"/>
      <c r="BQ709" s="228"/>
      <c r="BR709" s="228"/>
      <c r="BS709" s="228"/>
      <c r="BT709" s="228"/>
      <c r="BU709" s="228"/>
      <c r="BV709" s="228"/>
      <c r="BW709" s="228"/>
      <c r="BX709" s="228"/>
      <c r="BY709" s="228"/>
      <c r="BZ709" s="228"/>
      <c r="CA709" s="228"/>
      <c r="CB709" s="228"/>
      <c r="CC709" s="228"/>
      <c r="CD709" s="228"/>
      <c r="CE709" s="228"/>
      <c r="CF709" s="228"/>
      <c r="CG709" s="228"/>
      <c r="CH709" s="228"/>
      <c r="CI709" s="228"/>
      <c r="CJ709" s="228"/>
      <c r="CK709" s="228"/>
      <c r="CL709" s="228"/>
      <c r="CM709" s="228"/>
      <c r="CN709" s="228"/>
      <c r="CO709" s="228"/>
      <c r="CP709" s="228"/>
      <c r="CQ709" s="228"/>
      <c r="CR709" s="228"/>
      <c r="CS709" s="228"/>
      <c r="CT709" s="228"/>
      <c r="CU709" s="228"/>
      <c r="CV709" s="228"/>
      <c r="CW709" s="228"/>
      <c r="CX709" s="228"/>
      <c r="CY709" s="228"/>
      <c r="CZ709" s="228"/>
      <c r="DA709" s="228"/>
      <c r="DB709" s="228"/>
    </row>
    <row r="710" ht="12.0" customHeight="1">
      <c r="A710" s="228"/>
      <c r="B710" s="228"/>
      <c r="C710" s="228"/>
      <c r="D710" s="228"/>
      <c r="E710" s="228"/>
      <c r="F710" s="228"/>
      <c r="G710" s="228"/>
      <c r="H710" s="228"/>
      <c r="I710" s="228"/>
      <c r="J710" s="228"/>
      <c r="K710" s="228"/>
      <c r="L710" s="228"/>
      <c r="M710" s="228"/>
      <c r="N710" s="228"/>
      <c r="O710" s="228"/>
      <c r="P710" s="228"/>
      <c r="Q710" s="228"/>
      <c r="R710" s="228"/>
      <c r="S710" s="228"/>
      <c r="T710" s="228"/>
      <c r="U710" s="228"/>
      <c r="V710" s="228"/>
      <c r="W710" s="228"/>
      <c r="X710" s="228"/>
      <c r="Y710" s="228"/>
      <c r="Z710" s="228"/>
      <c r="AA710" s="228"/>
      <c r="AB710" s="228"/>
      <c r="AC710" s="228"/>
      <c r="AD710" s="228"/>
      <c r="AE710" s="228"/>
      <c r="AF710" s="228"/>
      <c r="AG710" s="228"/>
      <c r="AH710" s="228"/>
      <c r="AI710" s="228"/>
      <c r="AJ710" s="228"/>
      <c r="AK710" s="228"/>
      <c r="AL710" s="228"/>
      <c r="AM710" s="228"/>
      <c r="AN710" s="228"/>
      <c r="AO710" s="228"/>
      <c r="AP710" s="228"/>
      <c r="AQ710" s="228"/>
      <c r="AR710" s="228"/>
      <c r="AS710" s="228"/>
      <c r="AT710" s="228"/>
      <c r="AU710" s="228"/>
      <c r="AV710" s="228"/>
      <c r="AW710" s="228"/>
      <c r="AX710" s="228"/>
      <c r="AY710" s="228"/>
      <c r="AZ710" s="228"/>
      <c r="BA710" s="228"/>
      <c r="BB710" s="228"/>
      <c r="BC710" s="228"/>
      <c r="BD710" s="228"/>
      <c r="BE710" s="228"/>
      <c r="BF710" s="228"/>
      <c r="BG710" s="228"/>
      <c r="BH710" s="228"/>
      <c r="BI710" s="228"/>
      <c r="BJ710" s="228"/>
      <c r="BK710" s="228"/>
      <c r="BL710" s="228"/>
      <c r="BM710" s="228"/>
      <c r="BN710" s="228"/>
      <c r="BO710" s="228"/>
      <c r="BP710" s="228"/>
      <c r="BQ710" s="228"/>
      <c r="BR710" s="228"/>
      <c r="BS710" s="228"/>
      <c r="BT710" s="228"/>
      <c r="BU710" s="228"/>
      <c r="BV710" s="228"/>
      <c r="BW710" s="228"/>
      <c r="BX710" s="228"/>
      <c r="BY710" s="228"/>
      <c r="BZ710" s="228"/>
      <c r="CA710" s="228"/>
      <c r="CB710" s="228"/>
      <c r="CC710" s="228"/>
      <c r="CD710" s="228"/>
      <c r="CE710" s="228"/>
      <c r="CF710" s="228"/>
      <c r="CG710" s="228"/>
      <c r="CH710" s="228"/>
      <c r="CI710" s="228"/>
      <c r="CJ710" s="228"/>
      <c r="CK710" s="228"/>
      <c r="CL710" s="228"/>
      <c r="CM710" s="228"/>
      <c r="CN710" s="228"/>
      <c r="CO710" s="228"/>
      <c r="CP710" s="228"/>
      <c r="CQ710" s="228"/>
      <c r="CR710" s="228"/>
      <c r="CS710" s="228"/>
      <c r="CT710" s="228"/>
      <c r="CU710" s="228"/>
      <c r="CV710" s="228"/>
      <c r="CW710" s="228"/>
      <c r="CX710" s="228"/>
      <c r="CY710" s="228"/>
      <c r="CZ710" s="228"/>
      <c r="DA710" s="228"/>
      <c r="DB710" s="228"/>
    </row>
    <row r="711" ht="12.0" customHeight="1">
      <c r="A711" s="228"/>
      <c r="B711" s="228"/>
      <c r="C711" s="228"/>
      <c r="D711" s="228"/>
      <c r="E711" s="228"/>
      <c r="F711" s="228"/>
      <c r="G711" s="228"/>
      <c r="H711" s="228"/>
      <c r="I711" s="228"/>
      <c r="J711" s="228"/>
      <c r="K711" s="228"/>
      <c r="L711" s="228"/>
      <c r="M711" s="228"/>
      <c r="N711" s="228"/>
      <c r="O711" s="228"/>
      <c r="P711" s="228"/>
      <c r="Q711" s="228"/>
      <c r="R711" s="228"/>
      <c r="S711" s="228"/>
      <c r="T711" s="228"/>
      <c r="U711" s="228"/>
      <c r="V711" s="228"/>
      <c r="W711" s="228"/>
      <c r="X711" s="228"/>
      <c r="Y711" s="228"/>
      <c r="Z711" s="228"/>
      <c r="AA711" s="228"/>
      <c r="AB711" s="228"/>
      <c r="AC711" s="228"/>
      <c r="AD711" s="228"/>
      <c r="AE711" s="228"/>
      <c r="AF711" s="228"/>
      <c r="AG711" s="228"/>
      <c r="AH711" s="228"/>
      <c r="AI711" s="228"/>
      <c r="AJ711" s="228"/>
      <c r="AK711" s="228"/>
      <c r="AL711" s="228"/>
      <c r="AM711" s="228"/>
      <c r="AN711" s="228"/>
      <c r="AO711" s="228"/>
      <c r="AP711" s="228"/>
      <c r="AQ711" s="228"/>
      <c r="AR711" s="228"/>
      <c r="AS711" s="228"/>
      <c r="AT711" s="228"/>
      <c r="AU711" s="228"/>
      <c r="AV711" s="228"/>
      <c r="AW711" s="228"/>
      <c r="AX711" s="228"/>
      <c r="AY711" s="228"/>
      <c r="AZ711" s="228"/>
      <c r="BA711" s="228"/>
      <c r="BB711" s="228"/>
      <c r="BC711" s="228"/>
      <c r="BD711" s="228"/>
      <c r="BE711" s="228"/>
      <c r="BF711" s="228"/>
      <c r="BG711" s="228"/>
      <c r="BH711" s="228"/>
      <c r="BI711" s="228"/>
      <c r="BJ711" s="228"/>
      <c r="BK711" s="228"/>
      <c r="BL711" s="228"/>
      <c r="BM711" s="228"/>
      <c r="BN711" s="228"/>
      <c r="BO711" s="228"/>
      <c r="BP711" s="228"/>
      <c r="BQ711" s="228"/>
      <c r="BR711" s="228"/>
      <c r="BS711" s="228"/>
      <c r="BT711" s="228"/>
      <c r="BU711" s="228"/>
      <c r="BV711" s="228"/>
      <c r="BW711" s="228"/>
      <c r="BX711" s="228"/>
      <c r="BY711" s="228"/>
      <c r="BZ711" s="228"/>
      <c r="CA711" s="228"/>
      <c r="CB711" s="228"/>
      <c r="CC711" s="228"/>
      <c r="CD711" s="228"/>
      <c r="CE711" s="228"/>
      <c r="CF711" s="228"/>
      <c r="CG711" s="228"/>
      <c r="CH711" s="228"/>
      <c r="CI711" s="228"/>
      <c r="CJ711" s="228"/>
      <c r="CK711" s="228"/>
      <c r="CL711" s="228"/>
      <c r="CM711" s="228"/>
      <c r="CN711" s="228"/>
      <c r="CO711" s="228"/>
      <c r="CP711" s="228"/>
      <c r="CQ711" s="228"/>
      <c r="CR711" s="228"/>
      <c r="CS711" s="228"/>
      <c r="CT711" s="228"/>
      <c r="CU711" s="228"/>
      <c r="CV711" s="228"/>
      <c r="CW711" s="228"/>
      <c r="CX711" s="228"/>
      <c r="CY711" s="228"/>
      <c r="CZ711" s="228"/>
      <c r="DA711" s="228"/>
      <c r="DB711" s="228"/>
    </row>
    <row r="712" ht="12.0" customHeight="1">
      <c r="A712" s="228"/>
      <c r="B712" s="228"/>
      <c r="C712" s="228"/>
      <c r="D712" s="228"/>
      <c r="E712" s="228"/>
      <c r="F712" s="228"/>
      <c r="G712" s="228"/>
      <c r="H712" s="228"/>
      <c r="I712" s="228"/>
      <c r="J712" s="228"/>
      <c r="K712" s="228"/>
      <c r="L712" s="228"/>
      <c r="M712" s="228"/>
      <c r="N712" s="228"/>
      <c r="O712" s="228"/>
      <c r="P712" s="228"/>
      <c r="Q712" s="228"/>
      <c r="R712" s="228"/>
      <c r="S712" s="228"/>
      <c r="T712" s="228"/>
      <c r="U712" s="228"/>
      <c r="V712" s="228"/>
      <c r="W712" s="228"/>
      <c r="X712" s="228"/>
      <c r="Y712" s="228"/>
      <c r="Z712" s="228"/>
      <c r="AA712" s="228"/>
      <c r="AB712" s="228"/>
      <c r="AC712" s="228"/>
      <c r="AD712" s="228"/>
      <c r="AE712" s="228"/>
      <c r="AF712" s="228"/>
      <c r="AG712" s="228"/>
      <c r="AH712" s="228"/>
      <c r="AI712" s="228"/>
      <c r="AJ712" s="228"/>
      <c r="AK712" s="228"/>
      <c r="AL712" s="228"/>
      <c r="AM712" s="228"/>
      <c r="AN712" s="228"/>
      <c r="AO712" s="228"/>
      <c r="AP712" s="228"/>
      <c r="AQ712" s="228"/>
      <c r="AR712" s="228"/>
      <c r="AS712" s="228"/>
      <c r="AT712" s="228"/>
      <c r="AU712" s="228"/>
      <c r="AV712" s="228"/>
      <c r="AW712" s="228"/>
      <c r="AX712" s="228"/>
      <c r="AY712" s="228"/>
      <c r="AZ712" s="228"/>
      <c r="BA712" s="228"/>
      <c r="BB712" s="228"/>
      <c r="BC712" s="228"/>
      <c r="BD712" s="228"/>
      <c r="BE712" s="228"/>
      <c r="BF712" s="228"/>
      <c r="BG712" s="228"/>
      <c r="BH712" s="228"/>
      <c r="BI712" s="228"/>
      <c r="BJ712" s="228"/>
      <c r="BK712" s="228"/>
      <c r="BL712" s="228"/>
      <c r="BM712" s="228"/>
      <c r="BN712" s="228"/>
      <c r="BO712" s="228"/>
      <c r="BP712" s="228"/>
      <c r="BQ712" s="228"/>
      <c r="BR712" s="228"/>
      <c r="BS712" s="228"/>
      <c r="BT712" s="228"/>
      <c r="BU712" s="228"/>
      <c r="BV712" s="228"/>
      <c r="BW712" s="228"/>
      <c r="BX712" s="228"/>
      <c r="BY712" s="228"/>
      <c r="BZ712" s="228"/>
      <c r="CA712" s="228"/>
      <c r="CB712" s="228"/>
      <c r="CC712" s="228"/>
      <c r="CD712" s="228"/>
      <c r="CE712" s="228"/>
      <c r="CF712" s="228"/>
      <c r="CG712" s="228"/>
      <c r="CH712" s="228"/>
      <c r="CI712" s="228"/>
      <c r="CJ712" s="228"/>
      <c r="CK712" s="228"/>
      <c r="CL712" s="228"/>
      <c r="CM712" s="228"/>
      <c r="CN712" s="228"/>
      <c r="CO712" s="228"/>
      <c r="CP712" s="228"/>
      <c r="CQ712" s="228"/>
      <c r="CR712" s="228"/>
      <c r="CS712" s="228"/>
      <c r="CT712" s="228"/>
      <c r="CU712" s="228"/>
      <c r="CV712" s="228"/>
      <c r="CW712" s="228"/>
      <c r="CX712" s="228"/>
      <c r="CY712" s="228"/>
      <c r="CZ712" s="228"/>
      <c r="DA712" s="228"/>
      <c r="DB712" s="228"/>
    </row>
    <row r="713" ht="12.0" customHeight="1">
      <c r="A713" s="228"/>
      <c r="B713" s="228"/>
      <c r="C713" s="228"/>
      <c r="D713" s="228"/>
      <c r="E713" s="228"/>
      <c r="F713" s="228"/>
      <c r="G713" s="228"/>
      <c r="H713" s="228"/>
      <c r="I713" s="228"/>
      <c r="J713" s="228"/>
      <c r="K713" s="228"/>
      <c r="L713" s="228"/>
      <c r="M713" s="228"/>
      <c r="N713" s="228"/>
      <c r="O713" s="228"/>
      <c r="P713" s="228"/>
      <c r="Q713" s="228"/>
      <c r="R713" s="228"/>
      <c r="S713" s="228"/>
      <c r="T713" s="228"/>
      <c r="U713" s="228"/>
      <c r="V713" s="228"/>
      <c r="W713" s="228"/>
      <c r="X713" s="228"/>
      <c r="Y713" s="228"/>
      <c r="Z713" s="228"/>
      <c r="AA713" s="228"/>
      <c r="AB713" s="228"/>
      <c r="AC713" s="228"/>
      <c r="AD713" s="228"/>
      <c r="AE713" s="228"/>
      <c r="AF713" s="228"/>
      <c r="AG713" s="228"/>
      <c r="AH713" s="228"/>
      <c r="AI713" s="228"/>
      <c r="AJ713" s="228"/>
      <c r="AK713" s="228"/>
      <c r="AL713" s="228"/>
      <c r="AM713" s="228"/>
      <c r="AN713" s="228"/>
      <c r="AO713" s="228"/>
      <c r="AP713" s="228"/>
      <c r="AQ713" s="228"/>
      <c r="AR713" s="228"/>
      <c r="AS713" s="228"/>
      <c r="AT713" s="228"/>
      <c r="AU713" s="228"/>
      <c r="AV713" s="228"/>
      <c r="AW713" s="228"/>
      <c r="AX713" s="228"/>
      <c r="AY713" s="228"/>
      <c r="AZ713" s="228"/>
      <c r="BA713" s="228"/>
      <c r="BB713" s="228"/>
      <c r="BC713" s="228"/>
      <c r="BD713" s="228"/>
      <c r="BE713" s="228"/>
      <c r="BF713" s="228"/>
      <c r="BG713" s="228"/>
      <c r="BH713" s="228"/>
      <c r="BI713" s="228"/>
      <c r="BJ713" s="228"/>
      <c r="BK713" s="228"/>
      <c r="BL713" s="228"/>
      <c r="BM713" s="228"/>
      <c r="BN713" s="228"/>
      <c r="BO713" s="228"/>
      <c r="BP713" s="228"/>
      <c r="BQ713" s="228"/>
      <c r="BR713" s="228"/>
      <c r="BS713" s="228"/>
      <c r="BT713" s="228"/>
      <c r="BU713" s="228"/>
      <c r="BV713" s="228"/>
      <c r="BW713" s="228"/>
      <c r="BX713" s="228"/>
      <c r="BY713" s="228"/>
      <c r="BZ713" s="228"/>
      <c r="CA713" s="228"/>
      <c r="CB713" s="228"/>
      <c r="CC713" s="228"/>
      <c r="CD713" s="228"/>
      <c r="CE713" s="228"/>
      <c r="CF713" s="228"/>
      <c r="CG713" s="228"/>
      <c r="CH713" s="228"/>
      <c r="CI713" s="228"/>
      <c r="CJ713" s="228"/>
      <c r="CK713" s="228"/>
      <c r="CL713" s="228"/>
      <c r="CM713" s="228"/>
      <c r="CN713" s="228"/>
      <c r="CO713" s="228"/>
      <c r="CP713" s="228"/>
      <c r="CQ713" s="228"/>
      <c r="CR713" s="228"/>
      <c r="CS713" s="228"/>
      <c r="CT713" s="228"/>
      <c r="CU713" s="228"/>
      <c r="CV713" s="228"/>
      <c r="CW713" s="228"/>
      <c r="CX713" s="228"/>
      <c r="CY713" s="228"/>
      <c r="CZ713" s="228"/>
      <c r="DA713" s="228"/>
      <c r="DB713" s="228"/>
    </row>
    <row r="714" ht="12.0" customHeight="1">
      <c r="A714" s="228"/>
      <c r="B714" s="228"/>
      <c r="C714" s="228"/>
      <c r="D714" s="228"/>
      <c r="E714" s="228"/>
      <c r="F714" s="228"/>
      <c r="G714" s="228"/>
      <c r="H714" s="228"/>
      <c r="I714" s="228"/>
      <c r="J714" s="228"/>
      <c r="K714" s="228"/>
      <c r="L714" s="228"/>
      <c r="M714" s="228"/>
      <c r="N714" s="228"/>
      <c r="O714" s="228"/>
      <c r="P714" s="228"/>
      <c r="Q714" s="228"/>
      <c r="R714" s="228"/>
      <c r="S714" s="228"/>
      <c r="T714" s="228"/>
      <c r="U714" s="228"/>
      <c r="V714" s="228"/>
      <c r="W714" s="228"/>
      <c r="X714" s="228"/>
      <c r="Y714" s="228"/>
      <c r="Z714" s="228"/>
      <c r="AA714" s="228"/>
      <c r="AB714" s="228"/>
      <c r="AC714" s="228"/>
      <c r="AD714" s="228"/>
      <c r="AE714" s="228"/>
      <c r="AF714" s="228"/>
      <c r="AG714" s="228"/>
      <c r="AH714" s="228"/>
      <c r="AI714" s="228"/>
      <c r="AJ714" s="228"/>
      <c r="AK714" s="228"/>
      <c r="AL714" s="228"/>
      <c r="AM714" s="228"/>
      <c r="AN714" s="228"/>
      <c r="AO714" s="228"/>
      <c r="AP714" s="228"/>
      <c r="AQ714" s="228"/>
      <c r="AR714" s="228"/>
      <c r="AS714" s="228"/>
      <c r="AT714" s="228"/>
      <c r="AU714" s="228"/>
      <c r="AV714" s="228"/>
      <c r="AW714" s="228"/>
      <c r="AX714" s="228"/>
      <c r="AY714" s="228"/>
      <c r="AZ714" s="228"/>
      <c r="BA714" s="228"/>
      <c r="BB714" s="228"/>
      <c r="BC714" s="228"/>
      <c r="BD714" s="228"/>
      <c r="BE714" s="228"/>
      <c r="BF714" s="228"/>
      <c r="BG714" s="228"/>
      <c r="BH714" s="228"/>
      <c r="BI714" s="228"/>
      <c r="BJ714" s="228"/>
      <c r="BK714" s="228"/>
      <c r="BL714" s="228"/>
      <c r="BM714" s="228"/>
      <c r="BN714" s="228"/>
      <c r="BO714" s="228"/>
      <c r="BP714" s="228"/>
      <c r="BQ714" s="228"/>
      <c r="BR714" s="228"/>
      <c r="BS714" s="228"/>
      <c r="BT714" s="228"/>
      <c r="BU714" s="228"/>
      <c r="BV714" s="228"/>
      <c r="BW714" s="228"/>
      <c r="BX714" s="228"/>
      <c r="BY714" s="228"/>
      <c r="BZ714" s="228"/>
      <c r="CA714" s="228"/>
      <c r="CB714" s="228"/>
      <c r="CC714" s="228"/>
      <c r="CD714" s="228"/>
      <c r="CE714" s="228"/>
      <c r="CF714" s="228"/>
      <c r="CG714" s="228"/>
      <c r="CH714" s="228"/>
      <c r="CI714" s="228"/>
      <c r="CJ714" s="228"/>
      <c r="CK714" s="228"/>
      <c r="CL714" s="228"/>
      <c r="CM714" s="228"/>
      <c r="CN714" s="228"/>
      <c r="CO714" s="228"/>
      <c r="CP714" s="228"/>
      <c r="CQ714" s="228"/>
      <c r="CR714" s="228"/>
      <c r="CS714" s="228"/>
      <c r="CT714" s="228"/>
      <c r="CU714" s="228"/>
      <c r="CV714" s="228"/>
      <c r="CW714" s="228"/>
      <c r="CX714" s="228"/>
      <c r="CY714" s="228"/>
      <c r="CZ714" s="228"/>
      <c r="DA714" s="228"/>
      <c r="DB714" s="228"/>
    </row>
    <row r="715" ht="12.0" customHeight="1">
      <c r="A715" s="228"/>
      <c r="B715" s="228"/>
      <c r="C715" s="228"/>
      <c r="D715" s="228"/>
      <c r="E715" s="228"/>
      <c r="F715" s="228"/>
      <c r="G715" s="228"/>
      <c r="H715" s="228"/>
      <c r="I715" s="228"/>
      <c r="J715" s="228"/>
      <c r="K715" s="228"/>
      <c r="L715" s="228"/>
      <c r="M715" s="228"/>
      <c r="N715" s="228"/>
      <c r="O715" s="228"/>
      <c r="P715" s="228"/>
      <c r="Q715" s="228"/>
      <c r="R715" s="228"/>
      <c r="S715" s="228"/>
      <c r="T715" s="228"/>
      <c r="U715" s="228"/>
      <c r="V715" s="228"/>
      <c r="W715" s="228"/>
      <c r="X715" s="228"/>
      <c r="Y715" s="228"/>
      <c r="Z715" s="228"/>
      <c r="AA715" s="228"/>
      <c r="AB715" s="228"/>
      <c r="AC715" s="228"/>
      <c r="AD715" s="228"/>
      <c r="AE715" s="228"/>
      <c r="AF715" s="228"/>
      <c r="AG715" s="228"/>
      <c r="AH715" s="228"/>
      <c r="AI715" s="228"/>
      <c r="AJ715" s="228"/>
      <c r="AK715" s="228"/>
      <c r="AL715" s="228"/>
      <c r="AM715" s="228"/>
      <c r="AN715" s="228"/>
      <c r="AO715" s="228"/>
      <c r="AP715" s="228"/>
      <c r="AQ715" s="228"/>
      <c r="AR715" s="228"/>
      <c r="AS715" s="228"/>
      <c r="AT715" s="228"/>
      <c r="AU715" s="228"/>
      <c r="AV715" s="228"/>
      <c r="AW715" s="228"/>
      <c r="AX715" s="228"/>
      <c r="AY715" s="228"/>
      <c r="AZ715" s="228"/>
      <c r="BA715" s="228"/>
      <c r="BB715" s="228"/>
      <c r="BC715" s="228"/>
      <c r="BD715" s="228"/>
      <c r="BE715" s="228"/>
      <c r="BF715" s="228"/>
      <c r="BG715" s="228"/>
      <c r="BH715" s="228"/>
      <c r="BI715" s="228"/>
      <c r="BJ715" s="228"/>
      <c r="BK715" s="228"/>
      <c r="BL715" s="228"/>
      <c r="BM715" s="228"/>
      <c r="BN715" s="228"/>
      <c r="BO715" s="228"/>
      <c r="BP715" s="228"/>
      <c r="BQ715" s="228"/>
      <c r="BR715" s="228"/>
      <c r="BS715" s="228"/>
      <c r="BT715" s="228"/>
      <c r="BU715" s="228"/>
      <c r="BV715" s="228"/>
      <c r="BW715" s="228"/>
      <c r="BX715" s="228"/>
      <c r="BY715" s="228"/>
      <c r="BZ715" s="228"/>
      <c r="CA715" s="228"/>
      <c r="CB715" s="228"/>
      <c r="CC715" s="228"/>
      <c r="CD715" s="228"/>
      <c r="CE715" s="228"/>
      <c r="CF715" s="228"/>
      <c r="CG715" s="228"/>
      <c r="CH715" s="228"/>
      <c r="CI715" s="228"/>
      <c r="CJ715" s="228"/>
      <c r="CK715" s="228"/>
      <c r="CL715" s="228"/>
      <c r="CM715" s="228"/>
      <c r="CN715" s="228"/>
      <c r="CO715" s="228"/>
      <c r="CP715" s="228"/>
      <c r="CQ715" s="228"/>
      <c r="CR715" s="228"/>
      <c r="CS715" s="228"/>
      <c r="CT715" s="228"/>
      <c r="CU715" s="228"/>
      <c r="CV715" s="228"/>
      <c r="CW715" s="228"/>
      <c r="CX715" s="228"/>
      <c r="CY715" s="228"/>
      <c r="CZ715" s="228"/>
      <c r="DA715" s="228"/>
      <c r="DB715" s="228"/>
    </row>
    <row r="716" ht="12.0" customHeight="1">
      <c r="A716" s="228"/>
      <c r="B716" s="228"/>
      <c r="C716" s="228"/>
      <c r="D716" s="228"/>
      <c r="E716" s="228"/>
      <c r="F716" s="228"/>
      <c r="G716" s="228"/>
      <c r="H716" s="228"/>
      <c r="I716" s="228"/>
      <c r="J716" s="228"/>
      <c r="K716" s="228"/>
      <c r="L716" s="228"/>
      <c r="M716" s="228"/>
      <c r="N716" s="228"/>
      <c r="O716" s="228"/>
      <c r="P716" s="228"/>
      <c r="Q716" s="228"/>
      <c r="R716" s="228"/>
      <c r="S716" s="228"/>
      <c r="T716" s="228"/>
      <c r="U716" s="228"/>
      <c r="V716" s="228"/>
      <c r="W716" s="228"/>
      <c r="X716" s="228"/>
      <c r="Y716" s="228"/>
      <c r="Z716" s="228"/>
      <c r="AA716" s="228"/>
      <c r="AB716" s="228"/>
      <c r="AC716" s="228"/>
      <c r="AD716" s="228"/>
      <c r="AE716" s="228"/>
      <c r="AF716" s="228"/>
      <c r="AG716" s="228"/>
      <c r="AH716" s="228"/>
      <c r="AI716" s="228"/>
      <c r="AJ716" s="228"/>
      <c r="AK716" s="228"/>
      <c r="AL716" s="228"/>
      <c r="AM716" s="228"/>
      <c r="AN716" s="228"/>
      <c r="AO716" s="228"/>
      <c r="AP716" s="228"/>
      <c r="AQ716" s="228"/>
      <c r="AR716" s="228"/>
      <c r="AS716" s="228"/>
      <c r="AT716" s="228"/>
      <c r="AU716" s="228"/>
      <c r="AV716" s="228"/>
      <c r="AW716" s="228"/>
      <c r="AX716" s="228"/>
      <c r="AY716" s="228"/>
      <c r="AZ716" s="228"/>
      <c r="BA716" s="228"/>
      <c r="BB716" s="228"/>
      <c r="BC716" s="228"/>
      <c r="BD716" s="228"/>
      <c r="BE716" s="228"/>
      <c r="BF716" s="228"/>
      <c r="BG716" s="228"/>
      <c r="BH716" s="228"/>
      <c r="BI716" s="228"/>
      <c r="BJ716" s="228"/>
      <c r="BK716" s="228"/>
      <c r="BL716" s="228"/>
      <c r="BM716" s="228"/>
      <c r="BN716" s="228"/>
      <c r="BO716" s="228"/>
      <c r="BP716" s="228"/>
      <c r="BQ716" s="228"/>
      <c r="BR716" s="228"/>
      <c r="BS716" s="228"/>
      <c r="BT716" s="228"/>
      <c r="BU716" s="228"/>
      <c r="BV716" s="228"/>
      <c r="BW716" s="228"/>
      <c r="BX716" s="228"/>
      <c r="BY716" s="228"/>
      <c r="BZ716" s="228"/>
      <c r="CA716" s="228"/>
      <c r="CB716" s="228"/>
      <c r="CC716" s="228"/>
      <c r="CD716" s="228"/>
      <c r="CE716" s="228"/>
      <c r="CF716" s="228"/>
      <c r="CG716" s="228"/>
      <c r="CH716" s="228"/>
      <c r="CI716" s="228"/>
      <c r="CJ716" s="228"/>
      <c r="CK716" s="228"/>
      <c r="CL716" s="228"/>
      <c r="CM716" s="228"/>
      <c r="CN716" s="228"/>
      <c r="CO716" s="228"/>
      <c r="CP716" s="228"/>
      <c r="CQ716" s="228"/>
      <c r="CR716" s="228"/>
      <c r="CS716" s="228"/>
      <c r="CT716" s="228"/>
      <c r="CU716" s="228"/>
      <c r="CV716" s="228"/>
      <c r="CW716" s="228"/>
      <c r="CX716" s="228"/>
      <c r="CY716" s="228"/>
      <c r="CZ716" s="228"/>
      <c r="DA716" s="228"/>
      <c r="DB716" s="228"/>
    </row>
    <row r="717" ht="12.0" customHeight="1">
      <c r="A717" s="228"/>
      <c r="B717" s="228"/>
      <c r="C717" s="228"/>
      <c r="D717" s="228"/>
      <c r="E717" s="228"/>
      <c r="F717" s="228"/>
      <c r="G717" s="228"/>
      <c r="H717" s="228"/>
      <c r="I717" s="228"/>
      <c r="J717" s="228"/>
      <c r="K717" s="228"/>
      <c r="L717" s="228"/>
      <c r="M717" s="228"/>
      <c r="N717" s="228"/>
      <c r="O717" s="228"/>
      <c r="P717" s="228"/>
      <c r="Q717" s="228"/>
      <c r="R717" s="228"/>
      <c r="S717" s="228"/>
      <c r="T717" s="228"/>
      <c r="U717" s="228"/>
      <c r="V717" s="228"/>
      <c r="W717" s="228"/>
      <c r="X717" s="228"/>
      <c r="Y717" s="228"/>
      <c r="Z717" s="228"/>
      <c r="AA717" s="228"/>
      <c r="AB717" s="228"/>
      <c r="AC717" s="228"/>
      <c r="AD717" s="228"/>
      <c r="AE717" s="228"/>
      <c r="AF717" s="228"/>
      <c r="AG717" s="228"/>
      <c r="AH717" s="228"/>
      <c r="AI717" s="228"/>
      <c r="AJ717" s="228"/>
      <c r="AK717" s="228"/>
      <c r="AL717" s="228"/>
      <c r="AM717" s="228"/>
      <c r="AN717" s="228"/>
      <c r="AO717" s="228"/>
      <c r="AP717" s="228"/>
      <c r="AQ717" s="228"/>
      <c r="AR717" s="228"/>
      <c r="AS717" s="228"/>
      <c r="AT717" s="228"/>
      <c r="AU717" s="228"/>
      <c r="AV717" s="228"/>
      <c r="AW717" s="228"/>
      <c r="AX717" s="228"/>
      <c r="AY717" s="228"/>
      <c r="AZ717" s="228"/>
      <c r="BA717" s="228"/>
      <c r="BB717" s="228"/>
      <c r="BC717" s="228"/>
      <c r="BD717" s="228"/>
      <c r="BE717" s="228"/>
      <c r="BF717" s="228"/>
      <c r="BG717" s="228"/>
      <c r="BH717" s="228"/>
      <c r="BI717" s="228"/>
      <c r="BJ717" s="228"/>
      <c r="BK717" s="228"/>
      <c r="BL717" s="228"/>
      <c r="BM717" s="228"/>
      <c r="BN717" s="228"/>
      <c r="BO717" s="228"/>
      <c r="BP717" s="228"/>
      <c r="BQ717" s="228"/>
      <c r="BR717" s="228"/>
      <c r="BS717" s="228"/>
      <c r="BT717" s="228"/>
      <c r="BU717" s="228"/>
      <c r="BV717" s="228"/>
      <c r="BW717" s="228"/>
      <c r="BX717" s="228"/>
      <c r="BY717" s="228"/>
      <c r="BZ717" s="228"/>
      <c r="CA717" s="228"/>
      <c r="CB717" s="228"/>
      <c r="CC717" s="228"/>
      <c r="CD717" s="228"/>
      <c r="CE717" s="228"/>
      <c r="CF717" s="228"/>
      <c r="CG717" s="228"/>
      <c r="CH717" s="228"/>
      <c r="CI717" s="228"/>
      <c r="CJ717" s="228"/>
      <c r="CK717" s="228"/>
      <c r="CL717" s="228"/>
      <c r="CM717" s="228"/>
      <c r="CN717" s="228"/>
      <c r="CO717" s="228"/>
      <c r="CP717" s="228"/>
      <c r="CQ717" s="228"/>
      <c r="CR717" s="228"/>
      <c r="CS717" s="228"/>
      <c r="CT717" s="228"/>
      <c r="CU717" s="228"/>
      <c r="CV717" s="228"/>
      <c r="CW717" s="228"/>
      <c r="CX717" s="228"/>
      <c r="CY717" s="228"/>
      <c r="CZ717" s="228"/>
      <c r="DA717" s="228"/>
      <c r="DB717" s="228"/>
    </row>
    <row r="718" ht="12.0" customHeight="1">
      <c r="A718" s="228"/>
      <c r="B718" s="228"/>
      <c r="C718" s="228"/>
      <c r="D718" s="228"/>
      <c r="E718" s="228"/>
      <c r="F718" s="228"/>
      <c r="G718" s="228"/>
      <c r="H718" s="228"/>
      <c r="I718" s="228"/>
      <c r="J718" s="228"/>
      <c r="K718" s="228"/>
      <c r="L718" s="228"/>
      <c r="M718" s="228"/>
      <c r="N718" s="228"/>
      <c r="O718" s="228"/>
      <c r="P718" s="228"/>
      <c r="Q718" s="228"/>
      <c r="R718" s="228"/>
      <c r="S718" s="228"/>
      <c r="T718" s="228"/>
      <c r="U718" s="228"/>
      <c r="V718" s="228"/>
      <c r="W718" s="228"/>
      <c r="X718" s="228"/>
      <c r="Y718" s="228"/>
      <c r="Z718" s="228"/>
      <c r="AA718" s="228"/>
      <c r="AB718" s="228"/>
      <c r="AC718" s="228"/>
      <c r="AD718" s="228"/>
      <c r="AE718" s="228"/>
      <c r="AF718" s="228"/>
      <c r="AG718" s="228"/>
      <c r="AH718" s="228"/>
      <c r="AI718" s="228"/>
      <c r="AJ718" s="228"/>
      <c r="AK718" s="228"/>
      <c r="AL718" s="228"/>
      <c r="AM718" s="228"/>
      <c r="AN718" s="228"/>
      <c r="AO718" s="228"/>
      <c r="AP718" s="228"/>
      <c r="AQ718" s="228"/>
      <c r="AR718" s="228"/>
      <c r="AS718" s="228"/>
      <c r="AT718" s="228"/>
      <c r="AU718" s="228"/>
      <c r="AV718" s="228"/>
      <c r="AW718" s="228"/>
      <c r="AX718" s="228"/>
      <c r="AY718" s="228"/>
      <c r="AZ718" s="228"/>
      <c r="BA718" s="228"/>
      <c r="BB718" s="228"/>
      <c r="BC718" s="228"/>
      <c r="BD718" s="228"/>
      <c r="BE718" s="228"/>
      <c r="BF718" s="228"/>
      <c r="BG718" s="228"/>
      <c r="BH718" s="228"/>
      <c r="BI718" s="228"/>
      <c r="BJ718" s="228"/>
      <c r="BK718" s="228"/>
      <c r="BL718" s="228"/>
      <c r="BM718" s="228"/>
      <c r="BN718" s="228"/>
      <c r="BO718" s="228"/>
      <c r="BP718" s="228"/>
      <c r="BQ718" s="228"/>
      <c r="BR718" s="228"/>
      <c r="BS718" s="228"/>
      <c r="BT718" s="228"/>
      <c r="BU718" s="228"/>
      <c r="BV718" s="228"/>
      <c r="BW718" s="228"/>
      <c r="BX718" s="228"/>
      <c r="BY718" s="228"/>
      <c r="BZ718" s="228"/>
      <c r="CA718" s="228"/>
      <c r="CB718" s="228"/>
      <c r="CC718" s="228"/>
      <c r="CD718" s="228"/>
      <c r="CE718" s="228"/>
      <c r="CF718" s="228"/>
      <c r="CG718" s="228"/>
      <c r="CH718" s="228"/>
      <c r="CI718" s="228"/>
      <c r="CJ718" s="228"/>
      <c r="CK718" s="228"/>
      <c r="CL718" s="228"/>
      <c r="CM718" s="228"/>
      <c r="CN718" s="228"/>
      <c r="CO718" s="228"/>
      <c r="CP718" s="228"/>
      <c r="CQ718" s="228"/>
      <c r="CR718" s="228"/>
      <c r="CS718" s="228"/>
      <c r="CT718" s="228"/>
      <c r="CU718" s="228"/>
      <c r="CV718" s="228"/>
      <c r="CW718" s="228"/>
      <c r="CX718" s="228"/>
      <c r="CY718" s="228"/>
      <c r="CZ718" s="228"/>
      <c r="DA718" s="228"/>
      <c r="DB718" s="228"/>
    </row>
    <row r="719" ht="12.0" customHeight="1">
      <c r="A719" s="228"/>
      <c r="B719" s="228"/>
      <c r="C719" s="228"/>
      <c r="D719" s="228"/>
      <c r="E719" s="228"/>
      <c r="F719" s="228"/>
      <c r="G719" s="228"/>
      <c r="H719" s="228"/>
      <c r="I719" s="228"/>
      <c r="J719" s="228"/>
      <c r="K719" s="228"/>
      <c r="L719" s="228"/>
      <c r="M719" s="228"/>
      <c r="N719" s="228"/>
      <c r="O719" s="228"/>
      <c r="P719" s="228"/>
      <c r="Q719" s="228"/>
      <c r="R719" s="228"/>
      <c r="S719" s="228"/>
      <c r="T719" s="228"/>
      <c r="U719" s="228"/>
      <c r="V719" s="228"/>
      <c r="W719" s="228"/>
      <c r="X719" s="228"/>
      <c r="Y719" s="228"/>
      <c r="Z719" s="228"/>
      <c r="AA719" s="228"/>
      <c r="AB719" s="228"/>
      <c r="AC719" s="228"/>
      <c r="AD719" s="228"/>
      <c r="AE719" s="228"/>
      <c r="AF719" s="228"/>
      <c r="AG719" s="228"/>
      <c r="AH719" s="228"/>
      <c r="AI719" s="228"/>
      <c r="AJ719" s="228"/>
      <c r="AK719" s="228"/>
      <c r="AL719" s="228"/>
      <c r="AM719" s="228"/>
      <c r="AN719" s="228"/>
      <c r="AO719" s="228"/>
      <c r="AP719" s="228"/>
      <c r="AQ719" s="228"/>
      <c r="AR719" s="228"/>
      <c r="AS719" s="228"/>
      <c r="AT719" s="228"/>
      <c r="AU719" s="228"/>
      <c r="AV719" s="228"/>
      <c r="AW719" s="228"/>
      <c r="AX719" s="228"/>
      <c r="AY719" s="228"/>
      <c r="AZ719" s="228"/>
      <c r="BA719" s="228"/>
      <c r="BB719" s="228"/>
      <c r="BC719" s="228"/>
      <c r="BD719" s="228"/>
      <c r="BE719" s="228"/>
      <c r="BF719" s="228"/>
      <c r="BG719" s="228"/>
      <c r="BH719" s="228"/>
      <c r="BI719" s="228"/>
      <c r="BJ719" s="228"/>
      <c r="BK719" s="228"/>
      <c r="BL719" s="228"/>
      <c r="BM719" s="228"/>
      <c r="BN719" s="228"/>
      <c r="BO719" s="228"/>
      <c r="BP719" s="228"/>
      <c r="BQ719" s="228"/>
      <c r="BR719" s="228"/>
      <c r="BS719" s="228"/>
      <c r="BT719" s="228"/>
      <c r="BU719" s="228"/>
      <c r="BV719" s="228"/>
      <c r="BW719" s="228"/>
      <c r="BX719" s="228"/>
      <c r="BY719" s="228"/>
      <c r="BZ719" s="228"/>
      <c r="CA719" s="228"/>
      <c r="CB719" s="228"/>
      <c r="CC719" s="228"/>
      <c r="CD719" s="228"/>
      <c r="CE719" s="228"/>
      <c r="CF719" s="228"/>
      <c r="CG719" s="228"/>
      <c r="CH719" s="228"/>
      <c r="CI719" s="228"/>
      <c r="CJ719" s="228"/>
      <c r="CK719" s="228"/>
      <c r="CL719" s="228"/>
      <c r="CM719" s="228"/>
      <c r="CN719" s="228"/>
      <c r="CO719" s="228"/>
      <c r="CP719" s="228"/>
      <c r="CQ719" s="228"/>
      <c r="CR719" s="228"/>
      <c r="CS719" s="228"/>
      <c r="CT719" s="228"/>
      <c r="CU719" s="228"/>
      <c r="CV719" s="228"/>
      <c r="CW719" s="228"/>
      <c r="CX719" s="228"/>
      <c r="CY719" s="228"/>
      <c r="CZ719" s="228"/>
      <c r="DA719" s="228"/>
      <c r="DB719" s="228"/>
    </row>
    <row r="720" ht="12.0" customHeight="1">
      <c r="A720" s="228"/>
      <c r="B720" s="228"/>
      <c r="C720" s="228"/>
      <c r="D720" s="228"/>
      <c r="E720" s="228"/>
      <c r="F720" s="228"/>
      <c r="G720" s="228"/>
      <c r="H720" s="228"/>
      <c r="I720" s="228"/>
      <c r="J720" s="228"/>
      <c r="K720" s="228"/>
      <c r="L720" s="228"/>
      <c r="M720" s="228"/>
      <c r="N720" s="228"/>
      <c r="O720" s="228"/>
      <c r="P720" s="228"/>
      <c r="Q720" s="228"/>
      <c r="R720" s="228"/>
      <c r="S720" s="228"/>
      <c r="T720" s="228"/>
      <c r="U720" s="228"/>
      <c r="V720" s="228"/>
      <c r="W720" s="228"/>
      <c r="X720" s="228"/>
      <c r="Y720" s="228"/>
      <c r="Z720" s="228"/>
      <c r="AA720" s="228"/>
      <c r="AB720" s="228"/>
      <c r="AC720" s="228"/>
      <c r="AD720" s="228"/>
      <c r="AE720" s="228"/>
      <c r="AF720" s="228"/>
      <c r="AG720" s="228"/>
      <c r="AH720" s="228"/>
      <c r="AI720" s="228"/>
      <c r="AJ720" s="228"/>
      <c r="AK720" s="228"/>
      <c r="AL720" s="228"/>
      <c r="AM720" s="228"/>
      <c r="AN720" s="228"/>
      <c r="AO720" s="228"/>
      <c r="AP720" s="228"/>
      <c r="AQ720" s="228"/>
      <c r="AR720" s="228"/>
      <c r="AS720" s="228"/>
      <c r="AT720" s="228"/>
      <c r="AU720" s="228"/>
      <c r="AV720" s="228"/>
      <c r="AW720" s="228"/>
      <c r="AX720" s="228"/>
      <c r="AY720" s="228"/>
      <c r="AZ720" s="228"/>
      <c r="BA720" s="228"/>
      <c r="BB720" s="228"/>
      <c r="BC720" s="228"/>
      <c r="BD720" s="228"/>
      <c r="BE720" s="228"/>
      <c r="BF720" s="228"/>
      <c r="BG720" s="228"/>
      <c r="BH720" s="228"/>
      <c r="BI720" s="228"/>
      <c r="BJ720" s="228"/>
      <c r="BK720" s="228"/>
      <c r="BL720" s="228"/>
      <c r="BM720" s="228"/>
      <c r="BN720" s="228"/>
      <c r="BO720" s="228"/>
      <c r="BP720" s="228"/>
      <c r="BQ720" s="228"/>
      <c r="BR720" s="228"/>
      <c r="BS720" s="228"/>
      <c r="BT720" s="228"/>
      <c r="BU720" s="228"/>
      <c r="BV720" s="228"/>
      <c r="BW720" s="228"/>
      <c r="BX720" s="228"/>
      <c r="BY720" s="228"/>
      <c r="BZ720" s="228"/>
      <c r="CA720" s="228"/>
      <c r="CB720" s="228"/>
      <c r="CC720" s="228"/>
      <c r="CD720" s="228"/>
      <c r="CE720" s="228"/>
      <c r="CF720" s="228"/>
      <c r="CG720" s="228"/>
      <c r="CH720" s="228"/>
      <c r="CI720" s="228"/>
      <c r="CJ720" s="228"/>
      <c r="CK720" s="228"/>
      <c r="CL720" s="228"/>
      <c r="CM720" s="228"/>
      <c r="CN720" s="228"/>
      <c r="CO720" s="228"/>
      <c r="CP720" s="228"/>
      <c r="CQ720" s="228"/>
      <c r="CR720" s="228"/>
      <c r="CS720" s="228"/>
      <c r="CT720" s="228"/>
      <c r="CU720" s="228"/>
      <c r="CV720" s="228"/>
      <c r="CW720" s="228"/>
      <c r="CX720" s="228"/>
      <c r="CY720" s="228"/>
      <c r="CZ720" s="228"/>
      <c r="DA720" s="228"/>
      <c r="DB720" s="228"/>
    </row>
    <row r="721" ht="12.0" customHeight="1">
      <c r="A721" s="228"/>
      <c r="B721" s="228"/>
      <c r="C721" s="228"/>
      <c r="D721" s="228"/>
      <c r="E721" s="228"/>
      <c r="F721" s="228"/>
      <c r="G721" s="228"/>
      <c r="H721" s="228"/>
      <c r="I721" s="228"/>
      <c r="J721" s="228"/>
      <c r="K721" s="228"/>
      <c r="L721" s="228"/>
      <c r="M721" s="228"/>
      <c r="N721" s="228"/>
      <c r="O721" s="228"/>
      <c r="P721" s="228"/>
      <c r="Q721" s="228"/>
      <c r="R721" s="228"/>
      <c r="S721" s="228"/>
      <c r="T721" s="228"/>
      <c r="U721" s="228"/>
      <c r="V721" s="228"/>
      <c r="W721" s="228"/>
      <c r="X721" s="228"/>
      <c r="Y721" s="228"/>
      <c r="Z721" s="228"/>
      <c r="AA721" s="228"/>
      <c r="AB721" s="228"/>
      <c r="AC721" s="228"/>
      <c r="AD721" s="228"/>
      <c r="AE721" s="228"/>
      <c r="AF721" s="228"/>
      <c r="AG721" s="228"/>
      <c r="AH721" s="228"/>
      <c r="AI721" s="228"/>
      <c r="AJ721" s="228"/>
      <c r="AK721" s="228"/>
      <c r="AL721" s="228"/>
      <c r="AM721" s="228"/>
      <c r="AN721" s="228"/>
      <c r="AO721" s="228"/>
      <c r="AP721" s="228"/>
      <c r="AQ721" s="228"/>
      <c r="AR721" s="228"/>
      <c r="AS721" s="228"/>
      <c r="AT721" s="228"/>
      <c r="AU721" s="228"/>
      <c r="AV721" s="228"/>
      <c r="AW721" s="228"/>
      <c r="AX721" s="228"/>
      <c r="AY721" s="228"/>
      <c r="AZ721" s="228"/>
      <c r="BA721" s="228"/>
      <c r="BB721" s="228"/>
      <c r="BC721" s="228"/>
      <c r="BD721" s="228"/>
      <c r="BE721" s="228"/>
      <c r="BF721" s="228"/>
      <c r="BG721" s="228"/>
      <c r="BH721" s="228"/>
      <c r="BI721" s="228"/>
      <c r="BJ721" s="228"/>
      <c r="BK721" s="228"/>
      <c r="BL721" s="228"/>
      <c r="BM721" s="228"/>
      <c r="BN721" s="228"/>
      <c r="BO721" s="228"/>
      <c r="BP721" s="228"/>
      <c r="BQ721" s="228"/>
      <c r="BR721" s="228"/>
      <c r="BS721" s="228"/>
      <c r="BT721" s="228"/>
      <c r="BU721" s="228"/>
      <c r="BV721" s="228"/>
      <c r="BW721" s="228"/>
      <c r="BX721" s="228"/>
      <c r="BY721" s="228"/>
      <c r="BZ721" s="228"/>
      <c r="CA721" s="228"/>
      <c r="CB721" s="228"/>
      <c r="CC721" s="228"/>
      <c r="CD721" s="228"/>
      <c r="CE721" s="228"/>
      <c r="CF721" s="228"/>
      <c r="CG721" s="228"/>
      <c r="CH721" s="228"/>
      <c r="CI721" s="228"/>
      <c r="CJ721" s="228"/>
      <c r="CK721" s="228"/>
      <c r="CL721" s="228"/>
      <c r="CM721" s="228"/>
      <c r="CN721" s="228"/>
      <c r="CO721" s="228"/>
      <c r="CP721" s="228"/>
      <c r="CQ721" s="228"/>
      <c r="CR721" s="228"/>
      <c r="CS721" s="228"/>
      <c r="CT721" s="228"/>
      <c r="CU721" s="228"/>
      <c r="CV721" s="228"/>
      <c r="CW721" s="228"/>
      <c r="CX721" s="228"/>
      <c r="CY721" s="228"/>
      <c r="CZ721" s="228"/>
      <c r="DA721" s="228"/>
      <c r="DB721" s="228"/>
    </row>
    <row r="722" ht="12.0" customHeight="1">
      <c r="A722" s="228"/>
      <c r="B722" s="228"/>
      <c r="C722" s="228"/>
      <c r="D722" s="228"/>
      <c r="E722" s="228"/>
      <c r="F722" s="228"/>
      <c r="G722" s="228"/>
      <c r="H722" s="228"/>
      <c r="I722" s="228"/>
      <c r="J722" s="228"/>
      <c r="K722" s="228"/>
      <c r="L722" s="228"/>
      <c r="M722" s="228"/>
      <c r="N722" s="228"/>
      <c r="O722" s="228"/>
      <c r="P722" s="228"/>
      <c r="Q722" s="228"/>
      <c r="R722" s="228"/>
      <c r="S722" s="228"/>
      <c r="T722" s="228"/>
      <c r="U722" s="228"/>
      <c r="V722" s="228"/>
      <c r="W722" s="228"/>
      <c r="X722" s="228"/>
      <c r="Y722" s="228"/>
      <c r="Z722" s="228"/>
      <c r="AA722" s="228"/>
      <c r="AB722" s="228"/>
      <c r="AC722" s="228"/>
      <c r="AD722" s="228"/>
      <c r="AE722" s="228"/>
      <c r="AF722" s="228"/>
      <c r="AG722" s="228"/>
      <c r="AH722" s="228"/>
      <c r="AI722" s="228"/>
      <c r="AJ722" s="228"/>
      <c r="AK722" s="228"/>
      <c r="AL722" s="228"/>
      <c r="AM722" s="228"/>
      <c r="AN722" s="228"/>
      <c r="AO722" s="228"/>
      <c r="AP722" s="228"/>
      <c r="AQ722" s="228"/>
      <c r="AR722" s="228"/>
      <c r="AS722" s="228"/>
      <c r="AT722" s="228"/>
      <c r="AU722" s="228"/>
      <c r="AV722" s="228"/>
      <c r="AW722" s="228"/>
      <c r="AX722" s="228"/>
      <c r="AY722" s="228"/>
      <c r="AZ722" s="228"/>
      <c r="BA722" s="228"/>
      <c r="BB722" s="228"/>
      <c r="BC722" s="228"/>
      <c r="BD722" s="228"/>
      <c r="BE722" s="228"/>
      <c r="BF722" s="228"/>
      <c r="BG722" s="228"/>
      <c r="BH722" s="228"/>
      <c r="BI722" s="228"/>
      <c r="BJ722" s="228"/>
      <c r="BK722" s="228"/>
      <c r="BL722" s="228"/>
      <c r="BM722" s="228"/>
      <c r="BN722" s="228"/>
      <c r="BO722" s="228"/>
      <c r="BP722" s="228"/>
      <c r="BQ722" s="228"/>
      <c r="BR722" s="228"/>
      <c r="BS722" s="228"/>
      <c r="BT722" s="228"/>
      <c r="BU722" s="228"/>
      <c r="BV722" s="228"/>
      <c r="BW722" s="228"/>
      <c r="BX722" s="228"/>
      <c r="BY722" s="228"/>
      <c r="BZ722" s="228"/>
      <c r="CA722" s="228"/>
      <c r="CB722" s="228"/>
      <c r="CC722" s="228"/>
      <c r="CD722" s="228"/>
      <c r="CE722" s="228"/>
      <c r="CF722" s="228"/>
      <c r="CG722" s="228"/>
      <c r="CH722" s="228"/>
      <c r="CI722" s="228"/>
      <c r="CJ722" s="228"/>
      <c r="CK722" s="228"/>
      <c r="CL722" s="228"/>
      <c r="CM722" s="228"/>
      <c r="CN722" s="228"/>
      <c r="CO722" s="228"/>
      <c r="CP722" s="228"/>
      <c r="CQ722" s="228"/>
      <c r="CR722" s="228"/>
      <c r="CS722" s="228"/>
      <c r="CT722" s="228"/>
      <c r="CU722" s="228"/>
      <c r="CV722" s="228"/>
      <c r="CW722" s="228"/>
      <c r="CX722" s="228"/>
      <c r="CY722" s="228"/>
      <c r="CZ722" s="228"/>
      <c r="DA722" s="228"/>
      <c r="DB722" s="228"/>
    </row>
    <row r="723" ht="12.0" customHeight="1">
      <c r="A723" s="228"/>
      <c r="B723" s="228"/>
      <c r="C723" s="228"/>
      <c r="D723" s="228"/>
      <c r="E723" s="228"/>
      <c r="F723" s="228"/>
      <c r="G723" s="228"/>
      <c r="H723" s="228"/>
      <c r="I723" s="228"/>
      <c r="J723" s="228"/>
      <c r="K723" s="228"/>
      <c r="L723" s="228"/>
      <c r="M723" s="228"/>
      <c r="N723" s="228"/>
      <c r="O723" s="228"/>
      <c r="P723" s="228"/>
      <c r="Q723" s="228"/>
      <c r="R723" s="228"/>
      <c r="S723" s="228"/>
      <c r="T723" s="228"/>
      <c r="U723" s="228"/>
      <c r="V723" s="228"/>
      <c r="W723" s="228"/>
      <c r="X723" s="228"/>
      <c r="Y723" s="228"/>
      <c r="Z723" s="228"/>
      <c r="AA723" s="228"/>
      <c r="AB723" s="228"/>
      <c r="AC723" s="228"/>
      <c r="AD723" s="228"/>
      <c r="AE723" s="228"/>
      <c r="AF723" s="228"/>
      <c r="AG723" s="228"/>
      <c r="AH723" s="228"/>
      <c r="AI723" s="228"/>
      <c r="AJ723" s="228"/>
      <c r="AK723" s="228"/>
      <c r="AL723" s="228"/>
      <c r="AM723" s="228"/>
      <c r="AN723" s="228"/>
      <c r="AO723" s="228"/>
      <c r="AP723" s="228"/>
      <c r="AQ723" s="228"/>
      <c r="AR723" s="228"/>
      <c r="AS723" s="228"/>
      <c r="AT723" s="228"/>
      <c r="AU723" s="228"/>
      <c r="AV723" s="228"/>
      <c r="AW723" s="228"/>
      <c r="AX723" s="228"/>
      <c r="AY723" s="228"/>
      <c r="AZ723" s="228"/>
      <c r="BA723" s="228"/>
      <c r="BB723" s="228"/>
      <c r="BC723" s="228"/>
      <c r="BD723" s="228"/>
      <c r="BE723" s="228"/>
      <c r="BF723" s="228"/>
      <c r="BG723" s="228"/>
      <c r="BH723" s="228"/>
      <c r="BI723" s="228"/>
      <c r="BJ723" s="228"/>
      <c r="BK723" s="228"/>
      <c r="BL723" s="228"/>
      <c r="BM723" s="228"/>
      <c r="BN723" s="228"/>
      <c r="BO723" s="228"/>
      <c r="BP723" s="228"/>
      <c r="BQ723" s="228"/>
      <c r="BR723" s="228"/>
      <c r="BS723" s="228"/>
      <c r="BT723" s="228"/>
      <c r="BU723" s="228"/>
      <c r="BV723" s="228"/>
      <c r="BW723" s="228"/>
      <c r="BX723" s="228"/>
      <c r="BY723" s="228"/>
      <c r="BZ723" s="228"/>
      <c r="CA723" s="228"/>
      <c r="CB723" s="228"/>
      <c r="CC723" s="228"/>
      <c r="CD723" s="228"/>
      <c r="CE723" s="228"/>
      <c r="CF723" s="228"/>
      <c r="CG723" s="228"/>
      <c r="CH723" s="228"/>
      <c r="CI723" s="228"/>
      <c r="CJ723" s="228"/>
      <c r="CK723" s="228"/>
      <c r="CL723" s="228"/>
      <c r="CM723" s="228"/>
      <c r="CN723" s="228"/>
      <c r="CO723" s="228"/>
      <c r="CP723" s="228"/>
      <c r="CQ723" s="228"/>
      <c r="CR723" s="228"/>
      <c r="CS723" s="228"/>
      <c r="CT723" s="228"/>
      <c r="CU723" s="228"/>
      <c r="CV723" s="228"/>
      <c r="CW723" s="228"/>
      <c r="CX723" s="228"/>
      <c r="CY723" s="228"/>
      <c r="CZ723" s="228"/>
      <c r="DA723" s="228"/>
      <c r="DB723" s="228"/>
    </row>
    <row r="724" ht="12.0" customHeight="1">
      <c r="A724" s="228"/>
      <c r="B724" s="228"/>
      <c r="C724" s="228"/>
      <c r="D724" s="228"/>
      <c r="E724" s="228"/>
      <c r="F724" s="228"/>
      <c r="G724" s="228"/>
      <c r="H724" s="228"/>
      <c r="I724" s="228"/>
      <c r="J724" s="228"/>
      <c r="K724" s="228"/>
      <c r="L724" s="228"/>
      <c r="M724" s="228"/>
      <c r="N724" s="228"/>
      <c r="O724" s="228"/>
      <c r="P724" s="228"/>
      <c r="Q724" s="228"/>
      <c r="R724" s="228"/>
      <c r="S724" s="228"/>
      <c r="T724" s="228"/>
      <c r="U724" s="228"/>
      <c r="V724" s="228"/>
      <c r="W724" s="228"/>
      <c r="X724" s="228"/>
      <c r="Y724" s="228"/>
      <c r="Z724" s="228"/>
      <c r="AA724" s="228"/>
      <c r="AB724" s="228"/>
      <c r="AC724" s="228"/>
      <c r="AD724" s="228"/>
      <c r="AE724" s="228"/>
      <c r="AF724" s="228"/>
      <c r="AG724" s="228"/>
      <c r="AH724" s="228"/>
      <c r="AI724" s="228"/>
      <c r="AJ724" s="228"/>
      <c r="AK724" s="228"/>
      <c r="AL724" s="228"/>
      <c r="AM724" s="228"/>
      <c r="AN724" s="228"/>
      <c r="AO724" s="228"/>
      <c r="AP724" s="228"/>
      <c r="AQ724" s="228"/>
      <c r="AR724" s="228"/>
      <c r="AS724" s="228"/>
      <c r="AT724" s="228"/>
      <c r="AU724" s="228"/>
      <c r="AV724" s="228"/>
      <c r="AW724" s="228"/>
      <c r="AX724" s="228"/>
      <c r="AY724" s="228"/>
      <c r="AZ724" s="228"/>
      <c r="BA724" s="228"/>
      <c r="BB724" s="228"/>
      <c r="BC724" s="228"/>
      <c r="BD724" s="228"/>
      <c r="BE724" s="228"/>
      <c r="BF724" s="228"/>
      <c r="BG724" s="228"/>
      <c r="BH724" s="228"/>
      <c r="BI724" s="228"/>
      <c r="BJ724" s="228"/>
      <c r="BK724" s="228"/>
      <c r="BL724" s="228"/>
      <c r="BM724" s="228"/>
      <c r="BN724" s="228"/>
      <c r="BO724" s="228"/>
      <c r="BP724" s="228"/>
      <c r="BQ724" s="228"/>
      <c r="BR724" s="228"/>
      <c r="BS724" s="228"/>
      <c r="BT724" s="228"/>
      <c r="BU724" s="228"/>
      <c r="BV724" s="228"/>
      <c r="BW724" s="228"/>
      <c r="BX724" s="228"/>
      <c r="BY724" s="228"/>
      <c r="BZ724" s="228"/>
      <c r="CA724" s="228"/>
      <c r="CB724" s="228"/>
      <c r="CC724" s="228"/>
      <c r="CD724" s="228"/>
      <c r="CE724" s="228"/>
      <c r="CF724" s="228"/>
      <c r="CG724" s="228"/>
      <c r="CH724" s="228"/>
      <c r="CI724" s="228"/>
      <c r="CJ724" s="228"/>
      <c r="CK724" s="228"/>
      <c r="CL724" s="228"/>
      <c r="CM724" s="228"/>
      <c r="CN724" s="228"/>
      <c r="CO724" s="228"/>
      <c r="CP724" s="228"/>
      <c r="CQ724" s="228"/>
      <c r="CR724" s="228"/>
      <c r="CS724" s="228"/>
      <c r="CT724" s="228"/>
      <c r="CU724" s="228"/>
      <c r="CV724" s="228"/>
      <c r="CW724" s="228"/>
      <c r="CX724" s="228"/>
      <c r="CY724" s="228"/>
      <c r="CZ724" s="228"/>
      <c r="DA724" s="228"/>
      <c r="DB724" s="228"/>
    </row>
    <row r="725" ht="12.0" customHeight="1">
      <c r="A725" s="228"/>
      <c r="B725" s="228"/>
      <c r="C725" s="228"/>
      <c r="D725" s="228"/>
      <c r="E725" s="228"/>
      <c r="F725" s="228"/>
      <c r="G725" s="228"/>
      <c r="H725" s="228"/>
      <c r="I725" s="228"/>
      <c r="J725" s="228"/>
      <c r="K725" s="228"/>
      <c r="L725" s="228"/>
      <c r="M725" s="228"/>
      <c r="N725" s="228"/>
      <c r="O725" s="228"/>
      <c r="P725" s="228"/>
      <c r="Q725" s="228"/>
      <c r="R725" s="228"/>
      <c r="S725" s="228"/>
      <c r="T725" s="228"/>
      <c r="U725" s="228"/>
      <c r="V725" s="228"/>
      <c r="W725" s="228"/>
      <c r="X725" s="228"/>
      <c r="Y725" s="228"/>
      <c r="Z725" s="228"/>
      <c r="AA725" s="228"/>
      <c r="AB725" s="228"/>
      <c r="AC725" s="228"/>
      <c r="AD725" s="228"/>
      <c r="AE725" s="228"/>
      <c r="AF725" s="228"/>
      <c r="AG725" s="228"/>
      <c r="AH725" s="228"/>
      <c r="AI725" s="228"/>
      <c r="AJ725" s="228"/>
      <c r="AK725" s="228"/>
      <c r="AL725" s="228"/>
      <c r="AM725" s="228"/>
      <c r="AN725" s="228"/>
      <c r="AO725" s="228"/>
      <c r="AP725" s="228"/>
      <c r="AQ725" s="228"/>
      <c r="AR725" s="228"/>
      <c r="AS725" s="228"/>
      <c r="AT725" s="228"/>
      <c r="AU725" s="228"/>
      <c r="AV725" s="228"/>
      <c r="AW725" s="228"/>
      <c r="AX725" s="228"/>
      <c r="AY725" s="228"/>
      <c r="AZ725" s="228"/>
      <c r="BA725" s="228"/>
      <c r="BB725" s="228"/>
      <c r="BC725" s="228"/>
      <c r="BD725" s="228"/>
      <c r="BE725" s="228"/>
      <c r="BF725" s="228"/>
      <c r="BG725" s="228"/>
      <c r="BH725" s="228"/>
      <c r="BI725" s="228"/>
      <c r="BJ725" s="228"/>
      <c r="BK725" s="228"/>
      <c r="BL725" s="228"/>
      <c r="BM725" s="228"/>
      <c r="BN725" s="228"/>
      <c r="BO725" s="228"/>
      <c r="BP725" s="228"/>
      <c r="BQ725" s="228"/>
      <c r="BR725" s="228"/>
      <c r="BS725" s="228"/>
      <c r="BT725" s="228"/>
      <c r="BU725" s="228"/>
      <c r="BV725" s="228"/>
      <c r="BW725" s="228"/>
      <c r="BX725" s="228"/>
      <c r="BY725" s="228"/>
      <c r="BZ725" s="228"/>
      <c r="CA725" s="228"/>
      <c r="CB725" s="228"/>
      <c r="CC725" s="228"/>
      <c r="CD725" s="228"/>
      <c r="CE725" s="228"/>
      <c r="CF725" s="228"/>
      <c r="CG725" s="228"/>
      <c r="CH725" s="228"/>
      <c r="CI725" s="228"/>
      <c r="CJ725" s="228"/>
      <c r="CK725" s="228"/>
      <c r="CL725" s="228"/>
      <c r="CM725" s="228"/>
      <c r="CN725" s="228"/>
      <c r="CO725" s="228"/>
      <c r="CP725" s="228"/>
      <c r="CQ725" s="228"/>
      <c r="CR725" s="228"/>
      <c r="CS725" s="228"/>
      <c r="CT725" s="228"/>
      <c r="CU725" s="228"/>
      <c r="CV725" s="228"/>
      <c r="CW725" s="228"/>
      <c r="CX725" s="228"/>
      <c r="CY725" s="228"/>
      <c r="CZ725" s="228"/>
      <c r="DA725" s="228"/>
      <c r="DB725" s="228"/>
    </row>
    <row r="726" ht="12.0" customHeight="1">
      <c r="A726" s="228"/>
      <c r="B726" s="228"/>
      <c r="C726" s="228"/>
      <c r="D726" s="228"/>
      <c r="E726" s="228"/>
      <c r="F726" s="228"/>
      <c r="G726" s="228"/>
      <c r="H726" s="228"/>
      <c r="I726" s="228"/>
      <c r="J726" s="228"/>
      <c r="K726" s="228"/>
      <c r="L726" s="228"/>
      <c r="M726" s="228"/>
      <c r="N726" s="228"/>
      <c r="O726" s="228"/>
      <c r="P726" s="228"/>
      <c r="Q726" s="228"/>
      <c r="R726" s="228"/>
      <c r="S726" s="228"/>
      <c r="T726" s="228"/>
      <c r="U726" s="228"/>
      <c r="V726" s="228"/>
      <c r="W726" s="228"/>
      <c r="X726" s="228"/>
      <c r="Y726" s="228"/>
      <c r="Z726" s="228"/>
      <c r="AA726" s="228"/>
      <c r="AB726" s="228"/>
      <c r="AC726" s="228"/>
      <c r="AD726" s="228"/>
      <c r="AE726" s="228"/>
      <c r="AF726" s="228"/>
      <c r="AG726" s="228"/>
      <c r="AH726" s="228"/>
      <c r="AI726" s="228"/>
      <c r="AJ726" s="228"/>
      <c r="AK726" s="228"/>
      <c r="AL726" s="228"/>
      <c r="AM726" s="228"/>
      <c r="AN726" s="228"/>
      <c r="AO726" s="228"/>
      <c r="AP726" s="228"/>
      <c r="AQ726" s="228"/>
      <c r="AR726" s="228"/>
      <c r="AS726" s="228"/>
      <c r="AT726" s="228"/>
      <c r="AU726" s="228"/>
      <c r="AV726" s="228"/>
      <c r="AW726" s="228"/>
      <c r="AX726" s="228"/>
      <c r="AY726" s="228"/>
      <c r="AZ726" s="228"/>
      <c r="BA726" s="228"/>
      <c r="BB726" s="228"/>
      <c r="BC726" s="228"/>
      <c r="BD726" s="228"/>
      <c r="BE726" s="228"/>
      <c r="BF726" s="228"/>
      <c r="BG726" s="228"/>
      <c r="BH726" s="228"/>
      <c r="BI726" s="228"/>
      <c r="BJ726" s="228"/>
      <c r="BK726" s="228"/>
      <c r="BL726" s="228"/>
      <c r="BM726" s="228"/>
      <c r="BN726" s="228"/>
      <c r="BO726" s="228"/>
      <c r="BP726" s="228"/>
      <c r="BQ726" s="228"/>
      <c r="BR726" s="228"/>
      <c r="BS726" s="228"/>
      <c r="BT726" s="228"/>
      <c r="BU726" s="228"/>
      <c r="BV726" s="228"/>
      <c r="BW726" s="228"/>
      <c r="BX726" s="228"/>
      <c r="BY726" s="228"/>
      <c r="BZ726" s="228"/>
      <c r="CA726" s="228"/>
      <c r="CB726" s="228"/>
      <c r="CC726" s="228"/>
      <c r="CD726" s="228"/>
      <c r="CE726" s="228"/>
      <c r="CF726" s="228"/>
      <c r="CG726" s="228"/>
      <c r="CH726" s="228"/>
      <c r="CI726" s="228"/>
      <c r="CJ726" s="228"/>
      <c r="CK726" s="228"/>
      <c r="CL726" s="228"/>
      <c r="CM726" s="228"/>
      <c r="CN726" s="228"/>
      <c r="CO726" s="228"/>
      <c r="CP726" s="228"/>
      <c r="CQ726" s="228"/>
      <c r="CR726" s="228"/>
      <c r="CS726" s="228"/>
      <c r="CT726" s="228"/>
      <c r="CU726" s="228"/>
      <c r="CV726" s="228"/>
      <c r="CW726" s="228"/>
      <c r="CX726" s="228"/>
      <c r="CY726" s="228"/>
      <c r="CZ726" s="228"/>
      <c r="DA726" s="228"/>
      <c r="DB726" s="228"/>
    </row>
    <row r="727" ht="12.0" customHeight="1">
      <c r="A727" s="228"/>
      <c r="B727" s="228"/>
      <c r="C727" s="228"/>
      <c r="D727" s="228"/>
      <c r="E727" s="228"/>
      <c r="F727" s="228"/>
      <c r="G727" s="228"/>
      <c r="H727" s="228"/>
      <c r="I727" s="228"/>
      <c r="J727" s="228"/>
      <c r="K727" s="228"/>
      <c r="L727" s="228"/>
      <c r="M727" s="228"/>
      <c r="N727" s="228"/>
      <c r="O727" s="228"/>
      <c r="P727" s="228"/>
      <c r="Q727" s="228"/>
      <c r="R727" s="228"/>
      <c r="S727" s="228"/>
      <c r="T727" s="228"/>
      <c r="U727" s="228"/>
      <c r="V727" s="228"/>
      <c r="W727" s="228"/>
      <c r="X727" s="228"/>
      <c r="Y727" s="228"/>
      <c r="Z727" s="228"/>
      <c r="AA727" s="228"/>
      <c r="AB727" s="228"/>
      <c r="AC727" s="228"/>
      <c r="AD727" s="228"/>
      <c r="AE727" s="228"/>
      <c r="AF727" s="228"/>
      <c r="AG727" s="228"/>
      <c r="AH727" s="228"/>
      <c r="AI727" s="228"/>
      <c r="AJ727" s="228"/>
      <c r="AK727" s="228"/>
      <c r="AL727" s="228"/>
      <c r="AM727" s="228"/>
      <c r="AN727" s="228"/>
      <c r="AO727" s="228"/>
      <c r="AP727" s="228"/>
      <c r="AQ727" s="228"/>
      <c r="AR727" s="228"/>
      <c r="AS727" s="228"/>
      <c r="AT727" s="228"/>
      <c r="AU727" s="228"/>
      <c r="AV727" s="228"/>
      <c r="AW727" s="228"/>
      <c r="AX727" s="228"/>
      <c r="AY727" s="228"/>
      <c r="AZ727" s="228"/>
      <c r="BA727" s="228"/>
      <c r="BB727" s="228"/>
      <c r="BC727" s="228"/>
      <c r="BD727" s="228"/>
      <c r="BE727" s="228"/>
      <c r="BF727" s="228"/>
      <c r="BG727" s="228"/>
      <c r="BH727" s="228"/>
      <c r="BI727" s="228"/>
      <c r="BJ727" s="228"/>
      <c r="BK727" s="228"/>
      <c r="BL727" s="228"/>
      <c r="BM727" s="228"/>
      <c r="BN727" s="228"/>
      <c r="BO727" s="228"/>
      <c r="BP727" s="228"/>
      <c r="BQ727" s="228"/>
      <c r="BR727" s="228"/>
      <c r="BS727" s="228"/>
      <c r="BT727" s="228"/>
      <c r="BU727" s="228"/>
      <c r="BV727" s="228"/>
      <c r="BW727" s="228"/>
      <c r="BX727" s="228"/>
      <c r="BY727" s="228"/>
      <c r="BZ727" s="228"/>
      <c r="CA727" s="228"/>
      <c r="CB727" s="228"/>
      <c r="CC727" s="228"/>
      <c r="CD727" s="228"/>
      <c r="CE727" s="228"/>
      <c r="CF727" s="228"/>
      <c r="CG727" s="228"/>
      <c r="CH727" s="228"/>
      <c r="CI727" s="228"/>
      <c r="CJ727" s="228"/>
      <c r="CK727" s="228"/>
      <c r="CL727" s="228"/>
      <c r="CM727" s="228"/>
      <c r="CN727" s="228"/>
      <c r="CO727" s="228"/>
      <c r="CP727" s="228"/>
      <c r="CQ727" s="228"/>
      <c r="CR727" s="228"/>
      <c r="CS727" s="228"/>
      <c r="CT727" s="228"/>
      <c r="CU727" s="228"/>
      <c r="CV727" s="228"/>
      <c r="CW727" s="228"/>
      <c r="CX727" s="228"/>
      <c r="CY727" s="228"/>
      <c r="CZ727" s="228"/>
      <c r="DA727" s="228"/>
      <c r="DB727" s="228"/>
    </row>
    <row r="728" ht="12.0" customHeight="1">
      <c r="A728" s="228"/>
      <c r="B728" s="228"/>
      <c r="C728" s="228"/>
      <c r="D728" s="228"/>
      <c r="E728" s="228"/>
      <c r="F728" s="228"/>
      <c r="G728" s="228"/>
      <c r="H728" s="228"/>
      <c r="I728" s="228"/>
      <c r="J728" s="228"/>
      <c r="K728" s="228"/>
      <c r="L728" s="228"/>
      <c r="M728" s="228"/>
      <c r="N728" s="228"/>
      <c r="O728" s="228"/>
      <c r="P728" s="228"/>
      <c r="Q728" s="228"/>
      <c r="R728" s="228"/>
      <c r="S728" s="228"/>
      <c r="T728" s="228"/>
      <c r="U728" s="228"/>
      <c r="V728" s="228"/>
      <c r="W728" s="228"/>
      <c r="X728" s="228"/>
      <c r="Y728" s="228"/>
      <c r="Z728" s="228"/>
      <c r="AA728" s="228"/>
      <c r="AB728" s="228"/>
      <c r="AC728" s="228"/>
      <c r="AD728" s="228"/>
      <c r="AE728" s="228"/>
      <c r="AF728" s="228"/>
      <c r="AG728" s="228"/>
      <c r="AH728" s="228"/>
      <c r="AI728" s="228"/>
      <c r="AJ728" s="228"/>
      <c r="AK728" s="228"/>
      <c r="AL728" s="228"/>
      <c r="AM728" s="228"/>
      <c r="AN728" s="228"/>
      <c r="AO728" s="228"/>
      <c r="AP728" s="228"/>
      <c r="AQ728" s="228"/>
      <c r="AR728" s="228"/>
      <c r="AS728" s="228"/>
      <c r="AT728" s="228"/>
      <c r="AU728" s="228"/>
      <c r="AV728" s="228"/>
      <c r="AW728" s="228"/>
      <c r="AX728" s="228"/>
      <c r="AY728" s="228"/>
      <c r="AZ728" s="228"/>
      <c r="BA728" s="228"/>
      <c r="BB728" s="228"/>
      <c r="BC728" s="228"/>
      <c r="BD728" s="228"/>
      <c r="BE728" s="228"/>
      <c r="BF728" s="228"/>
      <c r="BG728" s="228"/>
      <c r="BH728" s="228"/>
      <c r="BI728" s="228"/>
      <c r="BJ728" s="228"/>
      <c r="BK728" s="228"/>
      <c r="BL728" s="228"/>
      <c r="BM728" s="228"/>
      <c r="BN728" s="228"/>
      <c r="BO728" s="228"/>
      <c r="BP728" s="228"/>
      <c r="BQ728" s="228"/>
      <c r="BR728" s="228"/>
      <c r="BS728" s="228"/>
      <c r="BT728" s="228"/>
      <c r="BU728" s="228"/>
      <c r="BV728" s="228"/>
      <c r="BW728" s="228"/>
      <c r="BX728" s="228"/>
      <c r="BY728" s="228"/>
      <c r="BZ728" s="228"/>
      <c r="CA728" s="228"/>
      <c r="CB728" s="228"/>
      <c r="CC728" s="228"/>
      <c r="CD728" s="228"/>
      <c r="CE728" s="228"/>
      <c r="CF728" s="228"/>
      <c r="CG728" s="228"/>
      <c r="CH728" s="228"/>
      <c r="CI728" s="228"/>
      <c r="CJ728" s="228"/>
      <c r="CK728" s="228"/>
      <c r="CL728" s="228"/>
      <c r="CM728" s="228"/>
      <c r="CN728" s="228"/>
      <c r="CO728" s="228"/>
      <c r="CP728" s="228"/>
      <c r="CQ728" s="228"/>
      <c r="CR728" s="228"/>
      <c r="CS728" s="228"/>
      <c r="CT728" s="228"/>
      <c r="CU728" s="228"/>
      <c r="CV728" s="228"/>
      <c r="CW728" s="228"/>
      <c r="CX728" s="228"/>
      <c r="CY728" s="228"/>
      <c r="CZ728" s="228"/>
      <c r="DA728" s="228"/>
      <c r="DB728" s="228"/>
    </row>
    <row r="729" ht="12.0" customHeight="1">
      <c r="A729" s="228"/>
      <c r="B729" s="228"/>
      <c r="C729" s="228"/>
      <c r="D729" s="228"/>
      <c r="E729" s="228"/>
      <c r="F729" s="228"/>
      <c r="G729" s="228"/>
      <c r="H729" s="228"/>
      <c r="I729" s="228"/>
      <c r="J729" s="228"/>
      <c r="K729" s="228"/>
      <c r="L729" s="228"/>
      <c r="M729" s="228"/>
      <c r="N729" s="228"/>
      <c r="O729" s="228"/>
      <c r="P729" s="228"/>
      <c r="Q729" s="228"/>
      <c r="R729" s="228"/>
      <c r="S729" s="228"/>
      <c r="T729" s="228"/>
      <c r="U729" s="228"/>
      <c r="V729" s="228"/>
      <c r="W729" s="228"/>
      <c r="X729" s="228"/>
      <c r="Y729" s="228"/>
      <c r="Z729" s="228"/>
      <c r="AA729" s="228"/>
      <c r="AB729" s="228"/>
      <c r="AC729" s="228"/>
      <c r="AD729" s="228"/>
      <c r="AE729" s="228"/>
      <c r="AF729" s="228"/>
      <c r="AG729" s="228"/>
      <c r="AH729" s="228"/>
      <c r="AI729" s="228"/>
      <c r="AJ729" s="228"/>
      <c r="AK729" s="228"/>
      <c r="AL729" s="228"/>
      <c r="AM729" s="228"/>
      <c r="AN729" s="228"/>
      <c r="AO729" s="228"/>
      <c r="AP729" s="228"/>
      <c r="AQ729" s="228"/>
      <c r="AR729" s="228"/>
      <c r="AS729" s="228"/>
      <c r="AT729" s="228"/>
      <c r="AU729" s="228"/>
      <c r="AV729" s="228"/>
      <c r="AW729" s="228"/>
      <c r="AX729" s="228"/>
      <c r="AY729" s="228"/>
      <c r="AZ729" s="228"/>
      <c r="BA729" s="228"/>
      <c r="BB729" s="228"/>
      <c r="BC729" s="228"/>
      <c r="BD729" s="228"/>
      <c r="BE729" s="228"/>
      <c r="BF729" s="228"/>
      <c r="BG729" s="228"/>
      <c r="BH729" s="228"/>
      <c r="BI729" s="228"/>
      <c r="BJ729" s="228"/>
      <c r="BK729" s="228"/>
      <c r="BL729" s="228"/>
      <c r="BM729" s="228"/>
      <c r="BN729" s="228"/>
      <c r="BO729" s="228"/>
      <c r="BP729" s="228"/>
      <c r="BQ729" s="228"/>
      <c r="BR729" s="228"/>
      <c r="BS729" s="228"/>
      <c r="BT729" s="228"/>
      <c r="BU729" s="228"/>
      <c r="BV729" s="228"/>
      <c r="BW729" s="228"/>
      <c r="BX729" s="228"/>
      <c r="BY729" s="228"/>
      <c r="BZ729" s="228"/>
      <c r="CA729" s="228"/>
      <c r="CB729" s="228"/>
      <c r="CC729" s="228"/>
      <c r="CD729" s="228"/>
      <c r="CE729" s="228"/>
      <c r="CF729" s="228"/>
      <c r="CG729" s="228"/>
      <c r="CH729" s="228"/>
      <c r="CI729" s="228"/>
      <c r="CJ729" s="228"/>
      <c r="CK729" s="228"/>
      <c r="CL729" s="228"/>
      <c r="CM729" s="228"/>
      <c r="CN729" s="228"/>
      <c r="CO729" s="228"/>
      <c r="CP729" s="228"/>
      <c r="CQ729" s="228"/>
      <c r="CR729" s="228"/>
      <c r="CS729" s="228"/>
      <c r="CT729" s="228"/>
      <c r="CU729" s="228"/>
      <c r="CV729" s="228"/>
      <c r="CW729" s="228"/>
      <c r="CX729" s="228"/>
      <c r="CY729" s="228"/>
      <c r="CZ729" s="228"/>
      <c r="DA729" s="228"/>
      <c r="DB729" s="228"/>
    </row>
    <row r="730" ht="12.0" customHeight="1">
      <c r="A730" s="228"/>
      <c r="B730" s="228"/>
      <c r="C730" s="228"/>
      <c r="D730" s="228"/>
      <c r="E730" s="228"/>
      <c r="F730" s="228"/>
      <c r="G730" s="228"/>
      <c r="H730" s="228"/>
      <c r="I730" s="228"/>
      <c r="J730" s="228"/>
      <c r="K730" s="228"/>
      <c r="L730" s="228"/>
      <c r="M730" s="228"/>
      <c r="N730" s="228"/>
      <c r="O730" s="228"/>
      <c r="P730" s="228"/>
      <c r="Q730" s="228"/>
      <c r="R730" s="228"/>
      <c r="S730" s="228"/>
      <c r="T730" s="228"/>
      <c r="U730" s="228"/>
      <c r="V730" s="228"/>
      <c r="W730" s="228"/>
      <c r="X730" s="228"/>
      <c r="Y730" s="228"/>
      <c r="Z730" s="228"/>
      <c r="AA730" s="228"/>
      <c r="AB730" s="228"/>
      <c r="AC730" s="228"/>
      <c r="AD730" s="228"/>
      <c r="AE730" s="228"/>
      <c r="AF730" s="228"/>
      <c r="AG730" s="228"/>
      <c r="AH730" s="228"/>
      <c r="AI730" s="228"/>
      <c r="AJ730" s="228"/>
      <c r="AK730" s="228"/>
      <c r="AL730" s="228"/>
      <c r="AM730" s="228"/>
      <c r="AN730" s="228"/>
      <c r="AO730" s="228"/>
      <c r="AP730" s="228"/>
      <c r="AQ730" s="228"/>
      <c r="AR730" s="228"/>
      <c r="AS730" s="228"/>
      <c r="AT730" s="228"/>
      <c r="AU730" s="228"/>
      <c r="AV730" s="228"/>
      <c r="AW730" s="228"/>
      <c r="AX730" s="228"/>
      <c r="AY730" s="228"/>
      <c r="AZ730" s="228"/>
      <c r="BA730" s="228"/>
      <c r="BB730" s="228"/>
      <c r="BC730" s="228"/>
      <c r="BD730" s="228"/>
      <c r="BE730" s="228"/>
      <c r="BF730" s="228"/>
      <c r="BG730" s="228"/>
      <c r="BH730" s="228"/>
      <c r="BI730" s="228"/>
      <c r="BJ730" s="228"/>
      <c r="BK730" s="228"/>
      <c r="BL730" s="228"/>
      <c r="BM730" s="228"/>
      <c r="BN730" s="228"/>
      <c r="BO730" s="228"/>
      <c r="BP730" s="228"/>
      <c r="BQ730" s="228"/>
      <c r="BR730" s="228"/>
      <c r="BS730" s="228"/>
      <c r="BT730" s="228"/>
      <c r="BU730" s="228"/>
      <c r="BV730" s="228"/>
      <c r="BW730" s="228"/>
      <c r="BX730" s="228"/>
      <c r="BY730" s="228"/>
      <c r="BZ730" s="228"/>
      <c r="CA730" s="228"/>
      <c r="CB730" s="228"/>
      <c r="CC730" s="228"/>
      <c r="CD730" s="228"/>
      <c r="CE730" s="228"/>
      <c r="CF730" s="228"/>
      <c r="CG730" s="228"/>
      <c r="CH730" s="228"/>
      <c r="CI730" s="228"/>
      <c r="CJ730" s="228"/>
      <c r="CK730" s="228"/>
      <c r="CL730" s="228"/>
      <c r="CM730" s="228"/>
      <c r="CN730" s="228"/>
      <c r="CO730" s="228"/>
      <c r="CP730" s="228"/>
      <c r="CQ730" s="228"/>
      <c r="CR730" s="228"/>
      <c r="CS730" s="228"/>
      <c r="CT730" s="228"/>
      <c r="CU730" s="228"/>
      <c r="CV730" s="228"/>
      <c r="CW730" s="228"/>
      <c r="CX730" s="228"/>
      <c r="CY730" s="228"/>
      <c r="CZ730" s="228"/>
      <c r="DA730" s="228"/>
      <c r="DB730" s="228"/>
    </row>
    <row r="731" ht="12.0" customHeight="1">
      <c r="A731" s="228"/>
      <c r="B731" s="228"/>
      <c r="C731" s="228"/>
      <c r="D731" s="228"/>
      <c r="E731" s="228"/>
      <c r="F731" s="228"/>
      <c r="G731" s="228"/>
      <c r="H731" s="228"/>
      <c r="I731" s="228"/>
      <c r="J731" s="228"/>
      <c r="K731" s="228"/>
      <c r="L731" s="228"/>
      <c r="M731" s="228"/>
      <c r="N731" s="228"/>
      <c r="O731" s="228"/>
      <c r="P731" s="228"/>
      <c r="Q731" s="228"/>
      <c r="R731" s="228"/>
      <c r="S731" s="228"/>
      <c r="T731" s="228"/>
      <c r="U731" s="228"/>
      <c r="V731" s="228"/>
      <c r="W731" s="228"/>
      <c r="X731" s="228"/>
      <c r="Y731" s="228"/>
      <c r="Z731" s="228"/>
      <c r="AA731" s="228"/>
      <c r="AB731" s="228"/>
      <c r="AC731" s="228"/>
      <c r="AD731" s="228"/>
      <c r="AE731" s="228"/>
      <c r="AF731" s="228"/>
      <c r="AG731" s="228"/>
      <c r="AH731" s="228"/>
      <c r="AI731" s="228"/>
      <c r="AJ731" s="228"/>
      <c r="AK731" s="228"/>
      <c r="AL731" s="228"/>
      <c r="AM731" s="228"/>
      <c r="AN731" s="228"/>
      <c r="AO731" s="228"/>
      <c r="AP731" s="228"/>
      <c r="AQ731" s="228"/>
      <c r="AR731" s="228"/>
      <c r="AS731" s="228"/>
      <c r="AT731" s="228"/>
      <c r="AU731" s="228"/>
      <c r="AV731" s="228"/>
      <c r="AW731" s="228"/>
      <c r="AX731" s="228"/>
      <c r="AY731" s="228"/>
      <c r="AZ731" s="228"/>
      <c r="BA731" s="228"/>
      <c r="BB731" s="228"/>
      <c r="BC731" s="228"/>
      <c r="BD731" s="228"/>
      <c r="BE731" s="228"/>
      <c r="BF731" s="228"/>
      <c r="BG731" s="228"/>
      <c r="BH731" s="228"/>
      <c r="BI731" s="228"/>
      <c r="BJ731" s="228"/>
      <c r="BK731" s="228"/>
      <c r="BL731" s="228"/>
      <c r="BM731" s="228"/>
      <c r="BN731" s="228"/>
      <c r="BO731" s="228"/>
      <c r="BP731" s="228"/>
      <c r="BQ731" s="228"/>
      <c r="BR731" s="228"/>
      <c r="BS731" s="228"/>
      <c r="BT731" s="228"/>
      <c r="BU731" s="228"/>
      <c r="BV731" s="228"/>
      <c r="BW731" s="228"/>
      <c r="BX731" s="228"/>
      <c r="BY731" s="228"/>
      <c r="BZ731" s="228"/>
      <c r="CA731" s="228"/>
      <c r="CB731" s="228"/>
      <c r="CC731" s="228"/>
      <c r="CD731" s="228"/>
      <c r="CE731" s="228"/>
      <c r="CF731" s="228"/>
      <c r="CG731" s="228"/>
      <c r="CH731" s="228"/>
      <c r="CI731" s="228"/>
      <c r="CJ731" s="228"/>
      <c r="CK731" s="228"/>
      <c r="CL731" s="228"/>
      <c r="CM731" s="228"/>
      <c r="CN731" s="228"/>
      <c r="CO731" s="228"/>
      <c r="CP731" s="228"/>
      <c r="CQ731" s="228"/>
      <c r="CR731" s="228"/>
      <c r="CS731" s="228"/>
      <c r="CT731" s="228"/>
      <c r="CU731" s="228"/>
      <c r="CV731" s="228"/>
      <c r="CW731" s="228"/>
      <c r="CX731" s="228"/>
      <c r="CY731" s="228"/>
      <c r="CZ731" s="228"/>
      <c r="DA731" s="228"/>
      <c r="DB731" s="228"/>
    </row>
    <row r="732" ht="12.0" customHeight="1">
      <c r="A732" s="228"/>
      <c r="B732" s="228"/>
      <c r="C732" s="228"/>
      <c r="D732" s="228"/>
      <c r="E732" s="228"/>
      <c r="F732" s="228"/>
      <c r="G732" s="228"/>
      <c r="H732" s="228"/>
      <c r="I732" s="228"/>
      <c r="J732" s="228"/>
      <c r="K732" s="228"/>
      <c r="L732" s="228"/>
      <c r="M732" s="228"/>
      <c r="N732" s="228"/>
      <c r="O732" s="228"/>
      <c r="P732" s="228"/>
      <c r="Q732" s="228"/>
      <c r="R732" s="228"/>
      <c r="S732" s="228"/>
      <c r="T732" s="228"/>
      <c r="U732" s="228"/>
      <c r="V732" s="228"/>
      <c r="W732" s="228"/>
      <c r="X732" s="228"/>
      <c r="Y732" s="228"/>
      <c r="Z732" s="228"/>
      <c r="AA732" s="228"/>
      <c r="AB732" s="228"/>
      <c r="AC732" s="228"/>
      <c r="AD732" s="228"/>
      <c r="AE732" s="228"/>
      <c r="AF732" s="228"/>
      <c r="AG732" s="228"/>
      <c r="AH732" s="228"/>
      <c r="AI732" s="228"/>
      <c r="AJ732" s="228"/>
      <c r="AK732" s="228"/>
      <c r="AL732" s="228"/>
      <c r="AM732" s="228"/>
      <c r="AN732" s="228"/>
      <c r="AO732" s="228"/>
      <c r="AP732" s="228"/>
      <c r="AQ732" s="228"/>
      <c r="AR732" s="228"/>
      <c r="AS732" s="228"/>
      <c r="AT732" s="228"/>
      <c r="AU732" s="228"/>
      <c r="AV732" s="228"/>
      <c r="AW732" s="228"/>
      <c r="AX732" s="228"/>
      <c r="AY732" s="228"/>
      <c r="AZ732" s="228"/>
      <c r="BA732" s="228"/>
      <c r="BB732" s="228"/>
      <c r="BC732" s="228"/>
      <c r="BD732" s="228"/>
      <c r="BE732" s="228"/>
      <c r="BF732" s="228"/>
      <c r="BG732" s="228"/>
      <c r="BH732" s="228"/>
      <c r="BI732" s="228"/>
      <c r="BJ732" s="228"/>
      <c r="BK732" s="228"/>
      <c r="BL732" s="228"/>
      <c r="BM732" s="228"/>
      <c r="BN732" s="228"/>
      <c r="BO732" s="228"/>
      <c r="BP732" s="228"/>
      <c r="BQ732" s="228"/>
      <c r="BR732" s="228"/>
      <c r="BS732" s="228"/>
      <c r="BT732" s="228"/>
      <c r="BU732" s="228"/>
      <c r="BV732" s="228"/>
      <c r="BW732" s="228"/>
      <c r="BX732" s="228"/>
      <c r="BY732" s="228"/>
      <c r="BZ732" s="228"/>
      <c r="CA732" s="228"/>
      <c r="CB732" s="228"/>
      <c r="CC732" s="228"/>
      <c r="CD732" s="228"/>
      <c r="CE732" s="228"/>
      <c r="CF732" s="228"/>
      <c r="CG732" s="228"/>
      <c r="CH732" s="228"/>
      <c r="CI732" s="228"/>
      <c r="CJ732" s="228"/>
      <c r="CK732" s="228"/>
      <c r="CL732" s="228"/>
      <c r="CM732" s="228"/>
      <c r="CN732" s="228"/>
      <c r="CO732" s="228"/>
      <c r="CP732" s="228"/>
      <c r="CQ732" s="228"/>
      <c r="CR732" s="228"/>
      <c r="CS732" s="228"/>
      <c r="CT732" s="228"/>
      <c r="CU732" s="228"/>
      <c r="CV732" s="228"/>
      <c r="CW732" s="228"/>
      <c r="CX732" s="228"/>
      <c r="CY732" s="228"/>
      <c r="CZ732" s="228"/>
      <c r="DA732" s="228"/>
      <c r="DB732" s="228"/>
    </row>
    <row r="733" ht="12.0" customHeight="1">
      <c r="A733" s="228"/>
      <c r="B733" s="228"/>
      <c r="C733" s="228"/>
      <c r="D733" s="228"/>
      <c r="E733" s="228"/>
      <c r="F733" s="228"/>
      <c r="G733" s="228"/>
      <c r="H733" s="228"/>
      <c r="I733" s="228"/>
      <c r="J733" s="228"/>
      <c r="K733" s="228"/>
      <c r="L733" s="228"/>
      <c r="M733" s="228"/>
      <c r="N733" s="228"/>
      <c r="O733" s="228"/>
      <c r="P733" s="228"/>
      <c r="Q733" s="228"/>
      <c r="R733" s="228"/>
      <c r="S733" s="228"/>
      <c r="T733" s="228"/>
      <c r="U733" s="228"/>
      <c r="V733" s="228"/>
      <c r="W733" s="228"/>
      <c r="X733" s="228"/>
      <c r="Y733" s="228"/>
      <c r="Z733" s="228"/>
      <c r="AA733" s="228"/>
      <c r="AB733" s="228"/>
      <c r="AC733" s="228"/>
      <c r="AD733" s="228"/>
      <c r="AE733" s="228"/>
      <c r="AF733" s="228"/>
      <c r="AG733" s="228"/>
      <c r="AH733" s="228"/>
      <c r="AI733" s="228"/>
      <c r="AJ733" s="228"/>
      <c r="AK733" s="228"/>
      <c r="AL733" s="228"/>
      <c r="AM733" s="228"/>
      <c r="AN733" s="228"/>
      <c r="AO733" s="228"/>
      <c r="AP733" s="228"/>
      <c r="AQ733" s="228"/>
      <c r="AR733" s="228"/>
      <c r="AS733" s="228"/>
      <c r="AT733" s="228"/>
      <c r="AU733" s="228"/>
      <c r="AV733" s="228"/>
      <c r="AW733" s="228"/>
      <c r="AX733" s="228"/>
      <c r="AY733" s="228"/>
      <c r="AZ733" s="228"/>
      <c r="BA733" s="228"/>
      <c r="BB733" s="228"/>
      <c r="BC733" s="228"/>
      <c r="BD733" s="228"/>
      <c r="BE733" s="228"/>
      <c r="BF733" s="228"/>
      <c r="BG733" s="228"/>
      <c r="BH733" s="228"/>
      <c r="BI733" s="228"/>
      <c r="BJ733" s="228"/>
      <c r="BK733" s="228"/>
      <c r="BL733" s="228"/>
      <c r="BM733" s="228"/>
      <c r="BN733" s="228"/>
      <c r="BO733" s="228"/>
      <c r="BP733" s="228"/>
      <c r="BQ733" s="228"/>
      <c r="BR733" s="228"/>
      <c r="BS733" s="228"/>
      <c r="BT733" s="228"/>
      <c r="BU733" s="228"/>
      <c r="BV733" s="228"/>
      <c r="BW733" s="228"/>
      <c r="BX733" s="228"/>
      <c r="BY733" s="228"/>
      <c r="BZ733" s="228"/>
      <c r="CA733" s="228"/>
      <c r="CB733" s="228"/>
      <c r="CC733" s="228"/>
      <c r="CD733" s="228"/>
      <c r="CE733" s="228"/>
      <c r="CF733" s="228"/>
      <c r="CG733" s="228"/>
      <c r="CH733" s="228"/>
      <c r="CI733" s="228"/>
      <c r="CJ733" s="228"/>
      <c r="CK733" s="228"/>
      <c r="CL733" s="228"/>
      <c r="CM733" s="228"/>
      <c r="CN733" s="228"/>
      <c r="CO733" s="228"/>
      <c r="CP733" s="228"/>
      <c r="CQ733" s="228"/>
      <c r="CR733" s="228"/>
      <c r="CS733" s="228"/>
      <c r="CT733" s="228"/>
      <c r="CU733" s="228"/>
      <c r="CV733" s="228"/>
      <c r="CW733" s="228"/>
      <c r="CX733" s="228"/>
      <c r="CY733" s="228"/>
      <c r="CZ733" s="228"/>
      <c r="DA733" s="228"/>
      <c r="DB733" s="228"/>
    </row>
    <row r="734" ht="12.0" customHeight="1">
      <c r="A734" s="228"/>
      <c r="B734" s="228"/>
      <c r="C734" s="228"/>
      <c r="D734" s="228"/>
      <c r="E734" s="228"/>
      <c r="F734" s="228"/>
      <c r="G734" s="228"/>
      <c r="H734" s="228"/>
      <c r="I734" s="228"/>
      <c r="J734" s="228"/>
      <c r="K734" s="228"/>
      <c r="L734" s="228"/>
      <c r="M734" s="228"/>
      <c r="N734" s="228"/>
      <c r="O734" s="228"/>
      <c r="P734" s="228"/>
      <c r="Q734" s="228"/>
      <c r="R734" s="228"/>
      <c r="S734" s="228"/>
      <c r="T734" s="228"/>
      <c r="U734" s="228"/>
      <c r="V734" s="228"/>
      <c r="W734" s="228"/>
      <c r="X734" s="228"/>
      <c r="Y734" s="228"/>
      <c r="Z734" s="228"/>
      <c r="AA734" s="228"/>
      <c r="AB734" s="228"/>
      <c r="AC734" s="228"/>
      <c r="AD734" s="228"/>
      <c r="AE734" s="228"/>
      <c r="AF734" s="228"/>
      <c r="AG734" s="228"/>
      <c r="AH734" s="228"/>
      <c r="AI734" s="228"/>
      <c r="AJ734" s="228"/>
      <c r="AK734" s="228"/>
      <c r="AL734" s="228"/>
      <c r="AM734" s="228"/>
      <c r="AN734" s="228"/>
      <c r="AO734" s="228"/>
      <c r="AP734" s="228"/>
      <c r="AQ734" s="228"/>
      <c r="AR734" s="228"/>
      <c r="AS734" s="228"/>
      <c r="AT734" s="228"/>
      <c r="AU734" s="228"/>
      <c r="AV734" s="228"/>
      <c r="AW734" s="228"/>
      <c r="AX734" s="228"/>
      <c r="AY734" s="228"/>
      <c r="AZ734" s="228"/>
      <c r="BA734" s="228"/>
      <c r="BB734" s="228"/>
      <c r="BC734" s="228"/>
      <c r="BD734" s="228"/>
      <c r="BE734" s="228"/>
      <c r="BF734" s="228"/>
      <c r="BG734" s="228"/>
      <c r="BH734" s="228"/>
      <c r="BI734" s="228"/>
      <c r="BJ734" s="228"/>
      <c r="BK734" s="228"/>
      <c r="BL734" s="228"/>
      <c r="BM734" s="228"/>
      <c r="BN734" s="228"/>
      <c r="BO734" s="228"/>
      <c r="BP734" s="228"/>
      <c r="BQ734" s="228"/>
      <c r="BR734" s="228"/>
      <c r="BS734" s="228"/>
      <c r="BT734" s="228"/>
      <c r="BU734" s="228"/>
      <c r="BV734" s="228"/>
      <c r="BW734" s="228"/>
      <c r="BX734" s="228"/>
      <c r="BY734" s="228"/>
      <c r="BZ734" s="228"/>
      <c r="CA734" s="228"/>
      <c r="CB734" s="228"/>
      <c r="CC734" s="228"/>
      <c r="CD734" s="228"/>
      <c r="CE734" s="228"/>
      <c r="CF734" s="228"/>
      <c r="CG734" s="228"/>
      <c r="CH734" s="228"/>
      <c r="CI734" s="228"/>
      <c r="CJ734" s="228"/>
      <c r="CK734" s="228"/>
      <c r="CL734" s="228"/>
      <c r="CM734" s="228"/>
      <c r="CN734" s="228"/>
      <c r="CO734" s="228"/>
      <c r="CP734" s="228"/>
      <c r="CQ734" s="228"/>
      <c r="CR734" s="228"/>
      <c r="CS734" s="228"/>
      <c r="CT734" s="228"/>
      <c r="CU734" s="228"/>
      <c r="CV734" s="228"/>
      <c r="CW734" s="228"/>
      <c r="CX734" s="228"/>
      <c r="CY734" s="228"/>
      <c r="CZ734" s="228"/>
      <c r="DA734" s="228"/>
      <c r="DB734" s="228"/>
    </row>
    <row r="735" ht="12.0" customHeight="1">
      <c r="A735" s="228"/>
      <c r="B735" s="228"/>
      <c r="C735" s="228"/>
      <c r="D735" s="228"/>
      <c r="E735" s="228"/>
      <c r="F735" s="228"/>
      <c r="G735" s="228"/>
      <c r="H735" s="228"/>
      <c r="I735" s="228"/>
      <c r="J735" s="228"/>
      <c r="K735" s="228"/>
      <c r="L735" s="228"/>
      <c r="M735" s="228"/>
      <c r="N735" s="228"/>
      <c r="O735" s="228"/>
      <c r="P735" s="228"/>
      <c r="Q735" s="228"/>
      <c r="R735" s="228"/>
      <c r="S735" s="228"/>
      <c r="T735" s="228"/>
      <c r="U735" s="228"/>
      <c r="V735" s="228"/>
      <c r="W735" s="228"/>
      <c r="X735" s="228"/>
      <c r="Y735" s="228"/>
      <c r="Z735" s="228"/>
      <c r="AA735" s="228"/>
      <c r="AB735" s="228"/>
      <c r="AC735" s="228"/>
      <c r="AD735" s="228"/>
      <c r="AE735" s="228"/>
      <c r="AF735" s="228"/>
      <c r="AG735" s="228"/>
      <c r="AH735" s="228"/>
      <c r="AI735" s="228"/>
      <c r="AJ735" s="228"/>
      <c r="AK735" s="228"/>
      <c r="AL735" s="228"/>
      <c r="AM735" s="228"/>
      <c r="AN735" s="228"/>
      <c r="AO735" s="228"/>
      <c r="AP735" s="228"/>
      <c r="AQ735" s="228"/>
      <c r="AR735" s="228"/>
      <c r="AS735" s="228"/>
      <c r="AT735" s="228"/>
      <c r="AU735" s="228"/>
      <c r="AV735" s="228"/>
      <c r="AW735" s="228"/>
      <c r="AX735" s="228"/>
      <c r="AY735" s="228"/>
      <c r="AZ735" s="228"/>
      <c r="BA735" s="228"/>
      <c r="BB735" s="228"/>
      <c r="BC735" s="228"/>
      <c r="BD735" s="228"/>
      <c r="BE735" s="228"/>
      <c r="BF735" s="228"/>
      <c r="BG735" s="228"/>
      <c r="BH735" s="228"/>
      <c r="BI735" s="228"/>
      <c r="BJ735" s="228"/>
      <c r="BK735" s="228"/>
      <c r="BL735" s="228"/>
      <c r="BM735" s="228"/>
      <c r="BN735" s="228"/>
      <c r="BO735" s="228"/>
      <c r="BP735" s="228"/>
      <c r="BQ735" s="228"/>
      <c r="BR735" s="228"/>
      <c r="BS735" s="228"/>
      <c r="BT735" s="228"/>
      <c r="BU735" s="228"/>
      <c r="BV735" s="228"/>
      <c r="BW735" s="228"/>
      <c r="BX735" s="228"/>
      <c r="BY735" s="228"/>
      <c r="BZ735" s="228"/>
      <c r="CA735" s="228"/>
      <c r="CB735" s="228"/>
      <c r="CC735" s="228"/>
      <c r="CD735" s="228"/>
      <c r="CE735" s="228"/>
      <c r="CF735" s="228"/>
      <c r="CG735" s="228"/>
      <c r="CH735" s="228"/>
      <c r="CI735" s="228"/>
      <c r="CJ735" s="228"/>
      <c r="CK735" s="228"/>
      <c r="CL735" s="228"/>
      <c r="CM735" s="228"/>
      <c r="CN735" s="228"/>
      <c r="CO735" s="228"/>
      <c r="CP735" s="228"/>
      <c r="CQ735" s="228"/>
      <c r="CR735" s="228"/>
      <c r="CS735" s="228"/>
      <c r="CT735" s="228"/>
      <c r="CU735" s="228"/>
      <c r="CV735" s="228"/>
      <c r="CW735" s="228"/>
      <c r="CX735" s="228"/>
      <c r="CY735" s="228"/>
      <c r="CZ735" s="228"/>
      <c r="DA735" s="228"/>
      <c r="DB735" s="228"/>
    </row>
    <row r="736" ht="12.0" customHeight="1">
      <c r="A736" s="228"/>
      <c r="B736" s="228"/>
      <c r="C736" s="228"/>
      <c r="D736" s="228"/>
      <c r="E736" s="228"/>
      <c r="F736" s="228"/>
      <c r="G736" s="228"/>
      <c r="H736" s="228"/>
      <c r="I736" s="228"/>
      <c r="J736" s="228"/>
      <c r="K736" s="228"/>
      <c r="L736" s="228"/>
      <c r="M736" s="228"/>
      <c r="N736" s="228"/>
      <c r="O736" s="228"/>
      <c r="P736" s="228"/>
      <c r="Q736" s="228"/>
      <c r="R736" s="228"/>
      <c r="S736" s="228"/>
      <c r="T736" s="228"/>
      <c r="U736" s="228"/>
      <c r="V736" s="228"/>
      <c r="W736" s="228"/>
      <c r="X736" s="228"/>
      <c r="Y736" s="228"/>
      <c r="Z736" s="228"/>
      <c r="AA736" s="228"/>
      <c r="AB736" s="228"/>
      <c r="AC736" s="228"/>
      <c r="AD736" s="228"/>
      <c r="AE736" s="228"/>
      <c r="AF736" s="228"/>
      <c r="AG736" s="228"/>
      <c r="AH736" s="228"/>
      <c r="AI736" s="228"/>
      <c r="AJ736" s="228"/>
      <c r="AK736" s="228"/>
      <c r="AL736" s="228"/>
      <c r="AM736" s="228"/>
      <c r="AN736" s="228"/>
      <c r="AO736" s="228"/>
      <c r="AP736" s="228"/>
      <c r="AQ736" s="228"/>
      <c r="AR736" s="228"/>
      <c r="AS736" s="228"/>
      <c r="AT736" s="228"/>
      <c r="AU736" s="228"/>
      <c r="AV736" s="228"/>
      <c r="AW736" s="228"/>
      <c r="AX736" s="228"/>
      <c r="AY736" s="228"/>
      <c r="AZ736" s="228"/>
      <c r="BA736" s="228"/>
      <c r="BB736" s="228"/>
      <c r="BC736" s="228"/>
      <c r="BD736" s="228"/>
      <c r="BE736" s="228"/>
      <c r="BF736" s="228"/>
      <c r="BG736" s="228"/>
      <c r="BH736" s="228"/>
      <c r="BI736" s="228"/>
      <c r="BJ736" s="228"/>
      <c r="BK736" s="228"/>
      <c r="BL736" s="228"/>
      <c r="BM736" s="228"/>
      <c r="BN736" s="228"/>
      <c r="BO736" s="228"/>
      <c r="BP736" s="228"/>
      <c r="BQ736" s="228"/>
      <c r="BR736" s="228"/>
      <c r="BS736" s="228"/>
      <c r="BT736" s="228"/>
      <c r="BU736" s="228"/>
      <c r="BV736" s="228"/>
      <c r="BW736" s="228"/>
      <c r="BX736" s="228"/>
      <c r="BY736" s="228"/>
      <c r="BZ736" s="228"/>
      <c r="CA736" s="228"/>
      <c r="CB736" s="228"/>
      <c r="CC736" s="228"/>
      <c r="CD736" s="228"/>
      <c r="CE736" s="228"/>
      <c r="CF736" s="228"/>
      <c r="CG736" s="228"/>
      <c r="CH736" s="228"/>
      <c r="CI736" s="228"/>
      <c r="CJ736" s="228"/>
      <c r="CK736" s="228"/>
      <c r="CL736" s="228"/>
      <c r="CM736" s="228"/>
      <c r="CN736" s="228"/>
      <c r="CO736" s="228"/>
      <c r="CP736" s="228"/>
      <c r="CQ736" s="228"/>
      <c r="CR736" s="228"/>
      <c r="CS736" s="228"/>
      <c r="CT736" s="228"/>
      <c r="CU736" s="228"/>
      <c r="CV736" s="228"/>
      <c r="CW736" s="228"/>
      <c r="CX736" s="228"/>
      <c r="CY736" s="228"/>
      <c r="CZ736" s="228"/>
      <c r="DA736" s="228"/>
      <c r="DB736" s="228"/>
    </row>
    <row r="737" ht="12.0" customHeight="1">
      <c r="A737" s="228"/>
      <c r="B737" s="228"/>
      <c r="C737" s="228"/>
      <c r="D737" s="228"/>
      <c r="E737" s="228"/>
      <c r="F737" s="228"/>
      <c r="G737" s="228"/>
      <c r="H737" s="228"/>
      <c r="I737" s="228"/>
      <c r="J737" s="228"/>
      <c r="K737" s="228"/>
      <c r="L737" s="228"/>
      <c r="M737" s="228"/>
      <c r="N737" s="228"/>
      <c r="O737" s="228"/>
      <c r="P737" s="228"/>
      <c r="Q737" s="228"/>
      <c r="R737" s="228"/>
      <c r="S737" s="228"/>
      <c r="T737" s="228"/>
      <c r="U737" s="228"/>
      <c r="V737" s="228"/>
      <c r="W737" s="228"/>
      <c r="X737" s="228"/>
      <c r="Y737" s="228"/>
      <c r="Z737" s="228"/>
      <c r="AA737" s="228"/>
      <c r="AB737" s="228"/>
      <c r="AC737" s="228"/>
      <c r="AD737" s="228"/>
      <c r="AE737" s="228"/>
      <c r="AF737" s="228"/>
      <c r="AG737" s="228"/>
      <c r="AH737" s="228"/>
      <c r="AI737" s="228"/>
      <c r="AJ737" s="228"/>
      <c r="AK737" s="228"/>
      <c r="AL737" s="228"/>
      <c r="AM737" s="228"/>
      <c r="AN737" s="228"/>
      <c r="AO737" s="228"/>
      <c r="AP737" s="228"/>
      <c r="AQ737" s="228"/>
      <c r="AR737" s="228"/>
      <c r="AS737" s="228"/>
      <c r="AT737" s="228"/>
      <c r="AU737" s="228"/>
      <c r="AV737" s="228"/>
      <c r="AW737" s="228"/>
      <c r="AX737" s="228"/>
      <c r="AY737" s="228"/>
      <c r="AZ737" s="228"/>
      <c r="BA737" s="228"/>
      <c r="BB737" s="228"/>
      <c r="BC737" s="228"/>
      <c r="BD737" s="228"/>
      <c r="BE737" s="228"/>
      <c r="BF737" s="228"/>
      <c r="BG737" s="228"/>
      <c r="BH737" s="228"/>
      <c r="BI737" s="228"/>
      <c r="BJ737" s="228"/>
      <c r="BK737" s="228"/>
      <c r="BL737" s="228"/>
      <c r="BM737" s="228"/>
      <c r="BN737" s="228"/>
      <c r="BO737" s="228"/>
      <c r="BP737" s="228"/>
      <c r="BQ737" s="228"/>
      <c r="BR737" s="228"/>
      <c r="BS737" s="228"/>
      <c r="BT737" s="228"/>
      <c r="BU737" s="228"/>
      <c r="BV737" s="228"/>
      <c r="BW737" s="228"/>
      <c r="BX737" s="228"/>
      <c r="BY737" s="228"/>
      <c r="BZ737" s="228"/>
      <c r="CA737" s="228"/>
      <c r="CB737" s="228"/>
      <c r="CC737" s="228"/>
      <c r="CD737" s="228"/>
      <c r="CE737" s="228"/>
      <c r="CF737" s="228"/>
      <c r="CG737" s="228"/>
      <c r="CH737" s="228"/>
      <c r="CI737" s="228"/>
      <c r="CJ737" s="228"/>
      <c r="CK737" s="228"/>
      <c r="CL737" s="228"/>
      <c r="CM737" s="228"/>
      <c r="CN737" s="228"/>
      <c r="CO737" s="228"/>
      <c r="CP737" s="228"/>
      <c r="CQ737" s="228"/>
      <c r="CR737" s="228"/>
      <c r="CS737" s="228"/>
      <c r="CT737" s="228"/>
      <c r="CU737" s="228"/>
      <c r="CV737" s="228"/>
      <c r="CW737" s="228"/>
      <c r="CX737" s="228"/>
      <c r="CY737" s="228"/>
      <c r="CZ737" s="228"/>
      <c r="DA737" s="228"/>
      <c r="DB737" s="228"/>
    </row>
    <row r="738" ht="12.0" customHeight="1">
      <c r="A738" s="228"/>
      <c r="B738" s="228"/>
      <c r="C738" s="228"/>
      <c r="D738" s="228"/>
      <c r="E738" s="228"/>
      <c r="F738" s="228"/>
      <c r="G738" s="228"/>
      <c r="H738" s="228"/>
      <c r="I738" s="228"/>
      <c r="J738" s="228"/>
      <c r="K738" s="228"/>
      <c r="L738" s="228"/>
      <c r="M738" s="228"/>
      <c r="N738" s="228"/>
      <c r="O738" s="228"/>
      <c r="P738" s="228"/>
      <c r="Q738" s="228"/>
      <c r="R738" s="228"/>
      <c r="S738" s="228"/>
      <c r="T738" s="228"/>
      <c r="U738" s="228"/>
      <c r="V738" s="228"/>
      <c r="W738" s="228"/>
      <c r="X738" s="228"/>
      <c r="Y738" s="228"/>
      <c r="Z738" s="228"/>
      <c r="AA738" s="228"/>
      <c r="AB738" s="228"/>
      <c r="AC738" s="228"/>
      <c r="AD738" s="228"/>
      <c r="AE738" s="228"/>
      <c r="AF738" s="228"/>
      <c r="AG738" s="228"/>
      <c r="AH738" s="228"/>
      <c r="AI738" s="228"/>
      <c r="AJ738" s="228"/>
      <c r="AK738" s="228"/>
      <c r="AL738" s="228"/>
      <c r="AM738" s="228"/>
      <c r="AN738" s="228"/>
      <c r="AO738" s="228"/>
      <c r="AP738" s="228"/>
      <c r="AQ738" s="228"/>
      <c r="AR738" s="228"/>
      <c r="AS738" s="228"/>
      <c r="AT738" s="228"/>
      <c r="AU738" s="228"/>
      <c r="AV738" s="228"/>
      <c r="AW738" s="228"/>
      <c r="AX738" s="228"/>
      <c r="AY738" s="228"/>
      <c r="AZ738" s="228"/>
      <c r="BA738" s="228"/>
      <c r="BB738" s="228"/>
      <c r="BC738" s="228"/>
      <c r="BD738" s="228"/>
      <c r="BE738" s="228"/>
      <c r="BF738" s="228"/>
      <c r="BG738" s="228"/>
      <c r="BH738" s="228"/>
      <c r="BI738" s="228"/>
      <c r="BJ738" s="228"/>
      <c r="BK738" s="228"/>
      <c r="BL738" s="228"/>
      <c r="BM738" s="228"/>
      <c r="BN738" s="228"/>
      <c r="BO738" s="228"/>
      <c r="BP738" s="228"/>
      <c r="BQ738" s="228"/>
      <c r="BR738" s="228"/>
      <c r="BS738" s="228"/>
      <c r="BT738" s="228"/>
      <c r="BU738" s="228"/>
      <c r="BV738" s="228"/>
      <c r="BW738" s="228"/>
      <c r="BX738" s="228"/>
      <c r="BY738" s="228"/>
      <c r="BZ738" s="228"/>
      <c r="CA738" s="228"/>
      <c r="CB738" s="228"/>
      <c r="CC738" s="228"/>
      <c r="CD738" s="228"/>
      <c r="CE738" s="228"/>
      <c r="CF738" s="228"/>
      <c r="CG738" s="228"/>
      <c r="CH738" s="228"/>
      <c r="CI738" s="228"/>
      <c r="CJ738" s="228"/>
      <c r="CK738" s="228"/>
      <c r="CL738" s="228"/>
      <c r="CM738" s="228"/>
      <c r="CN738" s="228"/>
      <c r="CO738" s="228"/>
      <c r="CP738" s="228"/>
      <c r="CQ738" s="228"/>
      <c r="CR738" s="228"/>
      <c r="CS738" s="228"/>
      <c r="CT738" s="228"/>
      <c r="CU738" s="228"/>
      <c r="CV738" s="228"/>
      <c r="CW738" s="228"/>
      <c r="CX738" s="228"/>
      <c r="CY738" s="228"/>
      <c r="CZ738" s="228"/>
      <c r="DA738" s="228"/>
      <c r="DB738" s="228"/>
    </row>
    <row r="739" ht="12.0" customHeight="1">
      <c r="A739" s="228"/>
      <c r="B739" s="228"/>
      <c r="C739" s="228"/>
      <c r="D739" s="228"/>
      <c r="E739" s="228"/>
      <c r="F739" s="228"/>
      <c r="G739" s="228"/>
      <c r="H739" s="228"/>
      <c r="I739" s="228"/>
      <c r="J739" s="228"/>
      <c r="K739" s="228"/>
      <c r="L739" s="228"/>
      <c r="M739" s="228"/>
      <c r="N739" s="228"/>
      <c r="O739" s="228"/>
      <c r="P739" s="228"/>
      <c r="Q739" s="228"/>
      <c r="R739" s="228"/>
      <c r="S739" s="228"/>
      <c r="T739" s="228"/>
      <c r="U739" s="228"/>
      <c r="V739" s="228"/>
      <c r="W739" s="228"/>
      <c r="X739" s="228"/>
      <c r="Y739" s="228"/>
      <c r="Z739" s="228"/>
      <c r="AA739" s="228"/>
      <c r="AB739" s="228"/>
      <c r="AC739" s="228"/>
      <c r="AD739" s="228"/>
      <c r="AE739" s="228"/>
      <c r="AF739" s="228"/>
      <c r="AG739" s="228"/>
      <c r="AH739" s="228"/>
      <c r="AI739" s="228"/>
      <c r="AJ739" s="228"/>
      <c r="AK739" s="228"/>
      <c r="AL739" s="228"/>
      <c r="AM739" s="228"/>
      <c r="AN739" s="228"/>
      <c r="AO739" s="228"/>
      <c r="AP739" s="228"/>
      <c r="AQ739" s="228"/>
      <c r="AR739" s="228"/>
      <c r="AS739" s="228"/>
      <c r="AT739" s="228"/>
      <c r="AU739" s="228"/>
      <c r="AV739" s="228"/>
      <c r="AW739" s="228"/>
      <c r="AX739" s="228"/>
      <c r="AY739" s="228"/>
      <c r="AZ739" s="228"/>
      <c r="BA739" s="228"/>
      <c r="BB739" s="228"/>
      <c r="BC739" s="228"/>
      <c r="BD739" s="228"/>
      <c r="BE739" s="228"/>
      <c r="BF739" s="228"/>
      <c r="BG739" s="228"/>
      <c r="BH739" s="228"/>
      <c r="BI739" s="228"/>
      <c r="BJ739" s="228"/>
      <c r="BK739" s="228"/>
      <c r="BL739" s="228"/>
      <c r="BM739" s="228"/>
      <c r="BN739" s="228"/>
      <c r="BO739" s="228"/>
      <c r="BP739" s="228"/>
      <c r="BQ739" s="228"/>
      <c r="BR739" s="228"/>
      <c r="BS739" s="228"/>
      <c r="BT739" s="228"/>
      <c r="BU739" s="228"/>
      <c r="BV739" s="228"/>
      <c r="BW739" s="228"/>
      <c r="BX739" s="228"/>
      <c r="BY739" s="228"/>
      <c r="BZ739" s="228"/>
      <c r="CA739" s="228"/>
      <c r="CB739" s="228"/>
      <c r="CC739" s="228"/>
      <c r="CD739" s="228"/>
      <c r="CE739" s="228"/>
      <c r="CF739" s="228"/>
      <c r="CG739" s="228"/>
      <c r="CH739" s="228"/>
      <c r="CI739" s="228"/>
      <c r="CJ739" s="228"/>
      <c r="CK739" s="228"/>
      <c r="CL739" s="228"/>
      <c r="CM739" s="228"/>
      <c r="CN739" s="228"/>
      <c r="CO739" s="228"/>
      <c r="CP739" s="228"/>
      <c r="CQ739" s="228"/>
      <c r="CR739" s="228"/>
      <c r="CS739" s="228"/>
      <c r="CT739" s="228"/>
      <c r="CU739" s="228"/>
      <c r="CV739" s="228"/>
      <c r="CW739" s="228"/>
      <c r="CX739" s="228"/>
      <c r="CY739" s="228"/>
      <c r="CZ739" s="228"/>
      <c r="DA739" s="228"/>
      <c r="DB739" s="228"/>
    </row>
    <row r="740" ht="12.0" customHeight="1">
      <c r="A740" s="228"/>
      <c r="B740" s="228"/>
      <c r="C740" s="228"/>
      <c r="D740" s="228"/>
      <c r="E740" s="228"/>
      <c r="F740" s="228"/>
      <c r="G740" s="228"/>
      <c r="H740" s="228"/>
      <c r="I740" s="228"/>
      <c r="J740" s="228"/>
      <c r="K740" s="228"/>
      <c r="L740" s="228"/>
      <c r="M740" s="228"/>
      <c r="N740" s="228"/>
      <c r="O740" s="228"/>
      <c r="P740" s="228"/>
      <c r="Q740" s="228"/>
      <c r="R740" s="228"/>
      <c r="S740" s="228"/>
      <c r="T740" s="228"/>
      <c r="U740" s="228"/>
      <c r="V740" s="228"/>
      <c r="W740" s="228"/>
      <c r="X740" s="228"/>
      <c r="Y740" s="228"/>
      <c r="Z740" s="228"/>
      <c r="AA740" s="228"/>
      <c r="AB740" s="228"/>
      <c r="AC740" s="228"/>
      <c r="AD740" s="228"/>
      <c r="AE740" s="228"/>
      <c r="AF740" s="228"/>
      <c r="AG740" s="228"/>
      <c r="AH740" s="228"/>
      <c r="AI740" s="228"/>
      <c r="AJ740" s="228"/>
      <c r="AK740" s="228"/>
      <c r="AL740" s="228"/>
      <c r="AM740" s="228"/>
      <c r="AN740" s="228"/>
      <c r="AO740" s="228"/>
      <c r="AP740" s="228"/>
      <c r="AQ740" s="228"/>
      <c r="AR740" s="228"/>
      <c r="AS740" s="228"/>
      <c r="AT740" s="228"/>
      <c r="AU740" s="228"/>
      <c r="AV740" s="228"/>
      <c r="AW740" s="228"/>
      <c r="AX740" s="228"/>
      <c r="AY740" s="228"/>
      <c r="AZ740" s="228"/>
      <c r="BA740" s="228"/>
      <c r="BB740" s="228"/>
      <c r="BC740" s="228"/>
      <c r="BD740" s="228"/>
      <c r="BE740" s="228"/>
      <c r="BF740" s="228"/>
      <c r="BG740" s="228"/>
      <c r="BH740" s="228"/>
      <c r="BI740" s="228"/>
      <c r="BJ740" s="228"/>
      <c r="BK740" s="228"/>
      <c r="BL740" s="228"/>
      <c r="BM740" s="228"/>
      <c r="BN740" s="228"/>
      <c r="BO740" s="228"/>
      <c r="BP740" s="228"/>
      <c r="BQ740" s="228"/>
      <c r="BR740" s="228"/>
      <c r="BS740" s="228"/>
      <c r="BT740" s="228"/>
      <c r="BU740" s="228"/>
      <c r="BV740" s="228"/>
      <c r="BW740" s="228"/>
      <c r="BX740" s="228"/>
      <c r="BY740" s="228"/>
      <c r="BZ740" s="228"/>
      <c r="CA740" s="228"/>
      <c r="CB740" s="228"/>
      <c r="CC740" s="228"/>
      <c r="CD740" s="228"/>
      <c r="CE740" s="228"/>
      <c r="CF740" s="228"/>
      <c r="CG740" s="228"/>
      <c r="CH740" s="228"/>
      <c r="CI740" s="228"/>
      <c r="CJ740" s="228"/>
      <c r="CK740" s="228"/>
      <c r="CL740" s="228"/>
      <c r="CM740" s="228"/>
      <c r="CN740" s="228"/>
      <c r="CO740" s="228"/>
      <c r="CP740" s="228"/>
      <c r="CQ740" s="228"/>
      <c r="CR740" s="228"/>
      <c r="CS740" s="228"/>
      <c r="CT740" s="228"/>
      <c r="CU740" s="228"/>
      <c r="CV740" s="228"/>
      <c r="CW740" s="228"/>
      <c r="CX740" s="228"/>
      <c r="CY740" s="228"/>
      <c r="CZ740" s="228"/>
      <c r="DA740" s="228"/>
      <c r="DB740" s="228"/>
    </row>
    <row r="741" ht="12.0" customHeight="1">
      <c r="A741" s="228"/>
      <c r="B741" s="228"/>
      <c r="C741" s="228"/>
      <c r="D741" s="228"/>
      <c r="E741" s="228"/>
      <c r="F741" s="228"/>
      <c r="G741" s="228"/>
      <c r="H741" s="228"/>
      <c r="I741" s="228"/>
      <c r="J741" s="228"/>
      <c r="K741" s="228"/>
      <c r="L741" s="228"/>
      <c r="M741" s="228"/>
      <c r="N741" s="228"/>
      <c r="O741" s="228"/>
      <c r="P741" s="228"/>
      <c r="Q741" s="228"/>
      <c r="R741" s="228"/>
      <c r="S741" s="228"/>
      <c r="T741" s="228"/>
      <c r="U741" s="228"/>
      <c r="V741" s="228"/>
      <c r="W741" s="228"/>
      <c r="X741" s="228"/>
      <c r="Y741" s="228"/>
      <c r="Z741" s="228"/>
      <c r="AA741" s="228"/>
      <c r="AB741" s="228"/>
      <c r="AC741" s="228"/>
      <c r="AD741" s="228"/>
      <c r="AE741" s="228"/>
      <c r="AF741" s="228"/>
      <c r="AG741" s="228"/>
      <c r="AH741" s="228"/>
      <c r="AI741" s="228"/>
      <c r="AJ741" s="228"/>
      <c r="AK741" s="228"/>
      <c r="AL741" s="228"/>
      <c r="AM741" s="228"/>
      <c r="AN741" s="228"/>
      <c r="AO741" s="228"/>
      <c r="AP741" s="228"/>
      <c r="AQ741" s="228"/>
      <c r="AR741" s="228"/>
      <c r="AS741" s="228"/>
      <c r="AT741" s="228"/>
      <c r="AU741" s="228"/>
      <c r="AV741" s="228"/>
      <c r="AW741" s="228"/>
      <c r="AX741" s="228"/>
      <c r="AY741" s="228"/>
      <c r="AZ741" s="228"/>
      <c r="BA741" s="228"/>
      <c r="BB741" s="228"/>
      <c r="BC741" s="228"/>
      <c r="BD741" s="228"/>
      <c r="BE741" s="228"/>
      <c r="BF741" s="228"/>
      <c r="BG741" s="228"/>
      <c r="BH741" s="228"/>
      <c r="BI741" s="228"/>
      <c r="BJ741" s="228"/>
      <c r="BK741" s="228"/>
      <c r="BL741" s="228"/>
      <c r="BM741" s="228"/>
      <c r="BN741" s="228"/>
      <c r="BO741" s="228"/>
      <c r="BP741" s="228"/>
      <c r="BQ741" s="228"/>
      <c r="BR741" s="228"/>
      <c r="BS741" s="228"/>
      <c r="BT741" s="228"/>
      <c r="BU741" s="228"/>
      <c r="BV741" s="228"/>
      <c r="BW741" s="228"/>
      <c r="BX741" s="228"/>
      <c r="BY741" s="228"/>
      <c r="BZ741" s="228"/>
      <c r="CA741" s="228"/>
      <c r="CB741" s="228"/>
      <c r="CC741" s="228"/>
      <c r="CD741" s="228"/>
      <c r="CE741" s="228"/>
      <c r="CF741" s="228"/>
      <c r="CG741" s="228"/>
      <c r="CH741" s="228"/>
      <c r="CI741" s="228"/>
      <c r="CJ741" s="228"/>
      <c r="CK741" s="228"/>
      <c r="CL741" s="228"/>
      <c r="CM741" s="228"/>
      <c r="CN741" s="228"/>
      <c r="CO741" s="228"/>
      <c r="CP741" s="228"/>
      <c r="CQ741" s="228"/>
      <c r="CR741" s="228"/>
      <c r="CS741" s="228"/>
      <c r="CT741" s="228"/>
      <c r="CU741" s="228"/>
      <c r="CV741" s="228"/>
      <c r="CW741" s="228"/>
      <c r="CX741" s="228"/>
      <c r="CY741" s="228"/>
      <c r="CZ741" s="228"/>
      <c r="DA741" s="228"/>
      <c r="DB741" s="228"/>
    </row>
    <row r="742" ht="12.0" customHeight="1">
      <c r="A742" s="228"/>
      <c r="B742" s="228"/>
      <c r="C742" s="228"/>
      <c r="D742" s="228"/>
      <c r="E742" s="228"/>
      <c r="F742" s="228"/>
      <c r="G742" s="228"/>
      <c r="H742" s="228"/>
      <c r="I742" s="228"/>
      <c r="J742" s="228"/>
      <c r="K742" s="228"/>
      <c r="L742" s="228"/>
      <c r="M742" s="228"/>
      <c r="N742" s="228"/>
      <c r="O742" s="228"/>
      <c r="P742" s="228"/>
      <c r="Q742" s="228"/>
      <c r="R742" s="228"/>
      <c r="S742" s="228"/>
      <c r="T742" s="228"/>
      <c r="U742" s="228"/>
      <c r="V742" s="228"/>
      <c r="W742" s="228"/>
      <c r="X742" s="228"/>
      <c r="Y742" s="228"/>
      <c r="Z742" s="228"/>
      <c r="AA742" s="228"/>
      <c r="AB742" s="228"/>
      <c r="AC742" s="228"/>
      <c r="AD742" s="228"/>
      <c r="AE742" s="228"/>
      <c r="AF742" s="228"/>
      <c r="AG742" s="228"/>
      <c r="AH742" s="228"/>
      <c r="AI742" s="228"/>
      <c r="AJ742" s="228"/>
      <c r="AK742" s="228"/>
      <c r="AL742" s="228"/>
      <c r="AM742" s="228"/>
      <c r="AN742" s="228"/>
      <c r="AO742" s="228"/>
      <c r="AP742" s="228"/>
      <c r="AQ742" s="228"/>
      <c r="AR742" s="228"/>
      <c r="AS742" s="228"/>
      <c r="AT742" s="228"/>
      <c r="AU742" s="228"/>
      <c r="AV742" s="228"/>
      <c r="AW742" s="228"/>
      <c r="AX742" s="228"/>
      <c r="AY742" s="228"/>
      <c r="AZ742" s="228"/>
      <c r="BA742" s="228"/>
      <c r="BB742" s="228"/>
      <c r="BC742" s="228"/>
      <c r="BD742" s="228"/>
      <c r="BE742" s="228"/>
      <c r="BF742" s="228"/>
      <c r="BG742" s="228"/>
      <c r="BH742" s="228"/>
      <c r="BI742" s="228"/>
      <c r="BJ742" s="228"/>
      <c r="BK742" s="228"/>
      <c r="BL742" s="228"/>
      <c r="BM742" s="228"/>
      <c r="BN742" s="228"/>
      <c r="BO742" s="228"/>
      <c r="BP742" s="228"/>
      <c r="BQ742" s="228"/>
      <c r="BR742" s="228"/>
      <c r="BS742" s="228"/>
      <c r="BT742" s="228"/>
      <c r="BU742" s="228"/>
      <c r="BV742" s="228"/>
      <c r="BW742" s="228"/>
      <c r="BX742" s="228"/>
      <c r="BY742" s="228"/>
      <c r="BZ742" s="228"/>
      <c r="CA742" s="228"/>
      <c r="CB742" s="228"/>
      <c r="CC742" s="228"/>
      <c r="CD742" s="228"/>
      <c r="CE742" s="228"/>
      <c r="CF742" s="228"/>
      <c r="CG742" s="228"/>
      <c r="CH742" s="228"/>
      <c r="CI742" s="228"/>
      <c r="CJ742" s="228"/>
      <c r="CK742" s="228"/>
      <c r="CL742" s="228"/>
      <c r="CM742" s="228"/>
      <c r="CN742" s="228"/>
      <c r="CO742" s="228"/>
      <c r="CP742" s="228"/>
      <c r="CQ742" s="228"/>
      <c r="CR742" s="228"/>
      <c r="CS742" s="228"/>
      <c r="CT742" s="228"/>
      <c r="CU742" s="228"/>
      <c r="CV742" s="228"/>
      <c r="CW742" s="228"/>
      <c r="CX742" s="228"/>
      <c r="CY742" s="228"/>
      <c r="CZ742" s="228"/>
      <c r="DA742" s="228"/>
      <c r="DB742" s="228"/>
    </row>
    <row r="743" ht="12.0" customHeight="1">
      <c r="A743" s="228"/>
      <c r="B743" s="228"/>
      <c r="C743" s="228"/>
      <c r="D743" s="228"/>
      <c r="E743" s="228"/>
      <c r="F743" s="228"/>
      <c r="G743" s="228"/>
      <c r="H743" s="228"/>
      <c r="I743" s="228"/>
      <c r="J743" s="228"/>
      <c r="K743" s="228"/>
      <c r="L743" s="228"/>
      <c r="M743" s="228"/>
      <c r="N743" s="228"/>
      <c r="O743" s="228"/>
      <c r="P743" s="228"/>
      <c r="Q743" s="228"/>
      <c r="R743" s="228"/>
      <c r="S743" s="228"/>
      <c r="T743" s="228"/>
      <c r="U743" s="228"/>
      <c r="V743" s="228"/>
      <c r="W743" s="228"/>
      <c r="X743" s="228"/>
      <c r="Y743" s="228"/>
      <c r="Z743" s="228"/>
      <c r="AA743" s="228"/>
      <c r="AB743" s="228"/>
      <c r="AC743" s="228"/>
      <c r="AD743" s="228"/>
      <c r="AE743" s="228"/>
      <c r="AF743" s="228"/>
      <c r="AG743" s="228"/>
      <c r="AH743" s="228"/>
      <c r="AI743" s="228"/>
      <c r="AJ743" s="228"/>
      <c r="AK743" s="228"/>
      <c r="AL743" s="228"/>
      <c r="AM743" s="228"/>
      <c r="AN743" s="228"/>
      <c r="AO743" s="228"/>
      <c r="AP743" s="228"/>
      <c r="AQ743" s="228"/>
      <c r="AR743" s="228"/>
      <c r="AS743" s="228"/>
      <c r="AT743" s="228"/>
      <c r="AU743" s="228"/>
      <c r="AV743" s="228"/>
      <c r="AW743" s="228"/>
      <c r="AX743" s="228"/>
      <c r="AY743" s="228"/>
      <c r="AZ743" s="228"/>
      <c r="BA743" s="228"/>
      <c r="BB743" s="228"/>
      <c r="BC743" s="228"/>
      <c r="BD743" s="228"/>
      <c r="BE743" s="228"/>
      <c r="BF743" s="228"/>
      <c r="BG743" s="228"/>
      <c r="BH743" s="228"/>
      <c r="BI743" s="228"/>
      <c r="BJ743" s="228"/>
      <c r="BK743" s="228"/>
      <c r="BL743" s="228"/>
      <c r="BM743" s="228"/>
      <c r="BN743" s="228"/>
      <c r="BO743" s="228"/>
      <c r="BP743" s="228"/>
      <c r="BQ743" s="228"/>
      <c r="BR743" s="228"/>
      <c r="BS743" s="228"/>
      <c r="BT743" s="228"/>
      <c r="BU743" s="228"/>
      <c r="BV743" s="228"/>
      <c r="BW743" s="228"/>
      <c r="BX743" s="228"/>
      <c r="BY743" s="228"/>
      <c r="BZ743" s="228"/>
      <c r="CA743" s="228"/>
      <c r="CB743" s="228"/>
      <c r="CC743" s="228"/>
      <c r="CD743" s="228"/>
      <c r="CE743" s="228"/>
      <c r="CF743" s="228"/>
      <c r="CG743" s="228"/>
      <c r="CH743" s="228"/>
      <c r="CI743" s="228"/>
      <c r="CJ743" s="228"/>
      <c r="CK743" s="228"/>
      <c r="CL743" s="228"/>
      <c r="CM743" s="228"/>
      <c r="CN743" s="228"/>
      <c r="CO743" s="228"/>
      <c r="CP743" s="228"/>
      <c r="CQ743" s="228"/>
      <c r="CR743" s="228"/>
      <c r="CS743" s="228"/>
      <c r="CT743" s="228"/>
      <c r="CU743" s="228"/>
      <c r="CV743" s="228"/>
      <c r="CW743" s="228"/>
      <c r="CX743" s="228"/>
      <c r="CY743" s="228"/>
      <c r="CZ743" s="228"/>
      <c r="DA743" s="228"/>
      <c r="DB743" s="228"/>
    </row>
    <row r="744" ht="12.0" customHeight="1">
      <c r="A744" s="228"/>
      <c r="B744" s="228"/>
      <c r="C744" s="228"/>
      <c r="D744" s="228"/>
      <c r="E744" s="228"/>
      <c r="F744" s="228"/>
      <c r="G744" s="228"/>
      <c r="H744" s="228"/>
      <c r="I744" s="228"/>
      <c r="J744" s="228"/>
      <c r="K744" s="228"/>
      <c r="L744" s="228"/>
      <c r="M744" s="228"/>
      <c r="N744" s="228"/>
      <c r="O744" s="228"/>
      <c r="P744" s="228"/>
      <c r="Q744" s="228"/>
      <c r="R744" s="228"/>
      <c r="S744" s="228"/>
      <c r="T744" s="228"/>
      <c r="U744" s="228"/>
      <c r="V744" s="228"/>
      <c r="W744" s="228"/>
      <c r="X744" s="228"/>
      <c r="Y744" s="228"/>
      <c r="Z744" s="228"/>
      <c r="AA744" s="228"/>
      <c r="AB744" s="228"/>
      <c r="AC744" s="228"/>
      <c r="AD744" s="228"/>
      <c r="AE744" s="228"/>
      <c r="AF744" s="228"/>
      <c r="AG744" s="228"/>
      <c r="AH744" s="228"/>
      <c r="AI744" s="228"/>
      <c r="AJ744" s="228"/>
      <c r="AK744" s="228"/>
      <c r="AL744" s="228"/>
      <c r="AM744" s="228"/>
      <c r="AN744" s="228"/>
      <c r="AO744" s="228"/>
      <c r="AP744" s="228"/>
      <c r="AQ744" s="228"/>
      <c r="AR744" s="228"/>
      <c r="AS744" s="228"/>
      <c r="AT744" s="228"/>
      <c r="AU744" s="228"/>
      <c r="AV744" s="228"/>
      <c r="AW744" s="228"/>
      <c r="AX744" s="228"/>
      <c r="AY744" s="228"/>
      <c r="AZ744" s="228"/>
      <c r="BA744" s="228"/>
      <c r="BB744" s="228"/>
      <c r="BC744" s="228"/>
      <c r="BD744" s="228"/>
      <c r="BE744" s="228"/>
      <c r="BF744" s="228"/>
      <c r="BG744" s="228"/>
      <c r="BH744" s="228"/>
      <c r="BI744" s="228"/>
      <c r="BJ744" s="228"/>
      <c r="BK744" s="228"/>
      <c r="BL744" s="228"/>
      <c r="BM744" s="228"/>
      <c r="BN744" s="228"/>
      <c r="BO744" s="228"/>
      <c r="BP744" s="228"/>
      <c r="BQ744" s="228"/>
      <c r="BR744" s="228"/>
      <c r="BS744" s="228"/>
      <c r="BT744" s="228"/>
      <c r="BU744" s="228"/>
      <c r="BV744" s="228"/>
      <c r="BW744" s="228"/>
      <c r="BX744" s="228"/>
      <c r="BY744" s="228"/>
      <c r="BZ744" s="228"/>
      <c r="CA744" s="228"/>
      <c r="CB744" s="228"/>
      <c r="CC744" s="228"/>
      <c r="CD744" s="228"/>
      <c r="CE744" s="228"/>
      <c r="CF744" s="228"/>
      <c r="CG744" s="228"/>
      <c r="CH744" s="228"/>
      <c r="CI744" s="228"/>
      <c r="CJ744" s="228"/>
      <c r="CK744" s="228"/>
      <c r="CL744" s="228"/>
      <c r="CM744" s="228"/>
      <c r="CN744" s="228"/>
      <c r="CO744" s="228"/>
      <c r="CP744" s="228"/>
      <c r="CQ744" s="228"/>
      <c r="CR744" s="228"/>
      <c r="CS744" s="228"/>
      <c r="CT744" s="228"/>
      <c r="CU744" s="228"/>
      <c r="CV744" s="228"/>
      <c r="CW744" s="228"/>
      <c r="CX744" s="228"/>
      <c r="CY744" s="228"/>
      <c r="CZ744" s="228"/>
      <c r="DA744" s="228"/>
      <c r="DB744" s="228"/>
    </row>
    <row r="745" ht="12.0" customHeight="1">
      <c r="A745" s="228"/>
      <c r="B745" s="228"/>
      <c r="C745" s="228"/>
      <c r="D745" s="228"/>
      <c r="E745" s="228"/>
      <c r="F745" s="228"/>
      <c r="G745" s="228"/>
      <c r="H745" s="228"/>
      <c r="I745" s="228"/>
      <c r="J745" s="228"/>
      <c r="K745" s="228"/>
      <c r="L745" s="228"/>
      <c r="M745" s="228"/>
      <c r="N745" s="228"/>
      <c r="O745" s="228"/>
      <c r="P745" s="228"/>
      <c r="Q745" s="228"/>
      <c r="R745" s="228"/>
      <c r="S745" s="228"/>
      <c r="T745" s="228"/>
      <c r="U745" s="228"/>
      <c r="V745" s="228"/>
      <c r="W745" s="228"/>
      <c r="X745" s="228"/>
      <c r="Y745" s="228"/>
      <c r="Z745" s="228"/>
      <c r="AA745" s="228"/>
      <c r="AB745" s="228"/>
      <c r="AC745" s="228"/>
      <c r="AD745" s="228"/>
      <c r="AE745" s="228"/>
      <c r="AF745" s="228"/>
      <c r="AG745" s="228"/>
      <c r="AH745" s="228"/>
      <c r="AI745" s="228"/>
      <c r="AJ745" s="228"/>
      <c r="AK745" s="228"/>
      <c r="AL745" s="228"/>
      <c r="AM745" s="228"/>
      <c r="AN745" s="228"/>
      <c r="AO745" s="228"/>
      <c r="AP745" s="228"/>
      <c r="AQ745" s="228"/>
      <c r="AR745" s="228"/>
      <c r="AS745" s="228"/>
      <c r="AT745" s="228"/>
      <c r="AU745" s="228"/>
      <c r="AV745" s="228"/>
      <c r="AW745" s="228"/>
      <c r="AX745" s="228"/>
      <c r="AY745" s="228"/>
      <c r="AZ745" s="228"/>
      <c r="BA745" s="228"/>
      <c r="BB745" s="228"/>
      <c r="BC745" s="228"/>
      <c r="BD745" s="228"/>
      <c r="BE745" s="228"/>
      <c r="BF745" s="228"/>
      <c r="BG745" s="228"/>
      <c r="BH745" s="228"/>
      <c r="BI745" s="228"/>
      <c r="BJ745" s="228"/>
      <c r="BK745" s="228"/>
      <c r="BL745" s="228"/>
      <c r="BM745" s="228"/>
      <c r="BN745" s="228"/>
      <c r="BO745" s="228"/>
      <c r="BP745" s="228"/>
      <c r="BQ745" s="228"/>
      <c r="BR745" s="228"/>
      <c r="BS745" s="228"/>
      <c r="BT745" s="228"/>
      <c r="BU745" s="228"/>
      <c r="BV745" s="228"/>
      <c r="BW745" s="228"/>
      <c r="BX745" s="228"/>
      <c r="BY745" s="228"/>
      <c r="BZ745" s="228"/>
      <c r="CA745" s="228"/>
      <c r="CB745" s="228"/>
      <c r="CC745" s="228"/>
      <c r="CD745" s="228"/>
      <c r="CE745" s="228"/>
      <c r="CF745" s="228"/>
      <c r="CG745" s="228"/>
      <c r="CH745" s="228"/>
      <c r="CI745" s="228"/>
      <c r="CJ745" s="228"/>
      <c r="CK745" s="228"/>
      <c r="CL745" s="228"/>
      <c r="CM745" s="228"/>
      <c r="CN745" s="228"/>
      <c r="CO745" s="228"/>
      <c r="CP745" s="228"/>
      <c r="CQ745" s="228"/>
      <c r="CR745" s="228"/>
      <c r="CS745" s="228"/>
      <c r="CT745" s="228"/>
      <c r="CU745" s="228"/>
      <c r="CV745" s="228"/>
      <c r="CW745" s="228"/>
      <c r="CX745" s="228"/>
      <c r="CY745" s="228"/>
      <c r="CZ745" s="228"/>
      <c r="DA745" s="228"/>
      <c r="DB745" s="228"/>
    </row>
    <row r="746" ht="12.0" customHeight="1">
      <c r="A746" s="228"/>
      <c r="B746" s="228"/>
      <c r="C746" s="228"/>
      <c r="D746" s="228"/>
      <c r="E746" s="228"/>
      <c r="F746" s="228"/>
      <c r="G746" s="228"/>
      <c r="H746" s="228"/>
      <c r="I746" s="228"/>
      <c r="J746" s="228"/>
      <c r="K746" s="228"/>
      <c r="L746" s="228"/>
      <c r="M746" s="228"/>
      <c r="N746" s="228"/>
      <c r="O746" s="228"/>
      <c r="P746" s="228"/>
      <c r="Q746" s="228"/>
      <c r="R746" s="228"/>
      <c r="S746" s="228"/>
      <c r="T746" s="228"/>
      <c r="U746" s="228"/>
      <c r="V746" s="228"/>
      <c r="W746" s="228"/>
      <c r="X746" s="228"/>
      <c r="Y746" s="228"/>
      <c r="Z746" s="228"/>
      <c r="AA746" s="228"/>
      <c r="AB746" s="228"/>
      <c r="AC746" s="228"/>
      <c r="AD746" s="228"/>
      <c r="AE746" s="228"/>
      <c r="AF746" s="228"/>
      <c r="AG746" s="228"/>
      <c r="AH746" s="228"/>
      <c r="AI746" s="228"/>
      <c r="AJ746" s="228"/>
      <c r="AK746" s="228"/>
      <c r="AL746" s="228"/>
      <c r="AM746" s="228"/>
      <c r="AN746" s="228"/>
      <c r="AO746" s="228"/>
      <c r="AP746" s="228"/>
      <c r="AQ746" s="228"/>
      <c r="AR746" s="228"/>
      <c r="AS746" s="228"/>
      <c r="AT746" s="228"/>
      <c r="AU746" s="228"/>
      <c r="AV746" s="228"/>
      <c r="AW746" s="228"/>
      <c r="AX746" s="228"/>
      <c r="AY746" s="228"/>
      <c r="AZ746" s="228"/>
      <c r="BA746" s="228"/>
      <c r="BB746" s="228"/>
      <c r="BC746" s="228"/>
      <c r="BD746" s="228"/>
      <c r="BE746" s="228"/>
      <c r="BF746" s="228"/>
      <c r="BG746" s="228"/>
      <c r="BH746" s="228"/>
      <c r="BI746" s="228"/>
      <c r="BJ746" s="228"/>
      <c r="BK746" s="228"/>
      <c r="BL746" s="228"/>
      <c r="BM746" s="228"/>
      <c r="BN746" s="228"/>
      <c r="BO746" s="228"/>
      <c r="BP746" s="228"/>
      <c r="BQ746" s="228"/>
      <c r="BR746" s="228"/>
      <c r="BS746" s="228"/>
      <c r="BT746" s="228"/>
      <c r="BU746" s="228"/>
      <c r="BV746" s="228"/>
      <c r="BW746" s="228"/>
      <c r="BX746" s="228"/>
      <c r="BY746" s="228"/>
      <c r="BZ746" s="228"/>
      <c r="CA746" s="228"/>
      <c r="CB746" s="228"/>
      <c r="CC746" s="228"/>
      <c r="CD746" s="228"/>
      <c r="CE746" s="228"/>
      <c r="CF746" s="228"/>
      <c r="CG746" s="228"/>
      <c r="CH746" s="228"/>
      <c r="CI746" s="228"/>
      <c r="CJ746" s="228"/>
      <c r="CK746" s="228"/>
      <c r="CL746" s="228"/>
      <c r="CM746" s="228"/>
      <c r="CN746" s="228"/>
      <c r="CO746" s="228"/>
      <c r="CP746" s="228"/>
      <c r="CQ746" s="228"/>
      <c r="CR746" s="228"/>
      <c r="CS746" s="228"/>
      <c r="CT746" s="228"/>
      <c r="CU746" s="228"/>
      <c r="CV746" s="228"/>
      <c r="CW746" s="228"/>
      <c r="CX746" s="228"/>
      <c r="CY746" s="228"/>
      <c r="CZ746" s="228"/>
      <c r="DA746" s="228"/>
      <c r="DB746" s="228"/>
    </row>
    <row r="747" ht="12.0" customHeight="1">
      <c r="A747" s="228"/>
      <c r="B747" s="228"/>
      <c r="C747" s="228"/>
      <c r="D747" s="228"/>
      <c r="E747" s="228"/>
      <c r="F747" s="228"/>
      <c r="G747" s="228"/>
      <c r="H747" s="228"/>
      <c r="I747" s="228"/>
      <c r="J747" s="228"/>
      <c r="K747" s="228"/>
      <c r="L747" s="228"/>
      <c r="M747" s="228"/>
      <c r="N747" s="228"/>
      <c r="O747" s="228"/>
      <c r="P747" s="228"/>
      <c r="Q747" s="228"/>
      <c r="R747" s="228"/>
      <c r="S747" s="228"/>
      <c r="T747" s="228"/>
      <c r="U747" s="228"/>
      <c r="V747" s="228"/>
      <c r="W747" s="228"/>
      <c r="X747" s="228"/>
      <c r="Y747" s="228"/>
      <c r="Z747" s="228"/>
      <c r="AA747" s="228"/>
      <c r="AB747" s="228"/>
      <c r="AC747" s="228"/>
      <c r="AD747" s="228"/>
      <c r="AE747" s="228"/>
      <c r="AF747" s="228"/>
      <c r="AG747" s="228"/>
      <c r="AH747" s="228"/>
      <c r="AI747" s="228"/>
      <c r="AJ747" s="228"/>
      <c r="AK747" s="228"/>
      <c r="AL747" s="228"/>
      <c r="AM747" s="228"/>
      <c r="AN747" s="228"/>
      <c r="AO747" s="228"/>
      <c r="AP747" s="228"/>
      <c r="AQ747" s="228"/>
      <c r="AR747" s="228"/>
      <c r="AS747" s="228"/>
      <c r="AT747" s="228"/>
      <c r="AU747" s="228"/>
      <c r="AV747" s="228"/>
      <c r="AW747" s="228"/>
      <c r="AX747" s="228"/>
      <c r="AY747" s="228"/>
      <c r="AZ747" s="228"/>
      <c r="BA747" s="228"/>
      <c r="BB747" s="228"/>
      <c r="BC747" s="228"/>
      <c r="BD747" s="228"/>
      <c r="BE747" s="228"/>
      <c r="BF747" s="228"/>
      <c r="BG747" s="228"/>
      <c r="BH747" s="228"/>
      <c r="BI747" s="228"/>
      <c r="BJ747" s="228"/>
      <c r="BK747" s="228"/>
      <c r="BL747" s="228"/>
      <c r="BM747" s="228"/>
      <c r="BN747" s="228"/>
      <c r="BO747" s="228"/>
      <c r="BP747" s="228"/>
      <c r="BQ747" s="228"/>
      <c r="BR747" s="228"/>
      <c r="BS747" s="228"/>
      <c r="BT747" s="228"/>
      <c r="BU747" s="228"/>
      <c r="BV747" s="228"/>
      <c r="BW747" s="228"/>
      <c r="BX747" s="228"/>
      <c r="BY747" s="228"/>
      <c r="BZ747" s="228"/>
      <c r="CA747" s="228"/>
      <c r="CB747" s="228"/>
      <c r="CC747" s="228"/>
      <c r="CD747" s="228"/>
      <c r="CE747" s="228"/>
      <c r="CF747" s="228"/>
      <c r="CG747" s="228"/>
      <c r="CH747" s="228"/>
      <c r="CI747" s="228"/>
      <c r="CJ747" s="228"/>
      <c r="CK747" s="228"/>
      <c r="CL747" s="228"/>
      <c r="CM747" s="228"/>
      <c r="CN747" s="228"/>
      <c r="CO747" s="228"/>
      <c r="CP747" s="228"/>
      <c r="CQ747" s="228"/>
      <c r="CR747" s="228"/>
      <c r="CS747" s="228"/>
      <c r="CT747" s="228"/>
      <c r="CU747" s="228"/>
      <c r="CV747" s="228"/>
      <c r="CW747" s="228"/>
      <c r="CX747" s="228"/>
      <c r="CY747" s="228"/>
      <c r="CZ747" s="228"/>
      <c r="DA747" s="228"/>
      <c r="DB747" s="228"/>
    </row>
    <row r="748" ht="12.0" customHeight="1">
      <c r="A748" s="228"/>
      <c r="B748" s="228"/>
      <c r="C748" s="228"/>
      <c r="D748" s="228"/>
      <c r="E748" s="228"/>
      <c r="F748" s="228"/>
      <c r="G748" s="228"/>
      <c r="H748" s="228"/>
      <c r="I748" s="228"/>
      <c r="J748" s="228"/>
      <c r="K748" s="228"/>
      <c r="L748" s="228"/>
      <c r="M748" s="228"/>
      <c r="N748" s="228"/>
      <c r="O748" s="228"/>
      <c r="P748" s="228"/>
      <c r="Q748" s="228"/>
      <c r="R748" s="228"/>
      <c r="S748" s="228"/>
      <c r="T748" s="228"/>
      <c r="U748" s="228"/>
      <c r="V748" s="228"/>
      <c r="W748" s="228"/>
      <c r="X748" s="228"/>
      <c r="Y748" s="228"/>
      <c r="Z748" s="228"/>
      <c r="AA748" s="228"/>
      <c r="AB748" s="228"/>
      <c r="AC748" s="228"/>
      <c r="AD748" s="228"/>
      <c r="AE748" s="228"/>
      <c r="AF748" s="228"/>
      <c r="AG748" s="228"/>
      <c r="AH748" s="228"/>
      <c r="AI748" s="228"/>
      <c r="AJ748" s="228"/>
      <c r="AK748" s="228"/>
      <c r="AL748" s="228"/>
      <c r="AM748" s="228"/>
      <c r="AN748" s="228"/>
      <c r="AO748" s="228"/>
      <c r="AP748" s="228"/>
      <c r="AQ748" s="228"/>
      <c r="AR748" s="228"/>
      <c r="AS748" s="228"/>
      <c r="AT748" s="228"/>
      <c r="AU748" s="228"/>
      <c r="AV748" s="228"/>
      <c r="AW748" s="228"/>
      <c r="AX748" s="228"/>
      <c r="AY748" s="228"/>
      <c r="AZ748" s="228"/>
      <c r="BA748" s="228"/>
      <c r="BB748" s="228"/>
      <c r="BC748" s="228"/>
      <c r="BD748" s="228"/>
      <c r="BE748" s="228"/>
      <c r="BF748" s="228"/>
      <c r="BG748" s="228"/>
      <c r="BH748" s="228"/>
      <c r="BI748" s="228"/>
      <c r="BJ748" s="228"/>
      <c r="BK748" s="228"/>
      <c r="BL748" s="228"/>
      <c r="BM748" s="228"/>
      <c r="BN748" s="228"/>
      <c r="BO748" s="228"/>
      <c r="BP748" s="228"/>
      <c r="BQ748" s="228"/>
      <c r="BR748" s="228"/>
      <c r="BS748" s="228"/>
      <c r="BT748" s="228"/>
      <c r="BU748" s="228"/>
      <c r="BV748" s="228"/>
      <c r="BW748" s="228"/>
      <c r="BX748" s="228"/>
      <c r="BY748" s="228"/>
      <c r="BZ748" s="228"/>
      <c r="CA748" s="228"/>
      <c r="CB748" s="228"/>
      <c r="CC748" s="228"/>
      <c r="CD748" s="228"/>
      <c r="CE748" s="228"/>
      <c r="CF748" s="228"/>
      <c r="CG748" s="228"/>
      <c r="CH748" s="228"/>
      <c r="CI748" s="228"/>
      <c r="CJ748" s="228"/>
      <c r="CK748" s="228"/>
      <c r="CL748" s="228"/>
      <c r="CM748" s="228"/>
      <c r="CN748" s="228"/>
      <c r="CO748" s="228"/>
      <c r="CP748" s="228"/>
      <c r="CQ748" s="228"/>
      <c r="CR748" s="228"/>
      <c r="CS748" s="228"/>
      <c r="CT748" s="228"/>
      <c r="CU748" s="228"/>
      <c r="CV748" s="228"/>
      <c r="CW748" s="228"/>
      <c r="CX748" s="228"/>
      <c r="CY748" s="228"/>
      <c r="CZ748" s="228"/>
      <c r="DA748" s="228"/>
      <c r="DB748" s="228"/>
    </row>
    <row r="749" ht="12.0" customHeight="1">
      <c r="A749" s="228"/>
      <c r="B749" s="228"/>
      <c r="C749" s="228"/>
      <c r="D749" s="228"/>
      <c r="E749" s="228"/>
      <c r="F749" s="228"/>
      <c r="G749" s="228"/>
      <c r="H749" s="228"/>
      <c r="I749" s="228"/>
      <c r="J749" s="228"/>
      <c r="K749" s="228"/>
      <c r="L749" s="228"/>
      <c r="M749" s="228"/>
      <c r="N749" s="228"/>
      <c r="O749" s="228"/>
      <c r="P749" s="228"/>
      <c r="Q749" s="228"/>
      <c r="R749" s="228"/>
      <c r="S749" s="228"/>
      <c r="T749" s="228"/>
      <c r="U749" s="228"/>
      <c r="V749" s="228"/>
      <c r="W749" s="228"/>
      <c r="X749" s="228"/>
      <c r="Y749" s="228"/>
      <c r="Z749" s="228"/>
      <c r="AA749" s="228"/>
      <c r="AB749" s="228"/>
      <c r="AC749" s="228"/>
      <c r="AD749" s="228"/>
      <c r="AE749" s="228"/>
      <c r="AF749" s="228"/>
      <c r="AG749" s="228"/>
      <c r="AH749" s="228"/>
      <c r="AI749" s="228"/>
      <c r="AJ749" s="228"/>
      <c r="AK749" s="228"/>
      <c r="AL749" s="228"/>
      <c r="AM749" s="228"/>
      <c r="AN749" s="228"/>
      <c r="AO749" s="228"/>
      <c r="AP749" s="228"/>
      <c r="AQ749" s="228"/>
      <c r="AR749" s="228"/>
      <c r="AS749" s="228"/>
      <c r="AT749" s="228"/>
      <c r="AU749" s="228"/>
      <c r="AV749" s="228"/>
      <c r="AW749" s="228"/>
      <c r="AX749" s="228"/>
      <c r="AY749" s="228"/>
      <c r="AZ749" s="228"/>
      <c r="BA749" s="228"/>
      <c r="BB749" s="228"/>
      <c r="BC749" s="228"/>
      <c r="BD749" s="228"/>
      <c r="BE749" s="228"/>
      <c r="BF749" s="228"/>
      <c r="BG749" s="228"/>
      <c r="BH749" s="228"/>
      <c r="BI749" s="228"/>
      <c r="BJ749" s="228"/>
      <c r="BK749" s="228"/>
      <c r="BL749" s="228"/>
      <c r="BM749" s="228"/>
      <c r="BN749" s="228"/>
      <c r="BO749" s="228"/>
      <c r="BP749" s="228"/>
      <c r="BQ749" s="228"/>
      <c r="BR749" s="228"/>
      <c r="BS749" s="228"/>
      <c r="BT749" s="228"/>
      <c r="BU749" s="228"/>
      <c r="BV749" s="228"/>
      <c r="BW749" s="228"/>
      <c r="BX749" s="228"/>
      <c r="BY749" s="228"/>
      <c r="BZ749" s="228"/>
      <c r="CA749" s="228"/>
      <c r="CB749" s="228"/>
      <c r="CC749" s="228"/>
      <c r="CD749" s="228"/>
      <c r="CE749" s="228"/>
      <c r="CF749" s="228"/>
      <c r="CG749" s="228"/>
      <c r="CH749" s="228"/>
      <c r="CI749" s="228"/>
      <c r="CJ749" s="228"/>
      <c r="CK749" s="228"/>
      <c r="CL749" s="228"/>
      <c r="CM749" s="228"/>
      <c r="CN749" s="228"/>
      <c r="CO749" s="228"/>
      <c r="CP749" s="228"/>
      <c r="CQ749" s="228"/>
      <c r="CR749" s="228"/>
      <c r="CS749" s="228"/>
      <c r="CT749" s="228"/>
      <c r="CU749" s="228"/>
      <c r="CV749" s="228"/>
      <c r="CW749" s="228"/>
      <c r="CX749" s="228"/>
      <c r="CY749" s="228"/>
      <c r="CZ749" s="228"/>
      <c r="DA749" s="228"/>
      <c r="DB749" s="228"/>
    </row>
    <row r="750" ht="12.0" customHeight="1">
      <c r="A750" s="228"/>
      <c r="B750" s="228"/>
      <c r="C750" s="228"/>
      <c r="D750" s="228"/>
      <c r="E750" s="228"/>
      <c r="F750" s="228"/>
      <c r="G750" s="228"/>
      <c r="H750" s="228"/>
      <c r="I750" s="228"/>
      <c r="J750" s="228"/>
      <c r="K750" s="228"/>
      <c r="L750" s="228"/>
      <c r="M750" s="228"/>
      <c r="N750" s="228"/>
      <c r="O750" s="228"/>
      <c r="P750" s="228"/>
      <c r="Q750" s="228"/>
      <c r="R750" s="228"/>
      <c r="S750" s="228"/>
      <c r="T750" s="228"/>
      <c r="U750" s="228"/>
      <c r="V750" s="228"/>
      <c r="W750" s="228"/>
      <c r="X750" s="228"/>
      <c r="Y750" s="228"/>
      <c r="Z750" s="228"/>
      <c r="AA750" s="228"/>
      <c r="AB750" s="228"/>
      <c r="AC750" s="228"/>
      <c r="AD750" s="228"/>
      <c r="AE750" s="228"/>
      <c r="AF750" s="228"/>
      <c r="AG750" s="228"/>
      <c r="AH750" s="228"/>
      <c r="AI750" s="228"/>
      <c r="AJ750" s="228"/>
      <c r="AK750" s="228"/>
      <c r="AL750" s="228"/>
      <c r="AM750" s="228"/>
      <c r="AN750" s="228"/>
      <c r="AO750" s="228"/>
      <c r="AP750" s="228"/>
      <c r="AQ750" s="228"/>
      <c r="AR750" s="228"/>
      <c r="AS750" s="228"/>
      <c r="AT750" s="228"/>
      <c r="AU750" s="228"/>
      <c r="AV750" s="228"/>
      <c r="AW750" s="228"/>
      <c r="AX750" s="228"/>
      <c r="AY750" s="228"/>
      <c r="AZ750" s="228"/>
      <c r="BA750" s="228"/>
      <c r="BB750" s="228"/>
      <c r="BC750" s="228"/>
      <c r="BD750" s="228"/>
      <c r="BE750" s="228"/>
      <c r="BF750" s="228"/>
      <c r="BG750" s="228"/>
      <c r="BH750" s="228"/>
      <c r="BI750" s="228"/>
      <c r="BJ750" s="228"/>
      <c r="BK750" s="228"/>
      <c r="BL750" s="228"/>
      <c r="BM750" s="228"/>
      <c r="BN750" s="228"/>
      <c r="BO750" s="228"/>
      <c r="BP750" s="228"/>
      <c r="BQ750" s="228"/>
      <c r="BR750" s="228"/>
      <c r="BS750" s="228"/>
      <c r="BT750" s="228"/>
      <c r="BU750" s="228"/>
      <c r="BV750" s="228"/>
      <c r="BW750" s="228"/>
      <c r="BX750" s="228"/>
      <c r="BY750" s="228"/>
      <c r="BZ750" s="228"/>
      <c r="CA750" s="228"/>
      <c r="CB750" s="228"/>
      <c r="CC750" s="228"/>
      <c r="CD750" s="228"/>
      <c r="CE750" s="228"/>
      <c r="CF750" s="228"/>
      <c r="CG750" s="228"/>
      <c r="CH750" s="228"/>
      <c r="CI750" s="228"/>
      <c r="CJ750" s="228"/>
      <c r="CK750" s="228"/>
      <c r="CL750" s="228"/>
      <c r="CM750" s="228"/>
      <c r="CN750" s="228"/>
      <c r="CO750" s="228"/>
      <c r="CP750" s="228"/>
      <c r="CQ750" s="228"/>
      <c r="CR750" s="228"/>
      <c r="CS750" s="228"/>
      <c r="CT750" s="228"/>
      <c r="CU750" s="228"/>
      <c r="CV750" s="228"/>
      <c r="CW750" s="228"/>
      <c r="CX750" s="228"/>
      <c r="CY750" s="228"/>
      <c r="CZ750" s="228"/>
      <c r="DA750" s="228"/>
      <c r="DB750" s="228"/>
    </row>
    <row r="751" ht="12.0" customHeight="1">
      <c r="A751" s="228"/>
      <c r="B751" s="228"/>
      <c r="C751" s="228"/>
      <c r="D751" s="228"/>
      <c r="E751" s="228"/>
      <c r="F751" s="228"/>
      <c r="G751" s="228"/>
      <c r="H751" s="228"/>
      <c r="I751" s="228"/>
      <c r="J751" s="228"/>
      <c r="K751" s="228"/>
      <c r="L751" s="228"/>
      <c r="M751" s="228"/>
      <c r="N751" s="228"/>
      <c r="O751" s="228"/>
      <c r="P751" s="228"/>
      <c r="Q751" s="228"/>
      <c r="R751" s="228"/>
      <c r="S751" s="228"/>
      <c r="T751" s="228"/>
      <c r="U751" s="228"/>
      <c r="V751" s="228"/>
      <c r="W751" s="228"/>
      <c r="X751" s="228"/>
      <c r="Y751" s="228"/>
      <c r="Z751" s="228"/>
      <c r="AA751" s="228"/>
      <c r="AB751" s="228"/>
      <c r="AC751" s="228"/>
      <c r="AD751" s="228"/>
      <c r="AE751" s="228"/>
      <c r="AF751" s="228"/>
      <c r="AG751" s="228"/>
      <c r="AH751" s="228"/>
      <c r="AI751" s="228"/>
      <c r="AJ751" s="228"/>
      <c r="AK751" s="228"/>
      <c r="AL751" s="228"/>
      <c r="AM751" s="228"/>
      <c r="AN751" s="228"/>
      <c r="AO751" s="228"/>
      <c r="AP751" s="228"/>
      <c r="AQ751" s="228"/>
      <c r="AR751" s="228"/>
      <c r="AS751" s="228"/>
      <c r="AT751" s="228"/>
      <c r="AU751" s="228"/>
      <c r="AV751" s="228"/>
      <c r="AW751" s="228"/>
      <c r="AX751" s="228"/>
      <c r="AY751" s="228"/>
      <c r="AZ751" s="228"/>
      <c r="BA751" s="228"/>
      <c r="BB751" s="228"/>
      <c r="BC751" s="228"/>
      <c r="BD751" s="228"/>
      <c r="BE751" s="228"/>
      <c r="BF751" s="228"/>
      <c r="BG751" s="228"/>
      <c r="BH751" s="228"/>
      <c r="BI751" s="228"/>
      <c r="BJ751" s="228"/>
      <c r="BK751" s="228"/>
      <c r="BL751" s="228"/>
      <c r="BM751" s="228"/>
      <c r="BN751" s="228"/>
      <c r="BO751" s="228"/>
      <c r="BP751" s="228"/>
      <c r="BQ751" s="228"/>
      <c r="BR751" s="228"/>
      <c r="BS751" s="228"/>
      <c r="BT751" s="228"/>
      <c r="BU751" s="228"/>
      <c r="BV751" s="228"/>
      <c r="BW751" s="228"/>
      <c r="BX751" s="228"/>
      <c r="BY751" s="228"/>
      <c r="BZ751" s="228"/>
      <c r="CA751" s="228"/>
      <c r="CB751" s="228"/>
      <c r="CC751" s="228"/>
      <c r="CD751" s="228"/>
      <c r="CE751" s="228"/>
      <c r="CF751" s="228"/>
      <c r="CG751" s="228"/>
      <c r="CH751" s="228"/>
      <c r="CI751" s="228"/>
      <c r="CJ751" s="228"/>
      <c r="CK751" s="228"/>
      <c r="CL751" s="228"/>
      <c r="CM751" s="228"/>
      <c r="CN751" s="228"/>
      <c r="CO751" s="228"/>
      <c r="CP751" s="228"/>
      <c r="CQ751" s="228"/>
      <c r="CR751" s="228"/>
      <c r="CS751" s="228"/>
      <c r="CT751" s="228"/>
      <c r="CU751" s="228"/>
      <c r="CV751" s="228"/>
      <c r="CW751" s="228"/>
      <c r="CX751" s="228"/>
      <c r="CY751" s="228"/>
      <c r="CZ751" s="228"/>
      <c r="DA751" s="228"/>
      <c r="DB751" s="228"/>
    </row>
    <row r="752" ht="12.0" customHeight="1">
      <c r="A752" s="228"/>
      <c r="B752" s="228"/>
      <c r="C752" s="228"/>
      <c r="D752" s="228"/>
      <c r="E752" s="228"/>
      <c r="F752" s="228"/>
      <c r="G752" s="228"/>
      <c r="H752" s="228"/>
      <c r="I752" s="228"/>
      <c r="J752" s="228"/>
      <c r="K752" s="228"/>
      <c r="L752" s="228"/>
      <c r="M752" s="228"/>
      <c r="N752" s="228"/>
      <c r="O752" s="228"/>
      <c r="P752" s="228"/>
      <c r="Q752" s="228"/>
      <c r="R752" s="228"/>
      <c r="S752" s="228"/>
      <c r="T752" s="228"/>
      <c r="U752" s="228"/>
      <c r="V752" s="228"/>
      <c r="W752" s="228"/>
      <c r="X752" s="228"/>
      <c r="Y752" s="228"/>
      <c r="Z752" s="228"/>
      <c r="AA752" s="228"/>
      <c r="AB752" s="228"/>
      <c r="AC752" s="228"/>
      <c r="AD752" s="228"/>
      <c r="AE752" s="228"/>
      <c r="AF752" s="228"/>
      <c r="AG752" s="228"/>
      <c r="AH752" s="228"/>
      <c r="AI752" s="228"/>
      <c r="AJ752" s="228"/>
      <c r="AK752" s="228"/>
      <c r="AL752" s="228"/>
      <c r="AM752" s="228"/>
      <c r="AN752" s="228"/>
      <c r="AO752" s="228"/>
      <c r="AP752" s="228"/>
      <c r="AQ752" s="228"/>
      <c r="AR752" s="228"/>
      <c r="AS752" s="228"/>
      <c r="AT752" s="228"/>
      <c r="AU752" s="228"/>
      <c r="AV752" s="228"/>
      <c r="AW752" s="228"/>
      <c r="AX752" s="228"/>
      <c r="AY752" s="228"/>
      <c r="AZ752" s="228"/>
      <c r="BA752" s="228"/>
      <c r="BB752" s="228"/>
      <c r="BC752" s="228"/>
      <c r="BD752" s="228"/>
      <c r="BE752" s="228"/>
      <c r="BF752" s="228"/>
      <c r="BG752" s="228"/>
      <c r="BH752" s="228"/>
      <c r="BI752" s="228"/>
      <c r="BJ752" s="228"/>
      <c r="BK752" s="228"/>
      <c r="BL752" s="228"/>
      <c r="BM752" s="228"/>
      <c r="BN752" s="228"/>
      <c r="BO752" s="228"/>
      <c r="BP752" s="228"/>
      <c r="BQ752" s="228"/>
      <c r="BR752" s="228"/>
      <c r="BS752" s="228"/>
      <c r="BT752" s="228"/>
      <c r="BU752" s="228"/>
      <c r="BV752" s="228"/>
      <c r="BW752" s="228"/>
      <c r="BX752" s="228"/>
      <c r="BY752" s="228"/>
      <c r="BZ752" s="228"/>
      <c r="CA752" s="228"/>
      <c r="CB752" s="228"/>
      <c r="CC752" s="228"/>
      <c r="CD752" s="228"/>
      <c r="CE752" s="228"/>
      <c r="CF752" s="228"/>
      <c r="CG752" s="228"/>
      <c r="CH752" s="228"/>
      <c r="CI752" s="228"/>
      <c r="CJ752" s="228"/>
      <c r="CK752" s="228"/>
      <c r="CL752" s="228"/>
      <c r="CM752" s="228"/>
      <c r="CN752" s="228"/>
      <c r="CO752" s="228"/>
      <c r="CP752" s="228"/>
      <c r="CQ752" s="228"/>
      <c r="CR752" s="228"/>
      <c r="CS752" s="228"/>
      <c r="CT752" s="228"/>
      <c r="CU752" s="228"/>
      <c r="CV752" s="228"/>
      <c r="CW752" s="228"/>
      <c r="CX752" s="228"/>
      <c r="CY752" s="228"/>
      <c r="CZ752" s="228"/>
      <c r="DA752" s="228"/>
      <c r="DB752" s="228"/>
    </row>
    <row r="753" ht="12.0" customHeight="1">
      <c r="A753" s="228"/>
      <c r="B753" s="228"/>
      <c r="C753" s="228"/>
      <c r="D753" s="228"/>
      <c r="E753" s="228"/>
      <c r="F753" s="228"/>
      <c r="G753" s="228"/>
      <c r="H753" s="228"/>
      <c r="I753" s="228"/>
      <c r="J753" s="228"/>
      <c r="K753" s="228"/>
      <c r="L753" s="228"/>
      <c r="M753" s="228"/>
      <c r="N753" s="228"/>
      <c r="O753" s="228"/>
      <c r="P753" s="228"/>
      <c r="Q753" s="228"/>
      <c r="R753" s="228"/>
      <c r="S753" s="228"/>
      <c r="T753" s="228"/>
      <c r="U753" s="228"/>
      <c r="V753" s="228"/>
      <c r="W753" s="228"/>
      <c r="X753" s="228"/>
      <c r="Y753" s="228"/>
      <c r="Z753" s="228"/>
      <c r="AA753" s="228"/>
      <c r="AB753" s="228"/>
      <c r="AC753" s="228"/>
      <c r="AD753" s="228"/>
      <c r="AE753" s="228"/>
      <c r="AF753" s="228"/>
      <c r="AG753" s="228"/>
      <c r="AH753" s="228"/>
      <c r="AI753" s="228"/>
      <c r="AJ753" s="228"/>
      <c r="AK753" s="228"/>
      <c r="AL753" s="228"/>
      <c r="AM753" s="228"/>
      <c r="AN753" s="228"/>
      <c r="AO753" s="228"/>
      <c r="AP753" s="228"/>
      <c r="AQ753" s="228"/>
      <c r="AR753" s="228"/>
      <c r="AS753" s="228"/>
      <c r="AT753" s="228"/>
      <c r="AU753" s="228"/>
      <c r="AV753" s="228"/>
      <c r="AW753" s="228"/>
      <c r="AX753" s="228"/>
      <c r="AY753" s="228"/>
      <c r="AZ753" s="228"/>
      <c r="BA753" s="228"/>
      <c r="BB753" s="228"/>
      <c r="BC753" s="228"/>
      <c r="BD753" s="228"/>
      <c r="BE753" s="228"/>
      <c r="BF753" s="228"/>
      <c r="BG753" s="228"/>
      <c r="BH753" s="228"/>
      <c r="BI753" s="228"/>
      <c r="BJ753" s="228"/>
      <c r="BK753" s="228"/>
      <c r="BL753" s="228"/>
      <c r="BM753" s="228"/>
      <c r="BN753" s="228"/>
      <c r="BO753" s="228"/>
      <c r="BP753" s="228"/>
      <c r="BQ753" s="228"/>
      <c r="BR753" s="228"/>
      <c r="BS753" s="228"/>
      <c r="BT753" s="228"/>
      <c r="BU753" s="228"/>
      <c r="BV753" s="228"/>
      <c r="BW753" s="228"/>
      <c r="BX753" s="228"/>
      <c r="BY753" s="228"/>
      <c r="BZ753" s="228"/>
      <c r="CA753" s="228"/>
      <c r="CB753" s="228"/>
      <c r="CC753" s="228"/>
      <c r="CD753" s="228"/>
      <c r="CE753" s="228"/>
      <c r="CF753" s="228"/>
      <c r="CG753" s="228"/>
      <c r="CH753" s="228"/>
      <c r="CI753" s="228"/>
      <c r="CJ753" s="228"/>
      <c r="CK753" s="228"/>
      <c r="CL753" s="228"/>
      <c r="CM753" s="228"/>
      <c r="CN753" s="228"/>
      <c r="CO753" s="228"/>
      <c r="CP753" s="228"/>
      <c r="CQ753" s="228"/>
      <c r="CR753" s="228"/>
      <c r="CS753" s="228"/>
      <c r="CT753" s="228"/>
      <c r="CU753" s="228"/>
      <c r="CV753" s="228"/>
      <c r="CW753" s="228"/>
      <c r="CX753" s="228"/>
      <c r="CY753" s="228"/>
      <c r="CZ753" s="228"/>
      <c r="DA753" s="228"/>
      <c r="DB753" s="228"/>
    </row>
    <row r="754" ht="12.0" customHeight="1">
      <c r="A754" s="228"/>
      <c r="B754" s="228"/>
      <c r="C754" s="228"/>
      <c r="D754" s="228"/>
      <c r="E754" s="228"/>
      <c r="F754" s="228"/>
      <c r="G754" s="228"/>
      <c r="H754" s="228"/>
      <c r="I754" s="228"/>
      <c r="J754" s="228"/>
      <c r="K754" s="228"/>
      <c r="L754" s="228"/>
      <c r="M754" s="228"/>
      <c r="N754" s="228"/>
      <c r="O754" s="228"/>
      <c r="P754" s="228"/>
      <c r="Q754" s="228"/>
      <c r="R754" s="228"/>
      <c r="S754" s="228"/>
      <c r="T754" s="228"/>
      <c r="U754" s="228"/>
      <c r="V754" s="228"/>
      <c r="W754" s="228"/>
      <c r="X754" s="228"/>
      <c r="Y754" s="228"/>
      <c r="Z754" s="228"/>
      <c r="AA754" s="228"/>
      <c r="AB754" s="228"/>
      <c r="AC754" s="228"/>
      <c r="AD754" s="228"/>
      <c r="AE754" s="228"/>
      <c r="AF754" s="228"/>
      <c r="AG754" s="228"/>
      <c r="AH754" s="228"/>
      <c r="AI754" s="228"/>
      <c r="AJ754" s="228"/>
      <c r="AK754" s="228"/>
      <c r="AL754" s="228"/>
      <c r="AM754" s="228"/>
      <c r="AN754" s="228"/>
      <c r="AO754" s="228"/>
      <c r="AP754" s="228"/>
      <c r="AQ754" s="228"/>
      <c r="AR754" s="228"/>
      <c r="AS754" s="228"/>
      <c r="AT754" s="228"/>
      <c r="AU754" s="228"/>
      <c r="AV754" s="228"/>
      <c r="AW754" s="228"/>
      <c r="AX754" s="228"/>
      <c r="AY754" s="228"/>
      <c r="AZ754" s="228"/>
      <c r="BA754" s="228"/>
      <c r="BB754" s="228"/>
      <c r="BC754" s="228"/>
      <c r="BD754" s="228"/>
      <c r="BE754" s="228"/>
      <c r="BF754" s="228"/>
      <c r="BG754" s="228"/>
      <c r="BH754" s="228"/>
      <c r="BI754" s="228"/>
      <c r="BJ754" s="228"/>
      <c r="BK754" s="228"/>
      <c r="BL754" s="228"/>
      <c r="BM754" s="228"/>
      <c r="BN754" s="228"/>
      <c r="BO754" s="228"/>
      <c r="BP754" s="228"/>
      <c r="BQ754" s="228"/>
      <c r="BR754" s="228"/>
      <c r="BS754" s="228"/>
      <c r="BT754" s="228"/>
      <c r="BU754" s="228"/>
      <c r="BV754" s="228"/>
      <c r="BW754" s="228"/>
      <c r="BX754" s="228"/>
      <c r="BY754" s="228"/>
      <c r="BZ754" s="228"/>
      <c r="CA754" s="228"/>
      <c r="CB754" s="228"/>
      <c r="CC754" s="228"/>
      <c r="CD754" s="228"/>
      <c r="CE754" s="228"/>
      <c r="CF754" s="228"/>
      <c r="CG754" s="228"/>
      <c r="CH754" s="228"/>
      <c r="CI754" s="228"/>
      <c r="CJ754" s="228"/>
      <c r="CK754" s="228"/>
      <c r="CL754" s="228"/>
      <c r="CM754" s="228"/>
      <c r="CN754" s="228"/>
      <c r="CO754" s="228"/>
      <c r="CP754" s="228"/>
      <c r="CQ754" s="228"/>
      <c r="CR754" s="228"/>
      <c r="CS754" s="228"/>
      <c r="CT754" s="228"/>
      <c r="CU754" s="228"/>
      <c r="CV754" s="228"/>
      <c r="CW754" s="228"/>
      <c r="CX754" s="228"/>
      <c r="CY754" s="228"/>
      <c r="CZ754" s="228"/>
      <c r="DA754" s="228"/>
      <c r="DB754" s="228"/>
    </row>
    <row r="755" ht="12.0" customHeight="1">
      <c r="A755" s="228"/>
      <c r="B755" s="228"/>
      <c r="C755" s="228"/>
      <c r="D755" s="228"/>
      <c r="E755" s="228"/>
      <c r="F755" s="228"/>
      <c r="G755" s="228"/>
      <c r="H755" s="228"/>
      <c r="I755" s="228"/>
      <c r="J755" s="228"/>
      <c r="K755" s="228"/>
      <c r="L755" s="228"/>
      <c r="M755" s="228"/>
      <c r="N755" s="228"/>
      <c r="O755" s="228"/>
      <c r="P755" s="228"/>
      <c r="Q755" s="228"/>
      <c r="R755" s="228"/>
      <c r="S755" s="228"/>
      <c r="T755" s="228"/>
      <c r="U755" s="228"/>
      <c r="V755" s="228"/>
      <c r="W755" s="228"/>
      <c r="X755" s="228"/>
      <c r="Y755" s="228"/>
      <c r="Z755" s="228"/>
      <c r="AA755" s="228"/>
      <c r="AB755" s="228"/>
      <c r="AC755" s="228"/>
      <c r="AD755" s="228"/>
      <c r="AE755" s="228"/>
      <c r="AF755" s="228"/>
      <c r="AG755" s="228"/>
      <c r="AH755" s="228"/>
      <c r="AI755" s="228"/>
      <c r="AJ755" s="228"/>
      <c r="AK755" s="228"/>
      <c r="AL755" s="228"/>
      <c r="AM755" s="228"/>
      <c r="AN755" s="228"/>
      <c r="AO755" s="228"/>
      <c r="AP755" s="228"/>
      <c r="AQ755" s="228"/>
      <c r="AR755" s="228"/>
      <c r="AS755" s="228"/>
      <c r="AT755" s="228"/>
      <c r="AU755" s="228"/>
      <c r="AV755" s="228"/>
      <c r="AW755" s="228"/>
      <c r="AX755" s="228"/>
      <c r="AY755" s="228"/>
      <c r="AZ755" s="228"/>
      <c r="BA755" s="228"/>
      <c r="BB755" s="228"/>
      <c r="BC755" s="228"/>
      <c r="BD755" s="228"/>
      <c r="BE755" s="228"/>
      <c r="BF755" s="228"/>
      <c r="BG755" s="228"/>
      <c r="BH755" s="228"/>
      <c r="BI755" s="228"/>
      <c r="BJ755" s="228"/>
      <c r="BK755" s="228"/>
      <c r="BL755" s="228"/>
      <c r="BM755" s="228"/>
      <c r="BN755" s="228"/>
      <c r="BO755" s="228"/>
      <c r="BP755" s="228"/>
      <c r="BQ755" s="228"/>
      <c r="BR755" s="228"/>
      <c r="BS755" s="228"/>
      <c r="BT755" s="228"/>
      <c r="BU755" s="228"/>
      <c r="BV755" s="228"/>
      <c r="BW755" s="228"/>
      <c r="BX755" s="228"/>
      <c r="BY755" s="228"/>
      <c r="BZ755" s="228"/>
      <c r="CA755" s="228"/>
      <c r="CB755" s="228"/>
      <c r="CC755" s="228"/>
      <c r="CD755" s="228"/>
      <c r="CE755" s="228"/>
      <c r="CF755" s="228"/>
      <c r="CG755" s="228"/>
      <c r="CH755" s="228"/>
      <c r="CI755" s="228"/>
      <c r="CJ755" s="228"/>
      <c r="CK755" s="228"/>
      <c r="CL755" s="228"/>
      <c r="CM755" s="228"/>
      <c r="CN755" s="228"/>
      <c r="CO755" s="228"/>
      <c r="CP755" s="228"/>
      <c r="CQ755" s="228"/>
      <c r="CR755" s="228"/>
      <c r="CS755" s="228"/>
      <c r="CT755" s="228"/>
      <c r="CU755" s="228"/>
      <c r="CV755" s="228"/>
      <c r="CW755" s="228"/>
      <c r="CX755" s="228"/>
      <c r="CY755" s="228"/>
      <c r="CZ755" s="228"/>
      <c r="DA755" s="228"/>
      <c r="DB755" s="228"/>
    </row>
    <row r="756" ht="12.0" customHeight="1">
      <c r="A756" s="228"/>
      <c r="B756" s="228"/>
      <c r="C756" s="228"/>
      <c r="D756" s="228"/>
      <c r="E756" s="228"/>
      <c r="F756" s="228"/>
      <c r="G756" s="228"/>
      <c r="H756" s="228"/>
      <c r="I756" s="228"/>
      <c r="J756" s="228"/>
      <c r="K756" s="228"/>
      <c r="L756" s="228"/>
      <c r="M756" s="228"/>
      <c r="N756" s="228"/>
      <c r="O756" s="228"/>
      <c r="P756" s="228"/>
      <c r="Q756" s="228"/>
      <c r="R756" s="228"/>
      <c r="S756" s="228"/>
      <c r="T756" s="228"/>
      <c r="U756" s="228"/>
      <c r="V756" s="228"/>
      <c r="W756" s="228"/>
      <c r="X756" s="228"/>
      <c r="Y756" s="228"/>
      <c r="Z756" s="228"/>
      <c r="AA756" s="228"/>
      <c r="AB756" s="228"/>
      <c r="AC756" s="228"/>
      <c r="AD756" s="228"/>
      <c r="AE756" s="228"/>
      <c r="AF756" s="228"/>
      <c r="AG756" s="228"/>
      <c r="AH756" s="228"/>
      <c r="AI756" s="228"/>
      <c r="AJ756" s="228"/>
      <c r="AK756" s="228"/>
      <c r="AL756" s="228"/>
      <c r="AM756" s="228"/>
      <c r="AN756" s="228"/>
      <c r="AO756" s="228"/>
      <c r="AP756" s="228"/>
      <c r="AQ756" s="228"/>
      <c r="AR756" s="228"/>
      <c r="AS756" s="228"/>
      <c r="AT756" s="228"/>
      <c r="AU756" s="228"/>
      <c r="AV756" s="228"/>
      <c r="AW756" s="228"/>
      <c r="AX756" s="228"/>
      <c r="AY756" s="228"/>
      <c r="AZ756" s="228"/>
      <c r="BA756" s="228"/>
      <c r="BB756" s="228"/>
      <c r="BC756" s="228"/>
      <c r="BD756" s="228"/>
      <c r="BE756" s="228"/>
      <c r="BF756" s="228"/>
      <c r="BG756" s="228"/>
      <c r="BH756" s="228"/>
      <c r="BI756" s="228"/>
      <c r="BJ756" s="228"/>
      <c r="BK756" s="228"/>
      <c r="BL756" s="228"/>
      <c r="BM756" s="228"/>
      <c r="BN756" s="228"/>
      <c r="BO756" s="228"/>
      <c r="BP756" s="228"/>
      <c r="BQ756" s="228"/>
      <c r="BR756" s="228"/>
      <c r="BS756" s="228"/>
      <c r="BT756" s="228"/>
      <c r="BU756" s="228"/>
      <c r="BV756" s="228"/>
      <c r="BW756" s="228"/>
      <c r="BX756" s="228"/>
      <c r="BY756" s="228"/>
      <c r="BZ756" s="228"/>
      <c r="CA756" s="228"/>
      <c r="CB756" s="228"/>
      <c r="CC756" s="228"/>
      <c r="CD756" s="228"/>
      <c r="CE756" s="228"/>
      <c r="CF756" s="228"/>
      <c r="CG756" s="228"/>
      <c r="CH756" s="228"/>
      <c r="CI756" s="228"/>
      <c r="CJ756" s="228"/>
      <c r="CK756" s="228"/>
      <c r="CL756" s="228"/>
      <c r="CM756" s="228"/>
      <c r="CN756" s="228"/>
      <c r="CO756" s="228"/>
      <c r="CP756" s="228"/>
      <c r="CQ756" s="228"/>
      <c r="CR756" s="228"/>
      <c r="CS756" s="228"/>
      <c r="CT756" s="228"/>
      <c r="CU756" s="228"/>
      <c r="CV756" s="228"/>
      <c r="CW756" s="228"/>
      <c r="CX756" s="228"/>
      <c r="CY756" s="228"/>
      <c r="CZ756" s="228"/>
      <c r="DA756" s="228"/>
      <c r="DB756" s="228"/>
    </row>
    <row r="757" ht="12.0" customHeight="1">
      <c r="A757" s="228"/>
      <c r="B757" s="228"/>
      <c r="C757" s="228"/>
      <c r="D757" s="228"/>
      <c r="E757" s="228"/>
      <c r="F757" s="228"/>
      <c r="G757" s="228"/>
      <c r="H757" s="228"/>
      <c r="I757" s="228"/>
      <c r="J757" s="228"/>
      <c r="K757" s="228"/>
      <c r="L757" s="228"/>
      <c r="M757" s="228"/>
      <c r="N757" s="228"/>
      <c r="O757" s="228"/>
      <c r="P757" s="228"/>
      <c r="Q757" s="228"/>
      <c r="R757" s="228"/>
      <c r="S757" s="228"/>
      <c r="T757" s="228"/>
      <c r="U757" s="228"/>
      <c r="V757" s="228"/>
      <c r="W757" s="228"/>
      <c r="X757" s="228"/>
      <c r="Y757" s="228"/>
      <c r="Z757" s="228"/>
      <c r="AA757" s="228"/>
      <c r="AB757" s="228"/>
      <c r="AC757" s="228"/>
      <c r="AD757" s="228"/>
      <c r="AE757" s="228"/>
      <c r="AF757" s="228"/>
      <c r="AG757" s="228"/>
      <c r="AH757" s="228"/>
      <c r="AI757" s="228"/>
      <c r="AJ757" s="228"/>
      <c r="AK757" s="228"/>
      <c r="AL757" s="228"/>
      <c r="AM757" s="228"/>
      <c r="AN757" s="228"/>
      <c r="AO757" s="228"/>
      <c r="AP757" s="228"/>
      <c r="AQ757" s="228"/>
      <c r="AR757" s="228"/>
      <c r="AS757" s="228"/>
      <c r="AT757" s="228"/>
      <c r="AU757" s="228"/>
      <c r="AV757" s="228"/>
      <c r="AW757" s="228"/>
      <c r="AX757" s="228"/>
      <c r="AY757" s="228"/>
      <c r="AZ757" s="228"/>
      <c r="BA757" s="228"/>
      <c r="BB757" s="228"/>
      <c r="BC757" s="228"/>
      <c r="BD757" s="228"/>
      <c r="BE757" s="228"/>
      <c r="BF757" s="228"/>
      <c r="BG757" s="228"/>
      <c r="BH757" s="228"/>
      <c r="BI757" s="228"/>
      <c r="BJ757" s="228"/>
      <c r="BK757" s="228"/>
      <c r="BL757" s="228"/>
      <c r="BM757" s="228"/>
      <c r="BN757" s="228"/>
      <c r="BO757" s="228"/>
      <c r="BP757" s="228"/>
      <c r="BQ757" s="228"/>
      <c r="BR757" s="228"/>
      <c r="BS757" s="228"/>
      <c r="BT757" s="228"/>
      <c r="BU757" s="228"/>
      <c r="BV757" s="228"/>
      <c r="BW757" s="228"/>
      <c r="BX757" s="228"/>
      <c r="BY757" s="228"/>
      <c r="BZ757" s="228"/>
      <c r="CA757" s="228"/>
      <c r="CB757" s="228"/>
      <c r="CC757" s="228"/>
      <c r="CD757" s="228"/>
      <c r="CE757" s="228"/>
      <c r="CF757" s="228"/>
      <c r="CG757" s="228"/>
      <c r="CH757" s="228"/>
      <c r="CI757" s="228"/>
      <c r="CJ757" s="228"/>
      <c r="CK757" s="228"/>
      <c r="CL757" s="228"/>
      <c r="CM757" s="228"/>
      <c r="CN757" s="228"/>
      <c r="CO757" s="228"/>
      <c r="CP757" s="228"/>
      <c r="CQ757" s="228"/>
      <c r="CR757" s="228"/>
      <c r="CS757" s="228"/>
      <c r="CT757" s="228"/>
      <c r="CU757" s="228"/>
      <c r="CV757" s="228"/>
      <c r="CW757" s="228"/>
      <c r="CX757" s="228"/>
      <c r="CY757" s="228"/>
      <c r="CZ757" s="228"/>
      <c r="DA757" s="228"/>
      <c r="DB757" s="228"/>
    </row>
    <row r="758" ht="12.0" customHeight="1">
      <c r="A758" s="228"/>
      <c r="B758" s="228"/>
      <c r="C758" s="228"/>
      <c r="D758" s="228"/>
      <c r="E758" s="228"/>
      <c r="F758" s="228"/>
      <c r="G758" s="228"/>
      <c r="H758" s="228"/>
      <c r="I758" s="228"/>
      <c r="J758" s="228"/>
      <c r="K758" s="228"/>
      <c r="L758" s="228"/>
      <c r="M758" s="228"/>
      <c r="N758" s="228"/>
      <c r="O758" s="228"/>
      <c r="P758" s="228"/>
      <c r="Q758" s="228"/>
      <c r="R758" s="228"/>
      <c r="S758" s="228"/>
      <c r="T758" s="228"/>
      <c r="U758" s="228"/>
      <c r="V758" s="228"/>
      <c r="W758" s="228"/>
      <c r="X758" s="228"/>
      <c r="Y758" s="228"/>
      <c r="Z758" s="228"/>
      <c r="AA758" s="228"/>
      <c r="AB758" s="228"/>
      <c r="AC758" s="228"/>
      <c r="AD758" s="228"/>
      <c r="AE758" s="228"/>
      <c r="AF758" s="228"/>
      <c r="AG758" s="228"/>
      <c r="AH758" s="228"/>
      <c r="AI758" s="228"/>
      <c r="AJ758" s="228"/>
      <c r="AK758" s="228"/>
      <c r="AL758" s="228"/>
      <c r="AM758" s="228"/>
      <c r="AN758" s="228"/>
      <c r="AO758" s="228"/>
      <c r="AP758" s="228"/>
      <c r="AQ758" s="228"/>
      <c r="AR758" s="228"/>
      <c r="AS758" s="228"/>
      <c r="AT758" s="228"/>
      <c r="AU758" s="228"/>
      <c r="AV758" s="228"/>
      <c r="AW758" s="228"/>
      <c r="AX758" s="228"/>
      <c r="AY758" s="228"/>
      <c r="AZ758" s="228"/>
      <c r="BA758" s="228"/>
      <c r="BB758" s="228"/>
      <c r="BC758" s="228"/>
      <c r="BD758" s="228"/>
      <c r="BE758" s="228"/>
      <c r="BF758" s="228"/>
      <c r="BG758" s="228"/>
      <c r="BH758" s="228"/>
      <c r="BI758" s="228"/>
      <c r="BJ758" s="228"/>
      <c r="BK758" s="228"/>
      <c r="BL758" s="228"/>
      <c r="BM758" s="228"/>
      <c r="BN758" s="228"/>
      <c r="BO758" s="228"/>
      <c r="BP758" s="228"/>
      <c r="BQ758" s="228"/>
      <c r="BR758" s="228"/>
      <c r="BS758" s="228"/>
      <c r="BT758" s="228"/>
      <c r="BU758" s="228"/>
      <c r="BV758" s="228"/>
      <c r="BW758" s="228"/>
      <c r="BX758" s="228"/>
      <c r="BY758" s="228"/>
      <c r="BZ758" s="228"/>
      <c r="CA758" s="228"/>
      <c r="CB758" s="228"/>
      <c r="CC758" s="228"/>
      <c r="CD758" s="228"/>
      <c r="CE758" s="228"/>
      <c r="CF758" s="228"/>
      <c r="CG758" s="228"/>
      <c r="CH758" s="228"/>
      <c r="CI758" s="228"/>
      <c r="CJ758" s="228"/>
      <c r="CK758" s="228"/>
      <c r="CL758" s="228"/>
      <c r="CM758" s="228"/>
      <c r="CN758" s="228"/>
      <c r="CO758" s="228"/>
      <c r="CP758" s="228"/>
      <c r="CQ758" s="228"/>
      <c r="CR758" s="228"/>
      <c r="CS758" s="228"/>
      <c r="CT758" s="228"/>
      <c r="CU758" s="228"/>
      <c r="CV758" s="228"/>
      <c r="CW758" s="228"/>
      <c r="CX758" s="228"/>
      <c r="CY758" s="228"/>
      <c r="CZ758" s="228"/>
      <c r="DA758" s="228"/>
      <c r="DB758" s="228"/>
    </row>
    <row r="759" ht="12.0" customHeight="1">
      <c r="A759" s="228"/>
      <c r="B759" s="228"/>
      <c r="C759" s="228"/>
      <c r="D759" s="228"/>
      <c r="E759" s="228"/>
      <c r="F759" s="228"/>
      <c r="G759" s="228"/>
      <c r="H759" s="228"/>
      <c r="I759" s="228"/>
      <c r="J759" s="228"/>
      <c r="K759" s="228"/>
      <c r="L759" s="228"/>
      <c r="M759" s="228"/>
      <c r="N759" s="228"/>
      <c r="O759" s="228"/>
      <c r="P759" s="228"/>
      <c r="Q759" s="228"/>
      <c r="R759" s="228"/>
      <c r="S759" s="228"/>
      <c r="T759" s="228"/>
      <c r="U759" s="228"/>
      <c r="V759" s="228"/>
      <c r="W759" s="228"/>
      <c r="X759" s="228"/>
      <c r="Y759" s="228"/>
      <c r="Z759" s="228"/>
      <c r="AA759" s="228"/>
      <c r="AB759" s="228"/>
      <c r="AC759" s="228"/>
      <c r="AD759" s="228"/>
      <c r="AE759" s="228"/>
      <c r="AF759" s="228"/>
      <c r="AG759" s="228"/>
      <c r="AH759" s="228"/>
      <c r="AI759" s="228"/>
      <c r="AJ759" s="228"/>
      <c r="AK759" s="228"/>
      <c r="AL759" s="228"/>
      <c r="AM759" s="228"/>
      <c r="AN759" s="228"/>
      <c r="AO759" s="228"/>
      <c r="AP759" s="228"/>
      <c r="AQ759" s="228"/>
      <c r="AR759" s="228"/>
      <c r="AS759" s="228"/>
      <c r="AT759" s="228"/>
      <c r="AU759" s="228"/>
      <c r="AV759" s="228"/>
      <c r="AW759" s="228"/>
      <c r="AX759" s="228"/>
      <c r="AY759" s="228"/>
      <c r="AZ759" s="228"/>
      <c r="BA759" s="228"/>
      <c r="BB759" s="228"/>
      <c r="BC759" s="228"/>
      <c r="BD759" s="228"/>
      <c r="BE759" s="228"/>
      <c r="BF759" s="228"/>
      <c r="BG759" s="228"/>
      <c r="BH759" s="228"/>
      <c r="BI759" s="228"/>
      <c r="BJ759" s="228"/>
      <c r="BK759" s="228"/>
      <c r="BL759" s="228"/>
      <c r="BM759" s="228"/>
      <c r="BN759" s="228"/>
      <c r="BO759" s="228"/>
      <c r="BP759" s="228"/>
      <c r="BQ759" s="228"/>
      <c r="BR759" s="228"/>
      <c r="BS759" s="228"/>
      <c r="BT759" s="228"/>
      <c r="BU759" s="228"/>
      <c r="BV759" s="228"/>
      <c r="BW759" s="228"/>
      <c r="BX759" s="228"/>
      <c r="BY759" s="228"/>
      <c r="BZ759" s="228"/>
      <c r="CA759" s="228"/>
      <c r="CB759" s="228"/>
      <c r="CC759" s="228"/>
      <c r="CD759" s="228"/>
      <c r="CE759" s="228"/>
      <c r="CF759" s="228"/>
      <c r="CG759" s="228"/>
      <c r="CH759" s="228"/>
      <c r="CI759" s="228"/>
      <c r="CJ759" s="228"/>
      <c r="CK759" s="228"/>
      <c r="CL759" s="228"/>
      <c r="CM759" s="228"/>
      <c r="CN759" s="228"/>
      <c r="CO759" s="228"/>
      <c r="CP759" s="228"/>
      <c r="CQ759" s="228"/>
      <c r="CR759" s="228"/>
      <c r="CS759" s="228"/>
      <c r="CT759" s="228"/>
      <c r="CU759" s="228"/>
      <c r="CV759" s="228"/>
      <c r="CW759" s="228"/>
      <c r="CX759" s="228"/>
      <c r="CY759" s="228"/>
      <c r="CZ759" s="228"/>
      <c r="DA759" s="228"/>
      <c r="DB759" s="228"/>
    </row>
    <row r="760" ht="12.0" customHeight="1">
      <c r="A760" s="228"/>
      <c r="B760" s="228"/>
      <c r="C760" s="228"/>
      <c r="D760" s="228"/>
      <c r="E760" s="228"/>
      <c r="F760" s="228"/>
      <c r="G760" s="228"/>
      <c r="H760" s="228"/>
      <c r="I760" s="228"/>
      <c r="J760" s="228"/>
      <c r="K760" s="228"/>
      <c r="L760" s="228"/>
      <c r="M760" s="228"/>
      <c r="N760" s="228"/>
      <c r="O760" s="228"/>
      <c r="P760" s="228"/>
      <c r="Q760" s="228"/>
      <c r="R760" s="228"/>
      <c r="S760" s="228"/>
      <c r="T760" s="228"/>
      <c r="U760" s="228"/>
      <c r="V760" s="228"/>
      <c r="W760" s="228"/>
      <c r="X760" s="228"/>
      <c r="Y760" s="228"/>
      <c r="Z760" s="228"/>
      <c r="AA760" s="228"/>
      <c r="AB760" s="228"/>
      <c r="AC760" s="228"/>
      <c r="AD760" s="228"/>
      <c r="AE760" s="228"/>
      <c r="AF760" s="228"/>
      <c r="AG760" s="228"/>
      <c r="AH760" s="228"/>
      <c r="AI760" s="228"/>
      <c r="AJ760" s="228"/>
      <c r="AK760" s="228"/>
      <c r="AL760" s="228"/>
      <c r="AM760" s="228"/>
      <c r="AN760" s="228"/>
      <c r="AO760" s="228"/>
      <c r="AP760" s="228"/>
      <c r="AQ760" s="228"/>
      <c r="AR760" s="228"/>
      <c r="AS760" s="228"/>
      <c r="AT760" s="228"/>
      <c r="AU760" s="228"/>
      <c r="AV760" s="228"/>
      <c r="AW760" s="228"/>
      <c r="AX760" s="228"/>
      <c r="AY760" s="228"/>
      <c r="AZ760" s="228"/>
      <c r="BA760" s="228"/>
      <c r="BB760" s="228"/>
      <c r="BC760" s="228"/>
      <c r="BD760" s="228"/>
      <c r="BE760" s="228"/>
      <c r="BF760" s="228"/>
      <c r="BG760" s="228"/>
      <c r="BH760" s="228"/>
      <c r="BI760" s="228"/>
      <c r="BJ760" s="228"/>
      <c r="BK760" s="228"/>
      <c r="BL760" s="228"/>
      <c r="BM760" s="228"/>
      <c r="BN760" s="228"/>
      <c r="BO760" s="228"/>
      <c r="BP760" s="228"/>
      <c r="BQ760" s="228"/>
      <c r="BR760" s="228"/>
      <c r="BS760" s="228"/>
      <c r="BT760" s="228"/>
      <c r="BU760" s="228"/>
      <c r="BV760" s="228"/>
      <c r="BW760" s="228"/>
      <c r="BX760" s="228"/>
      <c r="BY760" s="228"/>
      <c r="BZ760" s="228"/>
      <c r="CA760" s="228"/>
      <c r="CB760" s="228"/>
      <c r="CC760" s="228"/>
      <c r="CD760" s="228"/>
      <c r="CE760" s="228"/>
      <c r="CF760" s="228"/>
      <c r="CG760" s="228"/>
      <c r="CH760" s="228"/>
      <c r="CI760" s="228"/>
      <c r="CJ760" s="228"/>
      <c r="CK760" s="228"/>
      <c r="CL760" s="228"/>
      <c r="CM760" s="228"/>
      <c r="CN760" s="228"/>
      <c r="CO760" s="228"/>
      <c r="CP760" s="228"/>
      <c r="CQ760" s="228"/>
      <c r="CR760" s="228"/>
      <c r="CS760" s="228"/>
      <c r="CT760" s="228"/>
      <c r="CU760" s="228"/>
      <c r="CV760" s="228"/>
      <c r="CW760" s="228"/>
      <c r="CX760" s="228"/>
      <c r="CY760" s="228"/>
      <c r="CZ760" s="228"/>
      <c r="DA760" s="228"/>
      <c r="DB760" s="228"/>
    </row>
    <row r="761" ht="12.0" customHeight="1">
      <c r="A761" s="228"/>
      <c r="B761" s="228"/>
      <c r="C761" s="228"/>
      <c r="D761" s="228"/>
      <c r="E761" s="228"/>
      <c r="F761" s="228"/>
      <c r="G761" s="228"/>
      <c r="H761" s="228"/>
      <c r="I761" s="228"/>
      <c r="J761" s="228"/>
      <c r="K761" s="228"/>
      <c r="L761" s="228"/>
      <c r="M761" s="228"/>
      <c r="N761" s="228"/>
      <c r="O761" s="228"/>
      <c r="P761" s="228"/>
      <c r="Q761" s="228"/>
      <c r="R761" s="228"/>
      <c r="S761" s="228"/>
      <c r="T761" s="228"/>
      <c r="U761" s="228"/>
      <c r="V761" s="228"/>
      <c r="W761" s="228"/>
      <c r="X761" s="228"/>
      <c r="Y761" s="228"/>
      <c r="Z761" s="228"/>
      <c r="AA761" s="228"/>
      <c r="AB761" s="228"/>
      <c r="AC761" s="228"/>
      <c r="AD761" s="228"/>
      <c r="AE761" s="228"/>
      <c r="AF761" s="228"/>
      <c r="AG761" s="228"/>
      <c r="AH761" s="228"/>
      <c r="AI761" s="228"/>
      <c r="AJ761" s="228"/>
      <c r="AK761" s="228"/>
      <c r="AL761" s="228"/>
      <c r="AM761" s="228"/>
      <c r="AN761" s="228"/>
      <c r="AO761" s="228"/>
      <c r="AP761" s="228"/>
      <c r="AQ761" s="228"/>
      <c r="AR761" s="228"/>
      <c r="AS761" s="228"/>
      <c r="AT761" s="228"/>
      <c r="AU761" s="228"/>
      <c r="AV761" s="228"/>
      <c r="AW761" s="228"/>
      <c r="AX761" s="228"/>
      <c r="AY761" s="228"/>
      <c r="AZ761" s="228"/>
      <c r="BA761" s="228"/>
      <c r="BB761" s="228"/>
      <c r="BC761" s="228"/>
      <c r="BD761" s="228"/>
      <c r="BE761" s="228"/>
      <c r="BF761" s="228"/>
      <c r="BG761" s="228"/>
      <c r="BH761" s="228"/>
      <c r="BI761" s="228"/>
      <c r="BJ761" s="228"/>
      <c r="BK761" s="228"/>
      <c r="BL761" s="228"/>
      <c r="BM761" s="228"/>
      <c r="BN761" s="228"/>
      <c r="BO761" s="228"/>
      <c r="BP761" s="228"/>
      <c r="BQ761" s="228"/>
      <c r="BR761" s="228"/>
      <c r="BS761" s="228"/>
      <c r="BT761" s="228"/>
      <c r="BU761" s="228"/>
      <c r="BV761" s="228"/>
      <c r="BW761" s="228"/>
      <c r="BX761" s="228"/>
      <c r="BY761" s="228"/>
      <c r="BZ761" s="228"/>
      <c r="CA761" s="228"/>
      <c r="CB761" s="228"/>
      <c r="CC761" s="228"/>
      <c r="CD761" s="228"/>
      <c r="CE761" s="228"/>
      <c r="CF761" s="228"/>
      <c r="CG761" s="228"/>
      <c r="CH761" s="228"/>
      <c r="CI761" s="228"/>
      <c r="CJ761" s="228"/>
      <c r="CK761" s="228"/>
      <c r="CL761" s="228"/>
      <c r="CM761" s="228"/>
      <c r="CN761" s="228"/>
      <c r="CO761" s="228"/>
      <c r="CP761" s="228"/>
      <c r="CQ761" s="228"/>
      <c r="CR761" s="228"/>
      <c r="CS761" s="228"/>
      <c r="CT761" s="228"/>
      <c r="CU761" s="228"/>
      <c r="CV761" s="228"/>
      <c r="CW761" s="228"/>
      <c r="CX761" s="228"/>
      <c r="CY761" s="228"/>
      <c r="CZ761" s="228"/>
      <c r="DA761" s="228"/>
      <c r="DB761" s="228"/>
    </row>
    <row r="762" ht="12.0" customHeight="1">
      <c r="A762" s="228"/>
      <c r="B762" s="228"/>
      <c r="C762" s="228"/>
      <c r="D762" s="228"/>
      <c r="E762" s="228"/>
      <c r="F762" s="228"/>
      <c r="G762" s="228"/>
      <c r="H762" s="228"/>
      <c r="I762" s="228"/>
      <c r="J762" s="228"/>
      <c r="K762" s="228"/>
      <c r="L762" s="228"/>
      <c r="M762" s="228"/>
      <c r="N762" s="228"/>
      <c r="O762" s="228"/>
      <c r="P762" s="228"/>
      <c r="Q762" s="228"/>
      <c r="R762" s="228"/>
      <c r="S762" s="228"/>
      <c r="T762" s="228"/>
      <c r="U762" s="228"/>
      <c r="V762" s="228"/>
      <c r="W762" s="228"/>
      <c r="X762" s="228"/>
      <c r="Y762" s="228"/>
      <c r="Z762" s="228"/>
      <c r="AA762" s="228"/>
      <c r="AB762" s="228"/>
      <c r="AC762" s="228"/>
      <c r="AD762" s="228"/>
      <c r="AE762" s="228"/>
      <c r="AF762" s="228"/>
      <c r="AG762" s="228"/>
      <c r="AH762" s="228"/>
      <c r="AI762" s="228"/>
      <c r="AJ762" s="228"/>
      <c r="AK762" s="228"/>
      <c r="AL762" s="228"/>
      <c r="AM762" s="228"/>
      <c r="AN762" s="228"/>
      <c r="AO762" s="228"/>
      <c r="AP762" s="228"/>
      <c r="AQ762" s="228"/>
      <c r="AR762" s="228"/>
      <c r="AS762" s="228"/>
      <c r="AT762" s="228"/>
      <c r="AU762" s="228"/>
      <c r="AV762" s="228"/>
      <c r="AW762" s="228"/>
      <c r="AX762" s="228"/>
      <c r="AY762" s="228"/>
      <c r="AZ762" s="228"/>
      <c r="BA762" s="228"/>
      <c r="BB762" s="228"/>
      <c r="BC762" s="228"/>
      <c r="BD762" s="228"/>
      <c r="BE762" s="228"/>
      <c r="BF762" s="228"/>
      <c r="BG762" s="228"/>
      <c r="BH762" s="228"/>
      <c r="BI762" s="228"/>
      <c r="BJ762" s="228"/>
      <c r="BK762" s="228"/>
      <c r="BL762" s="228"/>
      <c r="BM762" s="228"/>
      <c r="BN762" s="228"/>
      <c r="BO762" s="228"/>
      <c r="BP762" s="228"/>
      <c r="BQ762" s="228"/>
      <c r="BR762" s="228"/>
      <c r="BS762" s="228"/>
      <c r="BT762" s="228"/>
      <c r="BU762" s="228"/>
      <c r="BV762" s="228"/>
      <c r="BW762" s="228"/>
      <c r="BX762" s="228"/>
      <c r="BY762" s="228"/>
      <c r="BZ762" s="228"/>
      <c r="CA762" s="228"/>
      <c r="CB762" s="228"/>
      <c r="CC762" s="228"/>
      <c r="CD762" s="228"/>
      <c r="CE762" s="228"/>
      <c r="CF762" s="228"/>
      <c r="CG762" s="228"/>
      <c r="CH762" s="228"/>
      <c r="CI762" s="228"/>
      <c r="CJ762" s="228"/>
      <c r="CK762" s="228"/>
      <c r="CL762" s="228"/>
      <c r="CM762" s="228"/>
      <c r="CN762" s="228"/>
      <c r="CO762" s="228"/>
      <c r="CP762" s="228"/>
      <c r="CQ762" s="228"/>
      <c r="CR762" s="228"/>
      <c r="CS762" s="228"/>
      <c r="CT762" s="228"/>
      <c r="CU762" s="228"/>
      <c r="CV762" s="228"/>
      <c r="CW762" s="228"/>
      <c r="CX762" s="228"/>
      <c r="CY762" s="228"/>
      <c r="CZ762" s="228"/>
      <c r="DA762" s="228"/>
      <c r="DB762" s="228"/>
    </row>
    <row r="763" ht="12.0" customHeight="1">
      <c r="A763" s="228"/>
      <c r="B763" s="228"/>
      <c r="C763" s="228"/>
      <c r="D763" s="228"/>
      <c r="E763" s="228"/>
      <c r="F763" s="228"/>
      <c r="G763" s="228"/>
      <c r="H763" s="228"/>
      <c r="I763" s="228"/>
      <c r="J763" s="228"/>
      <c r="K763" s="228"/>
      <c r="L763" s="228"/>
      <c r="M763" s="228"/>
      <c r="N763" s="228"/>
      <c r="O763" s="228"/>
      <c r="P763" s="228"/>
      <c r="Q763" s="228"/>
      <c r="R763" s="228"/>
      <c r="S763" s="228"/>
      <c r="T763" s="228"/>
      <c r="U763" s="228"/>
      <c r="V763" s="228"/>
      <c r="W763" s="228"/>
      <c r="X763" s="228"/>
      <c r="Y763" s="228"/>
      <c r="Z763" s="228"/>
      <c r="AA763" s="228"/>
      <c r="AB763" s="228"/>
      <c r="AC763" s="228"/>
      <c r="AD763" s="228"/>
      <c r="AE763" s="228"/>
      <c r="AF763" s="228"/>
      <c r="AG763" s="228"/>
      <c r="AH763" s="228"/>
      <c r="AI763" s="228"/>
      <c r="AJ763" s="228"/>
      <c r="AK763" s="228"/>
      <c r="AL763" s="228"/>
      <c r="AM763" s="228"/>
      <c r="AN763" s="228"/>
      <c r="AO763" s="228"/>
      <c r="AP763" s="228"/>
      <c r="AQ763" s="228"/>
      <c r="AR763" s="228"/>
      <c r="AS763" s="228"/>
      <c r="AT763" s="228"/>
      <c r="AU763" s="228"/>
      <c r="AV763" s="228"/>
      <c r="AW763" s="228"/>
      <c r="AX763" s="228"/>
      <c r="AY763" s="228"/>
      <c r="AZ763" s="228"/>
      <c r="BA763" s="228"/>
      <c r="BB763" s="228"/>
      <c r="BC763" s="228"/>
      <c r="BD763" s="228"/>
      <c r="BE763" s="228"/>
      <c r="BF763" s="228"/>
      <c r="BG763" s="228"/>
      <c r="BH763" s="228"/>
      <c r="BI763" s="228"/>
      <c r="BJ763" s="228"/>
      <c r="BK763" s="228"/>
      <c r="BL763" s="228"/>
      <c r="BM763" s="228"/>
      <c r="BN763" s="228"/>
      <c r="BO763" s="228"/>
      <c r="BP763" s="228"/>
      <c r="BQ763" s="228"/>
      <c r="BR763" s="228"/>
      <c r="BS763" s="228"/>
      <c r="BT763" s="228"/>
      <c r="BU763" s="228"/>
      <c r="BV763" s="228"/>
      <c r="BW763" s="228"/>
      <c r="BX763" s="228"/>
      <c r="BY763" s="228"/>
      <c r="BZ763" s="228"/>
      <c r="CA763" s="228"/>
      <c r="CB763" s="228"/>
      <c r="CC763" s="228"/>
      <c r="CD763" s="228"/>
      <c r="CE763" s="228"/>
      <c r="CF763" s="228"/>
      <c r="CG763" s="228"/>
      <c r="CH763" s="228"/>
      <c r="CI763" s="228"/>
      <c r="CJ763" s="228"/>
      <c r="CK763" s="228"/>
      <c r="CL763" s="228"/>
      <c r="CM763" s="228"/>
      <c r="CN763" s="228"/>
      <c r="CO763" s="228"/>
      <c r="CP763" s="228"/>
      <c r="CQ763" s="228"/>
      <c r="CR763" s="228"/>
      <c r="CS763" s="228"/>
      <c r="CT763" s="228"/>
      <c r="CU763" s="228"/>
      <c r="CV763" s="228"/>
      <c r="CW763" s="228"/>
      <c r="CX763" s="228"/>
      <c r="CY763" s="228"/>
      <c r="CZ763" s="228"/>
      <c r="DA763" s="228"/>
      <c r="DB763" s="228"/>
    </row>
    <row r="764" ht="12.0" customHeight="1">
      <c r="A764" s="228"/>
      <c r="B764" s="228"/>
      <c r="C764" s="228"/>
      <c r="D764" s="228"/>
      <c r="E764" s="228"/>
      <c r="F764" s="228"/>
      <c r="G764" s="228"/>
      <c r="H764" s="228"/>
      <c r="I764" s="228"/>
      <c r="J764" s="228"/>
      <c r="K764" s="228"/>
      <c r="L764" s="228"/>
      <c r="M764" s="228"/>
      <c r="N764" s="228"/>
      <c r="O764" s="228"/>
      <c r="P764" s="228"/>
      <c r="Q764" s="228"/>
      <c r="R764" s="228"/>
      <c r="S764" s="228"/>
      <c r="T764" s="228"/>
      <c r="U764" s="228"/>
      <c r="V764" s="228"/>
      <c r="W764" s="228"/>
      <c r="X764" s="228"/>
      <c r="Y764" s="228"/>
      <c r="Z764" s="228"/>
      <c r="AA764" s="228"/>
      <c r="AB764" s="228"/>
      <c r="AC764" s="228"/>
      <c r="AD764" s="228"/>
      <c r="AE764" s="228"/>
      <c r="AF764" s="228"/>
      <c r="AG764" s="228"/>
      <c r="AH764" s="228"/>
      <c r="AI764" s="228"/>
      <c r="AJ764" s="228"/>
      <c r="AK764" s="228"/>
      <c r="AL764" s="228"/>
      <c r="AM764" s="228"/>
      <c r="AN764" s="228"/>
      <c r="AO764" s="228"/>
      <c r="AP764" s="228"/>
      <c r="AQ764" s="228"/>
      <c r="AR764" s="228"/>
      <c r="AS764" s="228"/>
      <c r="AT764" s="228"/>
      <c r="AU764" s="228"/>
      <c r="AV764" s="228"/>
      <c r="AW764" s="228"/>
      <c r="AX764" s="228"/>
      <c r="AY764" s="228"/>
      <c r="AZ764" s="228"/>
      <c r="BA764" s="228"/>
      <c r="BB764" s="228"/>
      <c r="BC764" s="228"/>
      <c r="BD764" s="228"/>
      <c r="BE764" s="228"/>
      <c r="BF764" s="228"/>
      <c r="BG764" s="228"/>
      <c r="BH764" s="228"/>
      <c r="BI764" s="228"/>
      <c r="BJ764" s="228"/>
      <c r="BK764" s="228"/>
      <c r="BL764" s="228"/>
      <c r="BM764" s="228"/>
      <c r="BN764" s="228"/>
      <c r="BO764" s="228"/>
      <c r="BP764" s="228"/>
      <c r="BQ764" s="228"/>
      <c r="BR764" s="228"/>
      <c r="BS764" s="228"/>
      <c r="BT764" s="228"/>
      <c r="BU764" s="228"/>
      <c r="BV764" s="228"/>
      <c r="BW764" s="228"/>
      <c r="BX764" s="228"/>
      <c r="BY764" s="228"/>
      <c r="BZ764" s="228"/>
      <c r="CA764" s="228"/>
      <c r="CB764" s="228"/>
      <c r="CC764" s="228"/>
      <c r="CD764" s="228"/>
      <c r="CE764" s="228"/>
      <c r="CF764" s="228"/>
      <c r="CG764" s="228"/>
      <c r="CH764" s="228"/>
      <c r="CI764" s="228"/>
      <c r="CJ764" s="228"/>
      <c r="CK764" s="228"/>
      <c r="CL764" s="228"/>
      <c r="CM764" s="228"/>
      <c r="CN764" s="228"/>
      <c r="CO764" s="228"/>
      <c r="CP764" s="228"/>
      <c r="CQ764" s="228"/>
      <c r="CR764" s="228"/>
      <c r="CS764" s="228"/>
      <c r="CT764" s="228"/>
      <c r="CU764" s="228"/>
      <c r="CV764" s="228"/>
      <c r="CW764" s="228"/>
      <c r="CX764" s="228"/>
      <c r="CY764" s="228"/>
      <c r="CZ764" s="228"/>
      <c r="DA764" s="228"/>
      <c r="DB764" s="228"/>
    </row>
    <row r="765" ht="12.0" customHeight="1">
      <c r="A765" s="228"/>
      <c r="B765" s="228"/>
      <c r="C765" s="228"/>
      <c r="D765" s="228"/>
      <c r="E765" s="228"/>
      <c r="F765" s="228"/>
      <c r="G765" s="228"/>
      <c r="H765" s="228"/>
      <c r="I765" s="228"/>
      <c r="J765" s="228"/>
      <c r="K765" s="228"/>
      <c r="L765" s="228"/>
      <c r="M765" s="228"/>
      <c r="N765" s="228"/>
      <c r="O765" s="228"/>
      <c r="P765" s="228"/>
      <c r="Q765" s="228"/>
      <c r="R765" s="228"/>
      <c r="S765" s="228"/>
      <c r="T765" s="228"/>
      <c r="U765" s="228"/>
      <c r="V765" s="228"/>
      <c r="W765" s="228"/>
      <c r="X765" s="228"/>
      <c r="Y765" s="228"/>
      <c r="Z765" s="228"/>
      <c r="AA765" s="228"/>
      <c r="AB765" s="228"/>
      <c r="AC765" s="228"/>
      <c r="AD765" s="228"/>
      <c r="AE765" s="228"/>
      <c r="AF765" s="228"/>
      <c r="AG765" s="228"/>
      <c r="AH765" s="228"/>
      <c r="AI765" s="228"/>
      <c r="AJ765" s="228"/>
      <c r="AK765" s="228"/>
      <c r="AL765" s="228"/>
      <c r="AM765" s="228"/>
      <c r="AN765" s="228"/>
      <c r="AO765" s="228"/>
      <c r="AP765" s="228"/>
      <c r="AQ765" s="228"/>
      <c r="AR765" s="228"/>
      <c r="AS765" s="228"/>
      <c r="AT765" s="228"/>
      <c r="AU765" s="228"/>
      <c r="AV765" s="228"/>
      <c r="AW765" s="228"/>
      <c r="AX765" s="228"/>
      <c r="AY765" s="228"/>
      <c r="AZ765" s="228"/>
      <c r="BA765" s="228"/>
      <c r="BB765" s="228"/>
      <c r="BC765" s="228"/>
      <c r="BD765" s="228"/>
      <c r="BE765" s="228"/>
      <c r="BF765" s="228"/>
      <c r="BG765" s="228"/>
      <c r="BH765" s="228"/>
      <c r="BI765" s="228"/>
      <c r="BJ765" s="228"/>
      <c r="BK765" s="228"/>
      <c r="BL765" s="228"/>
      <c r="BM765" s="228"/>
      <c r="BN765" s="228"/>
      <c r="BO765" s="228"/>
      <c r="BP765" s="228"/>
      <c r="BQ765" s="228"/>
      <c r="BR765" s="228"/>
      <c r="BS765" s="228"/>
      <c r="BT765" s="228"/>
      <c r="BU765" s="228"/>
      <c r="BV765" s="228"/>
      <c r="BW765" s="228"/>
      <c r="BX765" s="228"/>
      <c r="BY765" s="228"/>
      <c r="BZ765" s="228"/>
      <c r="CA765" s="228"/>
      <c r="CB765" s="228"/>
      <c r="CC765" s="228"/>
      <c r="CD765" s="228"/>
      <c r="CE765" s="228"/>
      <c r="CF765" s="228"/>
      <c r="CG765" s="228"/>
      <c r="CH765" s="228"/>
      <c r="CI765" s="228"/>
      <c r="CJ765" s="228"/>
      <c r="CK765" s="228"/>
      <c r="CL765" s="228"/>
      <c r="CM765" s="228"/>
      <c r="CN765" s="228"/>
      <c r="CO765" s="228"/>
      <c r="CP765" s="228"/>
      <c r="CQ765" s="228"/>
      <c r="CR765" s="228"/>
      <c r="CS765" s="228"/>
      <c r="CT765" s="228"/>
      <c r="CU765" s="228"/>
      <c r="CV765" s="228"/>
      <c r="CW765" s="228"/>
      <c r="CX765" s="228"/>
      <c r="CY765" s="228"/>
      <c r="CZ765" s="228"/>
      <c r="DA765" s="228"/>
      <c r="DB765" s="228"/>
    </row>
    <row r="766" ht="12.0" customHeight="1">
      <c r="A766" s="228"/>
      <c r="B766" s="228"/>
      <c r="C766" s="228"/>
      <c r="D766" s="228"/>
      <c r="E766" s="228"/>
      <c r="F766" s="228"/>
      <c r="G766" s="228"/>
      <c r="H766" s="228"/>
      <c r="I766" s="228"/>
      <c r="J766" s="228"/>
      <c r="K766" s="228"/>
      <c r="L766" s="228"/>
      <c r="M766" s="228"/>
      <c r="N766" s="228"/>
      <c r="O766" s="228"/>
      <c r="P766" s="228"/>
      <c r="Q766" s="228"/>
      <c r="R766" s="228"/>
      <c r="S766" s="228"/>
      <c r="T766" s="228"/>
      <c r="U766" s="228"/>
      <c r="V766" s="228"/>
      <c r="W766" s="228"/>
      <c r="X766" s="228"/>
      <c r="Y766" s="228"/>
      <c r="Z766" s="228"/>
      <c r="AA766" s="228"/>
      <c r="AB766" s="228"/>
      <c r="AC766" s="228"/>
      <c r="AD766" s="228"/>
      <c r="AE766" s="228"/>
      <c r="AF766" s="228"/>
      <c r="AG766" s="228"/>
      <c r="AH766" s="228"/>
      <c r="AI766" s="228"/>
      <c r="AJ766" s="228"/>
      <c r="AK766" s="228"/>
      <c r="AL766" s="228"/>
      <c r="AM766" s="228"/>
      <c r="AN766" s="228"/>
      <c r="AO766" s="228"/>
      <c r="AP766" s="228"/>
      <c r="AQ766" s="228"/>
      <c r="AR766" s="228"/>
      <c r="AS766" s="228"/>
      <c r="AT766" s="228"/>
      <c r="AU766" s="228"/>
      <c r="AV766" s="228"/>
      <c r="AW766" s="228"/>
      <c r="AX766" s="228"/>
      <c r="AY766" s="228"/>
      <c r="AZ766" s="228"/>
      <c r="BA766" s="228"/>
      <c r="BB766" s="228"/>
      <c r="BC766" s="228"/>
      <c r="BD766" s="228"/>
      <c r="BE766" s="228"/>
      <c r="BF766" s="228"/>
      <c r="BG766" s="228"/>
      <c r="BH766" s="228"/>
      <c r="BI766" s="228"/>
      <c r="BJ766" s="228"/>
      <c r="BK766" s="228"/>
      <c r="BL766" s="228"/>
      <c r="BM766" s="228"/>
      <c r="BN766" s="228"/>
      <c r="BO766" s="228"/>
      <c r="BP766" s="228"/>
      <c r="BQ766" s="228"/>
      <c r="BR766" s="228"/>
      <c r="BS766" s="228"/>
      <c r="BT766" s="228"/>
      <c r="BU766" s="228"/>
      <c r="BV766" s="228"/>
      <c r="BW766" s="228"/>
      <c r="BX766" s="228"/>
      <c r="BY766" s="228"/>
      <c r="BZ766" s="228"/>
      <c r="CA766" s="228"/>
      <c r="CB766" s="228"/>
      <c r="CC766" s="228"/>
      <c r="CD766" s="228"/>
      <c r="CE766" s="228"/>
      <c r="CF766" s="228"/>
      <c r="CG766" s="228"/>
      <c r="CH766" s="228"/>
      <c r="CI766" s="228"/>
      <c r="CJ766" s="228"/>
      <c r="CK766" s="228"/>
      <c r="CL766" s="228"/>
      <c r="CM766" s="228"/>
      <c r="CN766" s="228"/>
      <c r="CO766" s="228"/>
      <c r="CP766" s="228"/>
      <c r="CQ766" s="228"/>
      <c r="CR766" s="228"/>
      <c r="CS766" s="228"/>
      <c r="CT766" s="228"/>
      <c r="CU766" s="228"/>
      <c r="CV766" s="228"/>
      <c r="CW766" s="228"/>
      <c r="CX766" s="228"/>
      <c r="CY766" s="228"/>
      <c r="CZ766" s="228"/>
      <c r="DA766" s="228"/>
      <c r="DB766" s="228"/>
    </row>
    <row r="767" ht="12.0" customHeight="1">
      <c r="A767" s="228"/>
      <c r="B767" s="228"/>
      <c r="C767" s="228"/>
      <c r="D767" s="228"/>
      <c r="E767" s="228"/>
      <c r="F767" s="228"/>
      <c r="G767" s="228"/>
      <c r="H767" s="228"/>
      <c r="I767" s="228"/>
      <c r="J767" s="228"/>
      <c r="K767" s="228"/>
      <c r="L767" s="228"/>
      <c r="M767" s="228"/>
      <c r="N767" s="228"/>
      <c r="O767" s="228"/>
      <c r="P767" s="228"/>
      <c r="Q767" s="228"/>
      <c r="R767" s="228"/>
      <c r="S767" s="228"/>
      <c r="T767" s="228"/>
      <c r="U767" s="228"/>
      <c r="V767" s="228"/>
      <c r="W767" s="228"/>
      <c r="X767" s="228"/>
      <c r="Y767" s="228"/>
      <c r="Z767" s="228"/>
      <c r="AA767" s="228"/>
      <c r="AB767" s="228"/>
      <c r="AC767" s="228"/>
      <c r="AD767" s="228"/>
      <c r="AE767" s="228"/>
      <c r="AF767" s="228"/>
      <c r="AG767" s="228"/>
      <c r="AH767" s="228"/>
      <c r="AI767" s="228"/>
      <c r="AJ767" s="228"/>
      <c r="AK767" s="228"/>
      <c r="AL767" s="228"/>
      <c r="AM767" s="228"/>
      <c r="AN767" s="228"/>
      <c r="AO767" s="228"/>
      <c r="AP767" s="228"/>
      <c r="AQ767" s="228"/>
      <c r="AR767" s="228"/>
      <c r="AS767" s="228"/>
      <c r="AT767" s="228"/>
      <c r="AU767" s="228"/>
      <c r="AV767" s="228"/>
      <c r="AW767" s="228"/>
      <c r="AX767" s="228"/>
      <c r="AY767" s="228"/>
      <c r="AZ767" s="228"/>
      <c r="BA767" s="228"/>
      <c r="BB767" s="228"/>
      <c r="BC767" s="228"/>
      <c r="BD767" s="228"/>
      <c r="BE767" s="228"/>
      <c r="BF767" s="228"/>
      <c r="BG767" s="228"/>
      <c r="BH767" s="228"/>
      <c r="BI767" s="228"/>
      <c r="BJ767" s="228"/>
      <c r="BK767" s="228"/>
      <c r="BL767" s="228"/>
      <c r="BM767" s="228"/>
      <c r="BN767" s="228"/>
      <c r="BO767" s="228"/>
      <c r="BP767" s="228"/>
      <c r="BQ767" s="228"/>
      <c r="BR767" s="228"/>
      <c r="BS767" s="228"/>
      <c r="BT767" s="228"/>
      <c r="BU767" s="228"/>
      <c r="BV767" s="228"/>
      <c r="BW767" s="228"/>
      <c r="BX767" s="228"/>
      <c r="BY767" s="228"/>
      <c r="BZ767" s="228"/>
      <c r="CA767" s="228"/>
      <c r="CB767" s="228"/>
      <c r="CC767" s="228"/>
      <c r="CD767" s="228"/>
      <c r="CE767" s="228"/>
      <c r="CF767" s="228"/>
      <c r="CG767" s="228"/>
      <c r="CH767" s="228"/>
      <c r="CI767" s="228"/>
      <c r="CJ767" s="228"/>
      <c r="CK767" s="228"/>
      <c r="CL767" s="228"/>
      <c r="CM767" s="228"/>
      <c r="CN767" s="228"/>
      <c r="CO767" s="228"/>
      <c r="CP767" s="228"/>
      <c r="CQ767" s="228"/>
      <c r="CR767" s="228"/>
      <c r="CS767" s="228"/>
      <c r="CT767" s="228"/>
      <c r="CU767" s="228"/>
      <c r="CV767" s="228"/>
      <c r="CW767" s="228"/>
      <c r="CX767" s="228"/>
      <c r="CY767" s="228"/>
      <c r="CZ767" s="228"/>
      <c r="DA767" s="228"/>
      <c r="DB767" s="228"/>
    </row>
    <row r="768" ht="12.0" customHeight="1">
      <c r="A768" s="228"/>
      <c r="B768" s="228"/>
      <c r="C768" s="228"/>
      <c r="D768" s="228"/>
      <c r="E768" s="228"/>
      <c r="F768" s="228"/>
      <c r="G768" s="228"/>
      <c r="H768" s="228"/>
      <c r="I768" s="228"/>
      <c r="J768" s="228"/>
      <c r="K768" s="228"/>
      <c r="L768" s="228"/>
      <c r="M768" s="228"/>
      <c r="N768" s="228"/>
      <c r="O768" s="228"/>
      <c r="P768" s="228"/>
      <c r="Q768" s="228"/>
      <c r="R768" s="228"/>
      <c r="S768" s="228"/>
      <c r="T768" s="228"/>
      <c r="U768" s="228"/>
      <c r="V768" s="228"/>
      <c r="W768" s="228"/>
      <c r="X768" s="228"/>
      <c r="Y768" s="228"/>
      <c r="Z768" s="228"/>
      <c r="AA768" s="228"/>
      <c r="AB768" s="228"/>
      <c r="AC768" s="228"/>
      <c r="AD768" s="228"/>
      <c r="AE768" s="228"/>
      <c r="AF768" s="228"/>
      <c r="AG768" s="228"/>
      <c r="AH768" s="228"/>
      <c r="AI768" s="228"/>
      <c r="AJ768" s="228"/>
      <c r="AK768" s="228"/>
      <c r="AL768" s="228"/>
      <c r="AM768" s="228"/>
      <c r="AN768" s="228"/>
      <c r="AO768" s="228"/>
      <c r="AP768" s="228"/>
      <c r="AQ768" s="228"/>
      <c r="AR768" s="228"/>
      <c r="AS768" s="228"/>
      <c r="AT768" s="228"/>
      <c r="AU768" s="228"/>
      <c r="AV768" s="228"/>
      <c r="AW768" s="228"/>
      <c r="AX768" s="228"/>
      <c r="AY768" s="228"/>
      <c r="AZ768" s="228"/>
      <c r="BA768" s="228"/>
      <c r="BB768" s="228"/>
      <c r="BC768" s="228"/>
      <c r="BD768" s="228"/>
      <c r="BE768" s="228"/>
      <c r="BF768" s="228"/>
      <c r="BG768" s="228"/>
      <c r="BH768" s="228"/>
      <c r="BI768" s="228"/>
      <c r="BJ768" s="228"/>
      <c r="BK768" s="228"/>
      <c r="BL768" s="228"/>
      <c r="BM768" s="228"/>
      <c r="BN768" s="228"/>
      <c r="BO768" s="228"/>
      <c r="BP768" s="228"/>
      <c r="BQ768" s="228"/>
      <c r="BR768" s="228"/>
      <c r="BS768" s="228"/>
      <c r="BT768" s="228"/>
      <c r="BU768" s="228"/>
      <c r="BV768" s="228"/>
      <c r="BW768" s="228"/>
      <c r="BX768" s="228"/>
      <c r="BY768" s="228"/>
      <c r="BZ768" s="228"/>
      <c r="CA768" s="228"/>
      <c r="CB768" s="228"/>
      <c r="CC768" s="228"/>
      <c r="CD768" s="228"/>
      <c r="CE768" s="228"/>
      <c r="CF768" s="228"/>
      <c r="CG768" s="228"/>
      <c r="CH768" s="228"/>
      <c r="CI768" s="228"/>
      <c r="CJ768" s="228"/>
      <c r="CK768" s="228"/>
      <c r="CL768" s="228"/>
      <c r="CM768" s="228"/>
      <c r="CN768" s="228"/>
      <c r="CO768" s="228"/>
      <c r="CP768" s="228"/>
      <c r="CQ768" s="228"/>
      <c r="CR768" s="228"/>
      <c r="CS768" s="228"/>
      <c r="CT768" s="228"/>
      <c r="CU768" s="228"/>
      <c r="CV768" s="228"/>
      <c r="CW768" s="228"/>
      <c r="CX768" s="228"/>
      <c r="CY768" s="228"/>
      <c r="CZ768" s="228"/>
      <c r="DA768" s="228"/>
      <c r="DB768" s="228"/>
    </row>
    <row r="769" ht="12.0" customHeight="1">
      <c r="A769" s="228"/>
      <c r="B769" s="228"/>
      <c r="C769" s="228"/>
      <c r="D769" s="228"/>
      <c r="E769" s="228"/>
      <c r="F769" s="228"/>
      <c r="G769" s="228"/>
      <c r="H769" s="228"/>
      <c r="I769" s="228"/>
      <c r="J769" s="228"/>
      <c r="K769" s="228"/>
      <c r="L769" s="228"/>
      <c r="M769" s="228"/>
      <c r="N769" s="228"/>
      <c r="O769" s="228"/>
      <c r="P769" s="228"/>
      <c r="Q769" s="228"/>
      <c r="R769" s="228"/>
      <c r="S769" s="228"/>
      <c r="T769" s="228"/>
      <c r="U769" s="228"/>
      <c r="V769" s="228"/>
      <c r="W769" s="228"/>
      <c r="X769" s="228"/>
      <c r="Y769" s="228"/>
      <c r="Z769" s="228"/>
      <c r="AA769" s="228"/>
      <c r="AB769" s="228"/>
      <c r="AC769" s="228"/>
      <c r="AD769" s="228"/>
      <c r="AE769" s="228"/>
      <c r="AF769" s="228"/>
      <c r="AG769" s="228"/>
      <c r="AH769" s="228"/>
      <c r="AI769" s="228"/>
      <c r="AJ769" s="228"/>
      <c r="AK769" s="228"/>
      <c r="AL769" s="228"/>
      <c r="AM769" s="228"/>
      <c r="AN769" s="228"/>
      <c r="AO769" s="228"/>
      <c r="AP769" s="228"/>
      <c r="AQ769" s="228"/>
      <c r="AR769" s="228"/>
      <c r="AS769" s="228"/>
      <c r="AT769" s="228"/>
      <c r="AU769" s="228"/>
      <c r="AV769" s="228"/>
      <c r="AW769" s="228"/>
      <c r="AX769" s="228"/>
      <c r="AY769" s="228"/>
      <c r="AZ769" s="228"/>
      <c r="BA769" s="228"/>
      <c r="BB769" s="228"/>
      <c r="BC769" s="228"/>
      <c r="BD769" s="228"/>
      <c r="BE769" s="228"/>
      <c r="BF769" s="228"/>
      <c r="BG769" s="228"/>
      <c r="BH769" s="228"/>
      <c r="BI769" s="228"/>
      <c r="BJ769" s="228"/>
      <c r="BK769" s="228"/>
      <c r="BL769" s="228"/>
      <c r="BM769" s="228"/>
      <c r="BN769" s="228"/>
      <c r="BO769" s="228"/>
      <c r="BP769" s="228"/>
      <c r="BQ769" s="228"/>
      <c r="BR769" s="228"/>
      <c r="BS769" s="228"/>
      <c r="BT769" s="228"/>
      <c r="BU769" s="228"/>
      <c r="BV769" s="228"/>
      <c r="BW769" s="228"/>
      <c r="BX769" s="228"/>
      <c r="BY769" s="228"/>
      <c r="BZ769" s="228"/>
      <c r="CA769" s="228"/>
      <c r="CB769" s="228"/>
      <c r="CC769" s="228"/>
      <c r="CD769" s="228"/>
      <c r="CE769" s="228"/>
      <c r="CF769" s="228"/>
      <c r="CG769" s="228"/>
      <c r="CH769" s="228"/>
      <c r="CI769" s="228"/>
      <c r="CJ769" s="228"/>
      <c r="CK769" s="228"/>
      <c r="CL769" s="228"/>
      <c r="CM769" s="228"/>
      <c r="CN769" s="228"/>
      <c r="CO769" s="228"/>
      <c r="CP769" s="228"/>
      <c r="CQ769" s="228"/>
      <c r="CR769" s="228"/>
      <c r="CS769" s="228"/>
      <c r="CT769" s="228"/>
      <c r="CU769" s="228"/>
      <c r="CV769" s="228"/>
      <c r="CW769" s="228"/>
      <c r="CX769" s="228"/>
      <c r="CY769" s="228"/>
      <c r="CZ769" s="228"/>
      <c r="DA769" s="228"/>
      <c r="DB769" s="228"/>
    </row>
    <row r="770" ht="12.0" customHeight="1">
      <c r="A770" s="228"/>
      <c r="B770" s="228"/>
      <c r="C770" s="228"/>
      <c r="D770" s="228"/>
      <c r="E770" s="228"/>
      <c r="F770" s="228"/>
      <c r="G770" s="228"/>
      <c r="H770" s="228"/>
      <c r="I770" s="228"/>
      <c r="J770" s="228"/>
      <c r="K770" s="228"/>
      <c r="L770" s="228"/>
      <c r="M770" s="228"/>
      <c r="N770" s="228"/>
      <c r="O770" s="228"/>
      <c r="P770" s="228"/>
      <c r="Q770" s="228"/>
      <c r="R770" s="228"/>
      <c r="S770" s="228"/>
      <c r="T770" s="228"/>
      <c r="U770" s="228"/>
      <c r="V770" s="228"/>
      <c r="W770" s="228"/>
      <c r="X770" s="228"/>
      <c r="Y770" s="228"/>
      <c r="Z770" s="228"/>
      <c r="AA770" s="228"/>
      <c r="AB770" s="228"/>
      <c r="AC770" s="228"/>
      <c r="AD770" s="228"/>
      <c r="AE770" s="228"/>
      <c r="AF770" s="228"/>
      <c r="AG770" s="228"/>
      <c r="AH770" s="228"/>
      <c r="AI770" s="228"/>
      <c r="AJ770" s="228"/>
      <c r="AK770" s="228"/>
      <c r="AL770" s="228"/>
      <c r="AM770" s="228"/>
      <c r="AN770" s="228"/>
      <c r="AO770" s="228"/>
      <c r="AP770" s="228"/>
      <c r="AQ770" s="228"/>
      <c r="AR770" s="228"/>
      <c r="AS770" s="228"/>
      <c r="AT770" s="228"/>
      <c r="AU770" s="228"/>
      <c r="AV770" s="228"/>
      <c r="AW770" s="228"/>
      <c r="AX770" s="228"/>
      <c r="AY770" s="228"/>
      <c r="AZ770" s="228"/>
      <c r="BA770" s="228"/>
      <c r="BB770" s="228"/>
      <c r="BC770" s="228"/>
      <c r="BD770" s="228"/>
      <c r="BE770" s="228"/>
      <c r="BF770" s="228"/>
      <c r="BG770" s="228"/>
      <c r="BH770" s="228"/>
      <c r="BI770" s="228"/>
      <c r="BJ770" s="228"/>
      <c r="BK770" s="228"/>
      <c r="BL770" s="228"/>
      <c r="BM770" s="228"/>
      <c r="BN770" s="228"/>
      <c r="BO770" s="228"/>
      <c r="BP770" s="228"/>
      <c r="BQ770" s="228"/>
      <c r="BR770" s="228"/>
      <c r="BS770" s="228"/>
      <c r="BT770" s="228"/>
      <c r="BU770" s="228"/>
      <c r="BV770" s="228"/>
      <c r="BW770" s="228"/>
      <c r="BX770" s="228"/>
      <c r="BY770" s="228"/>
      <c r="BZ770" s="228"/>
      <c r="CA770" s="228"/>
      <c r="CB770" s="228"/>
      <c r="CC770" s="228"/>
      <c r="CD770" s="228"/>
      <c r="CE770" s="228"/>
      <c r="CF770" s="228"/>
      <c r="CG770" s="228"/>
      <c r="CH770" s="228"/>
      <c r="CI770" s="228"/>
      <c r="CJ770" s="228"/>
      <c r="CK770" s="228"/>
      <c r="CL770" s="228"/>
      <c r="CM770" s="228"/>
      <c r="CN770" s="228"/>
      <c r="CO770" s="228"/>
      <c r="CP770" s="228"/>
      <c r="CQ770" s="228"/>
      <c r="CR770" s="228"/>
      <c r="CS770" s="228"/>
      <c r="CT770" s="228"/>
      <c r="CU770" s="228"/>
      <c r="CV770" s="228"/>
      <c r="CW770" s="228"/>
      <c r="CX770" s="228"/>
      <c r="CY770" s="228"/>
      <c r="CZ770" s="228"/>
      <c r="DA770" s="228"/>
      <c r="DB770" s="228"/>
    </row>
    <row r="771" ht="12.0" customHeight="1">
      <c r="A771" s="228"/>
      <c r="B771" s="228"/>
      <c r="C771" s="228"/>
      <c r="D771" s="228"/>
      <c r="E771" s="228"/>
      <c r="F771" s="228"/>
      <c r="G771" s="228"/>
      <c r="H771" s="228"/>
      <c r="I771" s="228"/>
      <c r="J771" s="228"/>
      <c r="K771" s="228"/>
      <c r="L771" s="228"/>
      <c r="M771" s="228"/>
      <c r="N771" s="228"/>
      <c r="O771" s="228"/>
      <c r="P771" s="228"/>
      <c r="Q771" s="228"/>
      <c r="R771" s="228"/>
      <c r="S771" s="228"/>
      <c r="T771" s="228"/>
      <c r="U771" s="228"/>
      <c r="V771" s="228"/>
      <c r="W771" s="228"/>
      <c r="X771" s="228"/>
      <c r="Y771" s="228"/>
      <c r="Z771" s="228"/>
      <c r="AA771" s="228"/>
      <c r="AB771" s="228"/>
      <c r="AC771" s="228"/>
      <c r="AD771" s="228"/>
      <c r="AE771" s="228"/>
      <c r="AF771" s="228"/>
      <c r="AG771" s="228"/>
      <c r="AH771" s="228"/>
      <c r="AI771" s="228"/>
      <c r="AJ771" s="228"/>
      <c r="AK771" s="228"/>
      <c r="AL771" s="228"/>
      <c r="AM771" s="228"/>
      <c r="AN771" s="228"/>
      <c r="AO771" s="228"/>
      <c r="AP771" s="228"/>
      <c r="AQ771" s="228"/>
      <c r="AR771" s="228"/>
      <c r="AS771" s="228"/>
      <c r="AT771" s="228"/>
      <c r="AU771" s="228"/>
      <c r="AV771" s="228"/>
      <c r="AW771" s="228"/>
      <c r="AX771" s="228"/>
      <c r="AY771" s="228"/>
      <c r="AZ771" s="228"/>
      <c r="BA771" s="228"/>
      <c r="BB771" s="228"/>
      <c r="BC771" s="228"/>
      <c r="BD771" s="228"/>
      <c r="BE771" s="228"/>
      <c r="BF771" s="228"/>
      <c r="BG771" s="228"/>
      <c r="BH771" s="228"/>
      <c r="BI771" s="228"/>
      <c r="BJ771" s="228"/>
      <c r="BK771" s="228"/>
      <c r="BL771" s="228"/>
      <c r="BM771" s="228"/>
      <c r="BN771" s="228"/>
      <c r="BO771" s="228"/>
      <c r="BP771" s="228"/>
      <c r="BQ771" s="228"/>
      <c r="BR771" s="228"/>
      <c r="BS771" s="228"/>
      <c r="BT771" s="228"/>
      <c r="BU771" s="228"/>
      <c r="BV771" s="228"/>
      <c r="BW771" s="228"/>
      <c r="BX771" s="228"/>
      <c r="BY771" s="228"/>
      <c r="BZ771" s="228"/>
      <c r="CA771" s="228"/>
      <c r="CB771" s="228"/>
      <c r="CC771" s="228"/>
      <c r="CD771" s="228"/>
      <c r="CE771" s="228"/>
      <c r="CF771" s="228"/>
      <c r="CG771" s="228"/>
      <c r="CH771" s="228"/>
      <c r="CI771" s="228"/>
      <c r="CJ771" s="228"/>
      <c r="CK771" s="228"/>
      <c r="CL771" s="228"/>
      <c r="CM771" s="228"/>
      <c r="CN771" s="228"/>
      <c r="CO771" s="228"/>
      <c r="CP771" s="228"/>
      <c r="CQ771" s="228"/>
      <c r="CR771" s="228"/>
      <c r="CS771" s="228"/>
      <c r="CT771" s="228"/>
      <c r="CU771" s="228"/>
      <c r="CV771" s="228"/>
      <c r="CW771" s="228"/>
      <c r="CX771" s="228"/>
      <c r="CY771" s="228"/>
      <c r="CZ771" s="228"/>
      <c r="DA771" s="228"/>
      <c r="DB771" s="228"/>
    </row>
    <row r="772" ht="12.0" customHeight="1">
      <c r="A772" s="228"/>
      <c r="B772" s="228"/>
      <c r="C772" s="228"/>
      <c r="D772" s="228"/>
      <c r="E772" s="228"/>
      <c r="F772" s="228"/>
      <c r="G772" s="228"/>
      <c r="H772" s="228"/>
      <c r="I772" s="228"/>
      <c r="J772" s="228"/>
      <c r="K772" s="228"/>
      <c r="L772" s="228"/>
      <c r="M772" s="228"/>
      <c r="N772" s="228"/>
      <c r="O772" s="228"/>
      <c r="P772" s="228"/>
      <c r="Q772" s="228"/>
      <c r="R772" s="228"/>
      <c r="S772" s="228"/>
      <c r="T772" s="228"/>
      <c r="U772" s="228"/>
      <c r="V772" s="228"/>
      <c r="W772" s="228"/>
      <c r="X772" s="228"/>
      <c r="Y772" s="228"/>
      <c r="Z772" s="228"/>
      <c r="AA772" s="228"/>
      <c r="AB772" s="228"/>
      <c r="AC772" s="228"/>
      <c r="AD772" s="228"/>
      <c r="AE772" s="228"/>
      <c r="AF772" s="228"/>
      <c r="AG772" s="228"/>
      <c r="AH772" s="228"/>
      <c r="AI772" s="228"/>
      <c r="AJ772" s="228"/>
      <c r="AK772" s="228"/>
      <c r="AL772" s="228"/>
      <c r="AM772" s="228"/>
      <c r="AN772" s="228"/>
      <c r="AO772" s="228"/>
      <c r="AP772" s="228"/>
      <c r="AQ772" s="228"/>
      <c r="AR772" s="228"/>
      <c r="AS772" s="228"/>
      <c r="AT772" s="228"/>
      <c r="AU772" s="228"/>
      <c r="AV772" s="228"/>
      <c r="AW772" s="228"/>
      <c r="AX772" s="228"/>
      <c r="AY772" s="228"/>
      <c r="AZ772" s="228"/>
      <c r="BA772" s="228"/>
      <c r="BB772" s="228"/>
      <c r="BC772" s="228"/>
      <c r="BD772" s="228"/>
      <c r="BE772" s="228"/>
      <c r="BF772" s="228"/>
      <c r="BG772" s="228"/>
      <c r="BH772" s="228"/>
      <c r="BI772" s="228"/>
      <c r="BJ772" s="228"/>
      <c r="BK772" s="228"/>
      <c r="BL772" s="228"/>
      <c r="BM772" s="228"/>
      <c r="BN772" s="228"/>
      <c r="BO772" s="228"/>
      <c r="BP772" s="228"/>
      <c r="BQ772" s="228"/>
      <c r="BR772" s="228"/>
      <c r="BS772" s="228"/>
      <c r="BT772" s="228"/>
      <c r="BU772" s="228"/>
      <c r="BV772" s="228"/>
      <c r="BW772" s="228"/>
      <c r="BX772" s="228"/>
      <c r="BY772" s="228"/>
      <c r="BZ772" s="228"/>
      <c r="CA772" s="228"/>
      <c r="CB772" s="228"/>
      <c r="CC772" s="228"/>
      <c r="CD772" s="228"/>
      <c r="CE772" s="228"/>
      <c r="CF772" s="228"/>
      <c r="CG772" s="228"/>
      <c r="CH772" s="228"/>
      <c r="CI772" s="228"/>
      <c r="CJ772" s="228"/>
      <c r="CK772" s="228"/>
      <c r="CL772" s="228"/>
      <c r="CM772" s="228"/>
      <c r="CN772" s="228"/>
      <c r="CO772" s="228"/>
      <c r="CP772" s="228"/>
      <c r="CQ772" s="228"/>
      <c r="CR772" s="228"/>
      <c r="CS772" s="228"/>
      <c r="CT772" s="228"/>
      <c r="CU772" s="228"/>
      <c r="CV772" s="228"/>
      <c r="CW772" s="228"/>
      <c r="CX772" s="228"/>
      <c r="CY772" s="228"/>
      <c r="CZ772" s="228"/>
      <c r="DA772" s="228"/>
      <c r="DB772" s="228"/>
    </row>
    <row r="773" ht="12.0" customHeight="1">
      <c r="A773" s="228"/>
      <c r="B773" s="228"/>
      <c r="C773" s="228"/>
      <c r="D773" s="228"/>
      <c r="E773" s="228"/>
      <c r="F773" s="228"/>
      <c r="G773" s="228"/>
      <c r="H773" s="228"/>
      <c r="I773" s="228"/>
      <c r="J773" s="228"/>
      <c r="K773" s="228"/>
      <c r="L773" s="228"/>
      <c r="M773" s="228"/>
      <c r="N773" s="228"/>
      <c r="O773" s="228"/>
      <c r="P773" s="228"/>
      <c r="Q773" s="228"/>
      <c r="R773" s="228"/>
      <c r="S773" s="228"/>
      <c r="T773" s="228"/>
      <c r="U773" s="228"/>
      <c r="V773" s="228"/>
      <c r="W773" s="228"/>
      <c r="X773" s="228"/>
      <c r="Y773" s="228"/>
      <c r="Z773" s="228"/>
      <c r="AA773" s="228"/>
      <c r="AB773" s="228"/>
      <c r="AC773" s="228"/>
      <c r="AD773" s="228"/>
      <c r="AE773" s="228"/>
      <c r="AF773" s="228"/>
      <c r="AG773" s="228"/>
      <c r="AH773" s="228"/>
      <c r="AI773" s="228"/>
      <c r="AJ773" s="228"/>
      <c r="AK773" s="228"/>
      <c r="AL773" s="228"/>
      <c r="AM773" s="228"/>
      <c r="AN773" s="228"/>
      <c r="AO773" s="228"/>
      <c r="AP773" s="228"/>
      <c r="AQ773" s="228"/>
      <c r="AR773" s="228"/>
      <c r="AS773" s="228"/>
      <c r="AT773" s="228"/>
      <c r="AU773" s="228"/>
      <c r="AV773" s="228"/>
      <c r="AW773" s="228"/>
      <c r="AX773" s="228"/>
      <c r="AY773" s="228"/>
      <c r="AZ773" s="228"/>
      <c r="BA773" s="228"/>
      <c r="BB773" s="228"/>
      <c r="BC773" s="228"/>
      <c r="BD773" s="228"/>
      <c r="BE773" s="228"/>
      <c r="BF773" s="228"/>
      <c r="BG773" s="228"/>
      <c r="BH773" s="228"/>
      <c r="BI773" s="228"/>
      <c r="BJ773" s="228"/>
      <c r="BK773" s="228"/>
      <c r="BL773" s="228"/>
      <c r="BM773" s="228"/>
      <c r="BN773" s="228"/>
      <c r="BO773" s="228"/>
      <c r="BP773" s="228"/>
      <c r="BQ773" s="228"/>
      <c r="BR773" s="228"/>
      <c r="BS773" s="228"/>
      <c r="BT773" s="228"/>
      <c r="BU773" s="228"/>
      <c r="BV773" s="228"/>
      <c r="BW773" s="228"/>
      <c r="BX773" s="228"/>
      <c r="BY773" s="228"/>
      <c r="BZ773" s="228"/>
      <c r="CA773" s="228"/>
      <c r="CB773" s="228"/>
      <c r="CC773" s="228"/>
      <c r="CD773" s="228"/>
      <c r="CE773" s="228"/>
      <c r="CF773" s="228"/>
      <c r="CG773" s="228"/>
      <c r="CH773" s="228"/>
      <c r="CI773" s="228"/>
      <c r="CJ773" s="228"/>
      <c r="CK773" s="228"/>
      <c r="CL773" s="228"/>
      <c r="CM773" s="228"/>
      <c r="CN773" s="228"/>
      <c r="CO773" s="228"/>
      <c r="CP773" s="228"/>
      <c r="CQ773" s="228"/>
      <c r="CR773" s="228"/>
      <c r="CS773" s="228"/>
      <c r="CT773" s="228"/>
      <c r="CU773" s="228"/>
      <c r="CV773" s="228"/>
      <c r="CW773" s="228"/>
      <c r="CX773" s="228"/>
      <c r="CY773" s="228"/>
      <c r="CZ773" s="228"/>
      <c r="DA773" s="228"/>
      <c r="DB773" s="228"/>
    </row>
    <row r="774" ht="12.0" customHeight="1">
      <c r="A774" s="228"/>
      <c r="B774" s="228"/>
      <c r="C774" s="228"/>
      <c r="D774" s="228"/>
      <c r="E774" s="228"/>
      <c r="F774" s="228"/>
      <c r="G774" s="228"/>
      <c r="H774" s="228"/>
      <c r="I774" s="228"/>
      <c r="J774" s="228"/>
      <c r="K774" s="228"/>
      <c r="L774" s="228"/>
      <c r="M774" s="228"/>
      <c r="N774" s="228"/>
      <c r="O774" s="228"/>
      <c r="P774" s="228"/>
      <c r="Q774" s="228"/>
      <c r="R774" s="228"/>
      <c r="S774" s="228"/>
      <c r="T774" s="228"/>
      <c r="U774" s="228"/>
      <c r="V774" s="228"/>
      <c r="W774" s="228"/>
      <c r="X774" s="228"/>
      <c r="Y774" s="228"/>
      <c r="Z774" s="228"/>
      <c r="AA774" s="228"/>
      <c r="AB774" s="228"/>
      <c r="AC774" s="228"/>
      <c r="AD774" s="228"/>
      <c r="AE774" s="228"/>
      <c r="AF774" s="228"/>
      <c r="AG774" s="228"/>
      <c r="AH774" s="228"/>
      <c r="AI774" s="228"/>
      <c r="AJ774" s="228"/>
      <c r="AK774" s="228"/>
      <c r="AL774" s="228"/>
      <c r="AM774" s="228"/>
      <c r="AN774" s="228"/>
      <c r="AO774" s="228"/>
      <c r="AP774" s="228"/>
      <c r="AQ774" s="228"/>
      <c r="AR774" s="228"/>
      <c r="AS774" s="228"/>
      <c r="AT774" s="228"/>
      <c r="AU774" s="228"/>
      <c r="AV774" s="228"/>
      <c r="AW774" s="228"/>
      <c r="AX774" s="228"/>
      <c r="AY774" s="228"/>
      <c r="AZ774" s="228"/>
      <c r="BA774" s="228"/>
      <c r="BB774" s="228"/>
      <c r="BC774" s="228"/>
      <c r="BD774" s="228"/>
      <c r="BE774" s="228"/>
      <c r="BF774" s="228"/>
      <c r="BG774" s="228"/>
      <c r="BH774" s="228"/>
      <c r="BI774" s="228"/>
      <c r="BJ774" s="228"/>
      <c r="BK774" s="228"/>
      <c r="BL774" s="228"/>
      <c r="BM774" s="228"/>
      <c r="BN774" s="228"/>
      <c r="BO774" s="228"/>
      <c r="BP774" s="228"/>
      <c r="BQ774" s="228"/>
      <c r="BR774" s="228"/>
      <c r="BS774" s="228"/>
      <c r="BT774" s="228"/>
      <c r="BU774" s="228"/>
      <c r="BV774" s="228"/>
      <c r="BW774" s="228"/>
      <c r="BX774" s="228"/>
      <c r="BY774" s="228"/>
      <c r="BZ774" s="228"/>
      <c r="CA774" s="228"/>
      <c r="CB774" s="228"/>
      <c r="CC774" s="228"/>
      <c r="CD774" s="228"/>
      <c r="CE774" s="228"/>
      <c r="CF774" s="228"/>
      <c r="CG774" s="228"/>
      <c r="CH774" s="228"/>
      <c r="CI774" s="228"/>
      <c r="CJ774" s="228"/>
      <c r="CK774" s="228"/>
      <c r="CL774" s="228"/>
      <c r="CM774" s="228"/>
      <c r="CN774" s="228"/>
      <c r="CO774" s="228"/>
      <c r="CP774" s="228"/>
      <c r="CQ774" s="228"/>
      <c r="CR774" s="228"/>
      <c r="CS774" s="228"/>
      <c r="CT774" s="228"/>
      <c r="CU774" s="228"/>
      <c r="CV774" s="228"/>
      <c r="CW774" s="228"/>
      <c r="CX774" s="228"/>
      <c r="CY774" s="228"/>
      <c r="CZ774" s="228"/>
      <c r="DA774" s="228"/>
      <c r="DB774" s="228"/>
    </row>
    <row r="775" ht="12.0" customHeight="1">
      <c r="A775" s="228"/>
      <c r="B775" s="228"/>
      <c r="C775" s="228"/>
      <c r="D775" s="228"/>
      <c r="E775" s="228"/>
      <c r="F775" s="228"/>
      <c r="G775" s="228"/>
      <c r="H775" s="228"/>
      <c r="I775" s="228"/>
      <c r="J775" s="228"/>
      <c r="K775" s="228"/>
      <c r="L775" s="228"/>
      <c r="M775" s="228"/>
      <c r="N775" s="228"/>
      <c r="O775" s="228"/>
      <c r="P775" s="228"/>
      <c r="Q775" s="228"/>
      <c r="R775" s="228"/>
      <c r="S775" s="228"/>
      <c r="T775" s="228"/>
      <c r="U775" s="228"/>
      <c r="V775" s="228"/>
      <c r="W775" s="228"/>
      <c r="X775" s="228"/>
      <c r="Y775" s="228"/>
      <c r="Z775" s="228"/>
      <c r="AA775" s="228"/>
      <c r="AB775" s="228"/>
      <c r="AC775" s="228"/>
      <c r="AD775" s="228"/>
      <c r="AE775" s="228"/>
      <c r="AF775" s="228"/>
      <c r="AG775" s="228"/>
      <c r="AH775" s="228"/>
      <c r="AI775" s="228"/>
      <c r="AJ775" s="228"/>
      <c r="AK775" s="228"/>
      <c r="AL775" s="228"/>
      <c r="AM775" s="228"/>
      <c r="AN775" s="228"/>
      <c r="AO775" s="228"/>
      <c r="AP775" s="228"/>
      <c r="AQ775" s="228"/>
      <c r="AR775" s="228"/>
      <c r="AS775" s="228"/>
      <c r="AT775" s="228"/>
      <c r="AU775" s="228"/>
      <c r="AV775" s="228"/>
      <c r="AW775" s="228"/>
      <c r="AX775" s="228"/>
      <c r="AY775" s="228"/>
      <c r="AZ775" s="228"/>
      <c r="BA775" s="228"/>
      <c r="BB775" s="228"/>
      <c r="BC775" s="228"/>
      <c r="BD775" s="228"/>
      <c r="BE775" s="228"/>
      <c r="BF775" s="228"/>
      <c r="BG775" s="228"/>
      <c r="BH775" s="228"/>
      <c r="BI775" s="228"/>
      <c r="BJ775" s="228"/>
      <c r="BK775" s="228"/>
      <c r="BL775" s="228"/>
      <c r="BM775" s="228"/>
      <c r="BN775" s="228"/>
      <c r="BO775" s="228"/>
      <c r="BP775" s="228"/>
      <c r="BQ775" s="228"/>
      <c r="BR775" s="228"/>
      <c r="BS775" s="228"/>
      <c r="BT775" s="228"/>
      <c r="BU775" s="228"/>
      <c r="BV775" s="228"/>
      <c r="BW775" s="228"/>
      <c r="BX775" s="228"/>
      <c r="BY775" s="228"/>
      <c r="BZ775" s="228"/>
      <c r="CA775" s="228"/>
      <c r="CB775" s="228"/>
      <c r="CC775" s="228"/>
      <c r="CD775" s="228"/>
      <c r="CE775" s="228"/>
      <c r="CF775" s="228"/>
      <c r="CG775" s="228"/>
      <c r="CH775" s="228"/>
      <c r="CI775" s="228"/>
      <c r="CJ775" s="228"/>
      <c r="CK775" s="228"/>
      <c r="CL775" s="228"/>
      <c r="CM775" s="228"/>
      <c r="CN775" s="228"/>
      <c r="CO775" s="228"/>
      <c r="CP775" s="228"/>
      <c r="CQ775" s="228"/>
      <c r="CR775" s="228"/>
      <c r="CS775" s="228"/>
      <c r="CT775" s="228"/>
      <c r="CU775" s="228"/>
      <c r="CV775" s="228"/>
      <c r="CW775" s="228"/>
      <c r="CX775" s="228"/>
      <c r="CY775" s="228"/>
      <c r="CZ775" s="228"/>
      <c r="DA775" s="228"/>
      <c r="DB775" s="228"/>
    </row>
    <row r="776" ht="12.0" customHeight="1">
      <c r="A776" s="228"/>
      <c r="B776" s="228"/>
      <c r="C776" s="228"/>
      <c r="D776" s="228"/>
      <c r="E776" s="228"/>
      <c r="F776" s="228"/>
      <c r="G776" s="228"/>
      <c r="H776" s="228"/>
      <c r="I776" s="228"/>
      <c r="J776" s="228"/>
      <c r="K776" s="228"/>
      <c r="L776" s="228"/>
      <c r="M776" s="228"/>
      <c r="N776" s="228"/>
      <c r="O776" s="228"/>
      <c r="P776" s="228"/>
      <c r="Q776" s="228"/>
      <c r="R776" s="228"/>
      <c r="S776" s="228"/>
      <c r="T776" s="228"/>
      <c r="U776" s="228"/>
      <c r="V776" s="228"/>
      <c r="W776" s="228"/>
      <c r="X776" s="228"/>
      <c r="Y776" s="228"/>
      <c r="Z776" s="228"/>
      <c r="AA776" s="228"/>
      <c r="AB776" s="228"/>
      <c r="AC776" s="228"/>
      <c r="AD776" s="228"/>
      <c r="AE776" s="228"/>
      <c r="AF776" s="228"/>
      <c r="AG776" s="228"/>
      <c r="AH776" s="228"/>
      <c r="AI776" s="228"/>
      <c r="AJ776" s="228"/>
      <c r="AK776" s="228"/>
      <c r="AL776" s="228"/>
      <c r="AM776" s="228"/>
      <c r="AN776" s="228"/>
      <c r="AO776" s="228"/>
      <c r="AP776" s="228"/>
      <c r="AQ776" s="228"/>
      <c r="AR776" s="228"/>
      <c r="AS776" s="228"/>
      <c r="AT776" s="228"/>
      <c r="AU776" s="228"/>
      <c r="AV776" s="228"/>
      <c r="AW776" s="228"/>
      <c r="AX776" s="228"/>
      <c r="AY776" s="228"/>
      <c r="AZ776" s="228"/>
      <c r="BA776" s="228"/>
      <c r="BB776" s="228"/>
      <c r="BC776" s="228"/>
      <c r="BD776" s="228"/>
      <c r="BE776" s="228"/>
      <c r="BF776" s="228"/>
      <c r="BG776" s="228"/>
      <c r="BH776" s="228"/>
      <c r="BI776" s="228"/>
      <c r="BJ776" s="228"/>
      <c r="BK776" s="228"/>
      <c r="BL776" s="228"/>
      <c r="BM776" s="228"/>
      <c r="BN776" s="228"/>
      <c r="BO776" s="228"/>
      <c r="BP776" s="228"/>
      <c r="BQ776" s="228"/>
      <c r="BR776" s="228"/>
      <c r="BS776" s="228"/>
      <c r="BT776" s="228"/>
      <c r="BU776" s="228"/>
      <c r="BV776" s="228"/>
      <c r="BW776" s="228"/>
      <c r="BX776" s="228"/>
      <c r="BY776" s="228"/>
      <c r="BZ776" s="228"/>
      <c r="CA776" s="228"/>
      <c r="CB776" s="228"/>
      <c r="CC776" s="228"/>
      <c r="CD776" s="228"/>
      <c r="CE776" s="228"/>
      <c r="CF776" s="228"/>
      <c r="CG776" s="228"/>
      <c r="CH776" s="228"/>
      <c r="CI776" s="228"/>
      <c r="CJ776" s="228"/>
      <c r="CK776" s="228"/>
      <c r="CL776" s="228"/>
      <c r="CM776" s="228"/>
      <c r="CN776" s="228"/>
      <c r="CO776" s="228"/>
      <c r="CP776" s="228"/>
      <c r="CQ776" s="228"/>
      <c r="CR776" s="228"/>
      <c r="CS776" s="228"/>
      <c r="CT776" s="228"/>
      <c r="CU776" s="228"/>
      <c r="CV776" s="228"/>
      <c r="CW776" s="228"/>
      <c r="CX776" s="228"/>
      <c r="CY776" s="228"/>
      <c r="CZ776" s="228"/>
      <c r="DA776" s="228"/>
      <c r="DB776" s="228"/>
    </row>
    <row r="777" ht="12.0" customHeight="1">
      <c r="A777" s="228"/>
      <c r="B777" s="228"/>
      <c r="C777" s="228"/>
      <c r="D777" s="228"/>
      <c r="E777" s="228"/>
      <c r="F777" s="228"/>
      <c r="G777" s="228"/>
      <c r="H777" s="228"/>
      <c r="I777" s="228"/>
      <c r="J777" s="228"/>
      <c r="K777" s="228"/>
      <c r="L777" s="228"/>
      <c r="M777" s="228"/>
      <c r="N777" s="228"/>
      <c r="O777" s="228"/>
      <c r="P777" s="228"/>
      <c r="Q777" s="228"/>
      <c r="R777" s="228"/>
      <c r="S777" s="228"/>
      <c r="T777" s="228"/>
      <c r="U777" s="228"/>
      <c r="V777" s="228"/>
      <c r="W777" s="228"/>
      <c r="X777" s="228"/>
      <c r="Y777" s="228"/>
      <c r="Z777" s="228"/>
      <c r="AA777" s="228"/>
      <c r="AB777" s="228"/>
      <c r="AC777" s="228"/>
      <c r="AD777" s="228"/>
      <c r="AE777" s="228"/>
      <c r="AF777" s="228"/>
      <c r="AG777" s="228"/>
      <c r="AH777" s="228"/>
      <c r="AI777" s="228"/>
      <c r="AJ777" s="228"/>
      <c r="AK777" s="228"/>
      <c r="AL777" s="228"/>
      <c r="AM777" s="228"/>
      <c r="AN777" s="228"/>
      <c r="AO777" s="228"/>
      <c r="AP777" s="228"/>
      <c r="AQ777" s="228"/>
      <c r="AR777" s="228"/>
      <c r="AS777" s="228"/>
      <c r="AT777" s="228"/>
      <c r="AU777" s="228"/>
      <c r="AV777" s="228"/>
      <c r="AW777" s="228"/>
      <c r="AX777" s="228"/>
      <c r="AY777" s="228"/>
      <c r="AZ777" s="228"/>
      <c r="BA777" s="228"/>
      <c r="BB777" s="228"/>
      <c r="BC777" s="228"/>
      <c r="BD777" s="228"/>
      <c r="BE777" s="228"/>
      <c r="BF777" s="228"/>
      <c r="BG777" s="228"/>
      <c r="BH777" s="228"/>
      <c r="BI777" s="228"/>
      <c r="BJ777" s="228"/>
      <c r="BK777" s="228"/>
      <c r="BL777" s="228"/>
      <c r="BM777" s="228"/>
      <c r="BN777" s="228"/>
      <c r="BO777" s="228"/>
      <c r="BP777" s="228"/>
      <c r="BQ777" s="228"/>
      <c r="BR777" s="228"/>
      <c r="BS777" s="228"/>
      <c r="BT777" s="228"/>
      <c r="BU777" s="228"/>
      <c r="BV777" s="228"/>
      <c r="BW777" s="228"/>
      <c r="BX777" s="228"/>
      <c r="BY777" s="228"/>
      <c r="BZ777" s="228"/>
      <c r="CA777" s="228"/>
      <c r="CB777" s="228"/>
      <c r="CC777" s="228"/>
      <c r="CD777" s="228"/>
      <c r="CE777" s="228"/>
      <c r="CF777" s="228"/>
      <c r="CG777" s="228"/>
      <c r="CH777" s="228"/>
      <c r="CI777" s="228"/>
      <c r="CJ777" s="228"/>
      <c r="CK777" s="228"/>
      <c r="CL777" s="228"/>
      <c r="CM777" s="228"/>
      <c r="CN777" s="228"/>
      <c r="CO777" s="228"/>
      <c r="CP777" s="228"/>
      <c r="CQ777" s="228"/>
      <c r="CR777" s="228"/>
      <c r="CS777" s="228"/>
      <c r="CT777" s="228"/>
      <c r="CU777" s="228"/>
      <c r="CV777" s="228"/>
      <c r="CW777" s="228"/>
      <c r="CX777" s="228"/>
      <c r="CY777" s="228"/>
      <c r="CZ777" s="228"/>
      <c r="DA777" s="228"/>
      <c r="DB777" s="228"/>
    </row>
    <row r="778" ht="12.0" customHeight="1">
      <c r="A778" s="228"/>
      <c r="B778" s="228"/>
      <c r="C778" s="228"/>
      <c r="D778" s="228"/>
      <c r="E778" s="228"/>
      <c r="F778" s="228"/>
      <c r="G778" s="228"/>
      <c r="H778" s="228"/>
      <c r="I778" s="228"/>
      <c r="J778" s="228"/>
      <c r="K778" s="228"/>
      <c r="L778" s="228"/>
      <c r="M778" s="228"/>
      <c r="N778" s="228"/>
      <c r="O778" s="228"/>
      <c r="P778" s="228"/>
      <c r="Q778" s="228"/>
      <c r="R778" s="228"/>
      <c r="S778" s="228"/>
      <c r="T778" s="228"/>
      <c r="U778" s="228"/>
      <c r="V778" s="228"/>
      <c r="W778" s="228"/>
      <c r="X778" s="228"/>
      <c r="Y778" s="228"/>
      <c r="Z778" s="228"/>
      <c r="AA778" s="228"/>
      <c r="AB778" s="228"/>
      <c r="AC778" s="228"/>
      <c r="AD778" s="228"/>
      <c r="AE778" s="228"/>
      <c r="AF778" s="228"/>
      <c r="AG778" s="228"/>
      <c r="AH778" s="228"/>
      <c r="AI778" s="228"/>
      <c r="AJ778" s="228"/>
      <c r="AK778" s="228"/>
      <c r="AL778" s="228"/>
      <c r="AM778" s="228"/>
      <c r="AN778" s="228"/>
      <c r="AO778" s="228"/>
      <c r="AP778" s="228"/>
      <c r="AQ778" s="228"/>
      <c r="AR778" s="228"/>
      <c r="AS778" s="228"/>
      <c r="AT778" s="228"/>
      <c r="AU778" s="228"/>
      <c r="AV778" s="228"/>
      <c r="AW778" s="228"/>
      <c r="AX778" s="228"/>
      <c r="AY778" s="228"/>
      <c r="AZ778" s="228"/>
      <c r="BA778" s="228"/>
      <c r="BB778" s="228"/>
      <c r="BC778" s="228"/>
      <c r="BD778" s="228"/>
      <c r="BE778" s="228"/>
      <c r="BF778" s="228"/>
      <c r="BG778" s="228"/>
      <c r="BH778" s="228"/>
      <c r="BI778" s="228"/>
      <c r="BJ778" s="228"/>
      <c r="BK778" s="228"/>
      <c r="BL778" s="228"/>
      <c r="BM778" s="228"/>
      <c r="BN778" s="228"/>
      <c r="BO778" s="228"/>
      <c r="BP778" s="228"/>
      <c r="BQ778" s="228"/>
      <c r="BR778" s="228"/>
      <c r="BS778" s="228"/>
      <c r="BT778" s="228"/>
      <c r="BU778" s="228"/>
      <c r="BV778" s="228"/>
      <c r="BW778" s="228"/>
      <c r="BX778" s="228"/>
      <c r="BY778" s="228"/>
      <c r="BZ778" s="228"/>
      <c r="CA778" s="228"/>
      <c r="CB778" s="228"/>
      <c r="CC778" s="228"/>
      <c r="CD778" s="228"/>
      <c r="CE778" s="228"/>
      <c r="CF778" s="228"/>
      <c r="CG778" s="228"/>
      <c r="CH778" s="228"/>
      <c r="CI778" s="228"/>
      <c r="CJ778" s="228"/>
      <c r="CK778" s="228"/>
      <c r="CL778" s="228"/>
      <c r="CM778" s="228"/>
      <c r="CN778" s="228"/>
      <c r="CO778" s="228"/>
      <c r="CP778" s="228"/>
      <c r="CQ778" s="228"/>
      <c r="CR778" s="228"/>
      <c r="CS778" s="228"/>
      <c r="CT778" s="228"/>
      <c r="CU778" s="228"/>
      <c r="CV778" s="228"/>
      <c r="CW778" s="228"/>
      <c r="CX778" s="228"/>
      <c r="CY778" s="228"/>
      <c r="CZ778" s="228"/>
      <c r="DA778" s="228"/>
      <c r="DB778" s="228"/>
    </row>
    <row r="779" ht="12.0" customHeight="1">
      <c r="A779" s="228"/>
      <c r="B779" s="228"/>
      <c r="C779" s="228"/>
      <c r="D779" s="228"/>
      <c r="E779" s="228"/>
      <c r="F779" s="228"/>
      <c r="G779" s="228"/>
      <c r="H779" s="228"/>
      <c r="I779" s="228"/>
      <c r="J779" s="228"/>
      <c r="K779" s="228"/>
      <c r="L779" s="228"/>
      <c r="M779" s="228"/>
      <c r="N779" s="228"/>
      <c r="O779" s="228"/>
      <c r="P779" s="228"/>
      <c r="Q779" s="228"/>
      <c r="R779" s="228"/>
      <c r="S779" s="228"/>
      <c r="T779" s="228"/>
      <c r="U779" s="228"/>
      <c r="V779" s="228"/>
      <c r="W779" s="228"/>
      <c r="X779" s="228"/>
      <c r="Y779" s="228"/>
      <c r="Z779" s="228"/>
      <c r="AA779" s="228"/>
      <c r="AB779" s="228"/>
      <c r="AC779" s="228"/>
      <c r="AD779" s="228"/>
      <c r="AE779" s="228"/>
      <c r="AF779" s="228"/>
      <c r="AG779" s="228"/>
      <c r="AH779" s="228"/>
      <c r="AI779" s="228"/>
      <c r="AJ779" s="228"/>
      <c r="AK779" s="228"/>
      <c r="AL779" s="228"/>
      <c r="AM779" s="228"/>
      <c r="AN779" s="228"/>
      <c r="AO779" s="228"/>
      <c r="AP779" s="228"/>
      <c r="AQ779" s="228"/>
      <c r="AR779" s="228"/>
      <c r="AS779" s="228"/>
      <c r="AT779" s="228"/>
      <c r="AU779" s="228"/>
      <c r="AV779" s="228"/>
      <c r="AW779" s="228"/>
      <c r="AX779" s="228"/>
      <c r="AY779" s="228"/>
      <c r="AZ779" s="228"/>
      <c r="BA779" s="228"/>
      <c r="BB779" s="228"/>
      <c r="BC779" s="228"/>
      <c r="BD779" s="228"/>
      <c r="BE779" s="228"/>
      <c r="BF779" s="228"/>
      <c r="BG779" s="228"/>
      <c r="BH779" s="228"/>
      <c r="BI779" s="228"/>
      <c r="BJ779" s="228"/>
      <c r="BK779" s="228"/>
      <c r="BL779" s="228"/>
      <c r="BM779" s="228"/>
      <c r="BN779" s="228"/>
      <c r="BO779" s="228"/>
      <c r="BP779" s="228"/>
      <c r="BQ779" s="228"/>
      <c r="BR779" s="228"/>
      <c r="BS779" s="228"/>
      <c r="BT779" s="228"/>
      <c r="BU779" s="228"/>
      <c r="BV779" s="228"/>
      <c r="BW779" s="228"/>
      <c r="BX779" s="228"/>
      <c r="BY779" s="228"/>
      <c r="BZ779" s="228"/>
      <c r="CA779" s="228"/>
      <c r="CB779" s="228"/>
      <c r="CC779" s="228"/>
      <c r="CD779" s="228"/>
      <c r="CE779" s="228"/>
      <c r="CF779" s="228"/>
      <c r="CG779" s="228"/>
      <c r="CH779" s="228"/>
      <c r="CI779" s="228"/>
      <c r="CJ779" s="228"/>
      <c r="CK779" s="228"/>
      <c r="CL779" s="228"/>
      <c r="CM779" s="228"/>
      <c r="CN779" s="228"/>
      <c r="CO779" s="228"/>
      <c r="CP779" s="228"/>
      <c r="CQ779" s="228"/>
      <c r="CR779" s="228"/>
      <c r="CS779" s="228"/>
      <c r="CT779" s="228"/>
      <c r="CU779" s="228"/>
      <c r="CV779" s="228"/>
      <c r="CW779" s="228"/>
      <c r="CX779" s="228"/>
      <c r="CY779" s="228"/>
      <c r="CZ779" s="228"/>
      <c r="DA779" s="228"/>
      <c r="DB779" s="228"/>
    </row>
    <row r="780" ht="12.0" customHeight="1">
      <c r="A780" s="228"/>
      <c r="B780" s="228"/>
      <c r="C780" s="228"/>
      <c r="D780" s="228"/>
      <c r="E780" s="228"/>
      <c r="F780" s="228"/>
      <c r="G780" s="228"/>
      <c r="H780" s="228"/>
      <c r="I780" s="228"/>
      <c r="J780" s="228"/>
      <c r="K780" s="228"/>
      <c r="L780" s="228"/>
      <c r="M780" s="228"/>
      <c r="N780" s="228"/>
      <c r="O780" s="228"/>
      <c r="P780" s="228"/>
      <c r="Q780" s="228"/>
      <c r="R780" s="228"/>
      <c r="S780" s="228"/>
      <c r="T780" s="228"/>
      <c r="U780" s="228"/>
      <c r="V780" s="228"/>
      <c r="W780" s="228"/>
      <c r="X780" s="228"/>
      <c r="Y780" s="228"/>
      <c r="Z780" s="228"/>
      <c r="AA780" s="228"/>
      <c r="AB780" s="228"/>
      <c r="AC780" s="228"/>
      <c r="AD780" s="228"/>
      <c r="AE780" s="228"/>
      <c r="AF780" s="228"/>
      <c r="AG780" s="228"/>
      <c r="AH780" s="228"/>
      <c r="AI780" s="228"/>
      <c r="AJ780" s="228"/>
      <c r="AK780" s="228"/>
      <c r="AL780" s="228"/>
      <c r="AM780" s="228"/>
      <c r="AN780" s="228"/>
      <c r="AO780" s="228"/>
      <c r="AP780" s="228"/>
      <c r="AQ780" s="228"/>
      <c r="AR780" s="228"/>
      <c r="AS780" s="228"/>
      <c r="AT780" s="228"/>
      <c r="AU780" s="228"/>
      <c r="AV780" s="228"/>
      <c r="AW780" s="228"/>
      <c r="AX780" s="228"/>
      <c r="AY780" s="228"/>
      <c r="AZ780" s="228"/>
      <c r="BA780" s="228"/>
      <c r="BB780" s="228"/>
      <c r="BC780" s="228"/>
      <c r="BD780" s="228"/>
      <c r="BE780" s="228"/>
      <c r="BF780" s="228"/>
      <c r="BG780" s="228"/>
      <c r="BH780" s="228"/>
      <c r="BI780" s="228"/>
      <c r="BJ780" s="228"/>
      <c r="BK780" s="228"/>
      <c r="BL780" s="228"/>
      <c r="BM780" s="228"/>
      <c r="BN780" s="228"/>
      <c r="BO780" s="228"/>
      <c r="BP780" s="228"/>
      <c r="BQ780" s="228"/>
      <c r="BR780" s="228"/>
      <c r="BS780" s="228"/>
      <c r="BT780" s="228"/>
      <c r="BU780" s="228"/>
      <c r="BV780" s="228"/>
      <c r="BW780" s="228"/>
      <c r="BX780" s="228"/>
      <c r="BY780" s="228"/>
      <c r="BZ780" s="228"/>
      <c r="CA780" s="228"/>
      <c r="CB780" s="228"/>
      <c r="CC780" s="228"/>
      <c r="CD780" s="228"/>
      <c r="CE780" s="228"/>
      <c r="CF780" s="228"/>
      <c r="CG780" s="228"/>
      <c r="CH780" s="228"/>
      <c r="CI780" s="228"/>
      <c r="CJ780" s="228"/>
      <c r="CK780" s="228"/>
      <c r="CL780" s="228"/>
      <c r="CM780" s="228"/>
      <c r="CN780" s="228"/>
      <c r="CO780" s="228"/>
      <c r="CP780" s="228"/>
      <c r="CQ780" s="228"/>
      <c r="CR780" s="228"/>
      <c r="CS780" s="228"/>
      <c r="CT780" s="228"/>
      <c r="CU780" s="228"/>
      <c r="CV780" s="228"/>
      <c r="CW780" s="228"/>
      <c r="CX780" s="228"/>
      <c r="CY780" s="228"/>
      <c r="CZ780" s="228"/>
      <c r="DA780" s="228"/>
      <c r="DB780" s="228"/>
    </row>
    <row r="781" ht="12.0" customHeight="1">
      <c r="A781" s="228"/>
      <c r="B781" s="228"/>
      <c r="C781" s="228"/>
      <c r="D781" s="228"/>
      <c r="E781" s="228"/>
      <c r="F781" s="228"/>
      <c r="G781" s="228"/>
      <c r="H781" s="228"/>
      <c r="I781" s="228"/>
      <c r="J781" s="228"/>
      <c r="K781" s="228"/>
      <c r="L781" s="228"/>
      <c r="M781" s="228"/>
      <c r="N781" s="228"/>
      <c r="O781" s="228"/>
      <c r="P781" s="228"/>
      <c r="Q781" s="228"/>
      <c r="R781" s="228"/>
      <c r="S781" s="228"/>
      <c r="T781" s="228"/>
      <c r="U781" s="228"/>
      <c r="V781" s="228"/>
      <c r="W781" s="228"/>
      <c r="X781" s="228"/>
      <c r="Y781" s="228"/>
      <c r="Z781" s="228"/>
      <c r="AA781" s="228"/>
      <c r="AB781" s="228"/>
      <c r="AC781" s="228"/>
      <c r="AD781" s="228"/>
      <c r="AE781" s="228"/>
      <c r="AF781" s="228"/>
      <c r="AG781" s="228"/>
      <c r="AH781" s="228"/>
      <c r="AI781" s="228"/>
      <c r="AJ781" s="228"/>
      <c r="AK781" s="228"/>
      <c r="AL781" s="228"/>
      <c r="AM781" s="228"/>
      <c r="AN781" s="228"/>
      <c r="AO781" s="228"/>
      <c r="AP781" s="228"/>
      <c r="AQ781" s="228"/>
      <c r="AR781" s="228"/>
      <c r="AS781" s="228"/>
      <c r="AT781" s="228"/>
      <c r="AU781" s="228"/>
      <c r="AV781" s="228"/>
      <c r="AW781" s="228"/>
      <c r="AX781" s="228"/>
      <c r="AY781" s="228"/>
      <c r="AZ781" s="228"/>
      <c r="BA781" s="228"/>
      <c r="BB781" s="228"/>
      <c r="BC781" s="228"/>
      <c r="BD781" s="228"/>
      <c r="BE781" s="228"/>
      <c r="BF781" s="228"/>
      <c r="BG781" s="228"/>
      <c r="BH781" s="228"/>
      <c r="BI781" s="228"/>
      <c r="BJ781" s="228"/>
      <c r="BK781" s="228"/>
      <c r="BL781" s="228"/>
      <c r="BM781" s="228"/>
      <c r="BN781" s="228"/>
      <c r="BO781" s="228"/>
      <c r="BP781" s="228"/>
      <c r="BQ781" s="228"/>
      <c r="BR781" s="228"/>
      <c r="BS781" s="228"/>
      <c r="BT781" s="228"/>
      <c r="BU781" s="228"/>
      <c r="BV781" s="228"/>
      <c r="BW781" s="228"/>
      <c r="BX781" s="228"/>
      <c r="BY781" s="228"/>
      <c r="BZ781" s="228"/>
      <c r="CA781" s="228"/>
      <c r="CB781" s="228"/>
      <c r="CC781" s="228"/>
      <c r="CD781" s="228"/>
      <c r="CE781" s="228"/>
      <c r="CF781" s="228"/>
      <c r="CG781" s="228"/>
      <c r="CH781" s="228"/>
      <c r="CI781" s="228"/>
      <c r="CJ781" s="228"/>
      <c r="CK781" s="228"/>
      <c r="CL781" s="228"/>
      <c r="CM781" s="228"/>
      <c r="CN781" s="228"/>
      <c r="CO781" s="228"/>
      <c r="CP781" s="228"/>
      <c r="CQ781" s="228"/>
      <c r="CR781" s="228"/>
      <c r="CS781" s="228"/>
      <c r="CT781" s="228"/>
      <c r="CU781" s="228"/>
      <c r="CV781" s="228"/>
      <c r="CW781" s="228"/>
      <c r="CX781" s="228"/>
      <c r="CY781" s="228"/>
      <c r="CZ781" s="228"/>
      <c r="DA781" s="228"/>
      <c r="DB781" s="228"/>
    </row>
    <row r="782" ht="12.0" customHeight="1">
      <c r="A782" s="228"/>
      <c r="B782" s="228"/>
      <c r="C782" s="228"/>
      <c r="D782" s="228"/>
      <c r="E782" s="228"/>
      <c r="F782" s="228"/>
      <c r="G782" s="228"/>
      <c r="H782" s="228"/>
      <c r="I782" s="228"/>
      <c r="J782" s="228"/>
      <c r="K782" s="228"/>
      <c r="L782" s="228"/>
      <c r="M782" s="228"/>
      <c r="N782" s="228"/>
      <c r="O782" s="228"/>
      <c r="P782" s="228"/>
      <c r="Q782" s="228"/>
      <c r="R782" s="228"/>
      <c r="S782" s="228"/>
      <c r="T782" s="228"/>
      <c r="U782" s="228"/>
      <c r="V782" s="228"/>
      <c r="W782" s="228"/>
      <c r="X782" s="228"/>
      <c r="Y782" s="228"/>
      <c r="Z782" s="228"/>
      <c r="AA782" s="228"/>
      <c r="AB782" s="228"/>
      <c r="AC782" s="228"/>
      <c r="AD782" s="228"/>
      <c r="AE782" s="228"/>
      <c r="AF782" s="228"/>
      <c r="AG782" s="228"/>
      <c r="AH782" s="228"/>
      <c r="AI782" s="228"/>
      <c r="AJ782" s="228"/>
      <c r="AK782" s="228"/>
      <c r="AL782" s="228"/>
      <c r="AM782" s="228"/>
      <c r="AN782" s="228"/>
      <c r="AO782" s="228"/>
      <c r="AP782" s="228"/>
      <c r="AQ782" s="228"/>
      <c r="AR782" s="228"/>
      <c r="AS782" s="228"/>
      <c r="AT782" s="228"/>
      <c r="AU782" s="228"/>
      <c r="AV782" s="228"/>
      <c r="AW782" s="228"/>
      <c r="AX782" s="228"/>
      <c r="AY782" s="228"/>
      <c r="AZ782" s="228"/>
      <c r="BA782" s="228"/>
      <c r="BB782" s="228"/>
      <c r="BC782" s="228"/>
      <c r="BD782" s="228"/>
      <c r="BE782" s="228"/>
      <c r="BF782" s="228"/>
      <c r="BG782" s="228"/>
      <c r="BH782" s="228"/>
      <c r="BI782" s="228"/>
      <c r="BJ782" s="228"/>
      <c r="BK782" s="228"/>
      <c r="BL782" s="228"/>
      <c r="BM782" s="228"/>
      <c r="BN782" s="228"/>
      <c r="BO782" s="228"/>
      <c r="BP782" s="228"/>
      <c r="BQ782" s="228"/>
      <c r="BR782" s="228"/>
      <c r="BS782" s="228"/>
      <c r="BT782" s="228"/>
      <c r="BU782" s="228"/>
      <c r="BV782" s="228"/>
      <c r="BW782" s="228"/>
      <c r="BX782" s="228"/>
      <c r="BY782" s="228"/>
      <c r="BZ782" s="228"/>
      <c r="CA782" s="228"/>
      <c r="CB782" s="228"/>
      <c r="CC782" s="228"/>
      <c r="CD782" s="228"/>
      <c r="CE782" s="228"/>
      <c r="CF782" s="228"/>
      <c r="CG782" s="228"/>
      <c r="CH782" s="228"/>
      <c r="CI782" s="228"/>
      <c r="CJ782" s="228"/>
      <c r="CK782" s="228"/>
      <c r="CL782" s="228"/>
      <c r="CM782" s="228"/>
      <c r="CN782" s="228"/>
      <c r="CO782" s="228"/>
      <c r="CP782" s="228"/>
      <c r="CQ782" s="228"/>
      <c r="CR782" s="228"/>
      <c r="CS782" s="228"/>
      <c r="CT782" s="228"/>
      <c r="CU782" s="228"/>
      <c r="CV782" s="228"/>
      <c r="CW782" s="228"/>
      <c r="CX782" s="228"/>
      <c r="CY782" s="228"/>
      <c r="CZ782" s="228"/>
      <c r="DA782" s="228"/>
      <c r="DB782" s="228"/>
    </row>
    <row r="783" ht="12.0" customHeight="1">
      <c r="A783" s="228"/>
      <c r="B783" s="228"/>
      <c r="C783" s="228"/>
      <c r="D783" s="228"/>
      <c r="E783" s="228"/>
      <c r="F783" s="228"/>
      <c r="G783" s="228"/>
      <c r="H783" s="228"/>
      <c r="I783" s="228"/>
      <c r="J783" s="228"/>
      <c r="K783" s="228"/>
      <c r="L783" s="228"/>
      <c r="M783" s="228"/>
      <c r="N783" s="228"/>
      <c r="O783" s="228"/>
      <c r="P783" s="228"/>
      <c r="Q783" s="228"/>
      <c r="R783" s="228"/>
      <c r="S783" s="228"/>
      <c r="T783" s="228"/>
      <c r="U783" s="228"/>
      <c r="V783" s="228"/>
      <c r="W783" s="228"/>
      <c r="X783" s="228"/>
      <c r="Y783" s="228"/>
      <c r="Z783" s="228"/>
      <c r="AA783" s="228"/>
      <c r="AB783" s="228"/>
      <c r="AC783" s="228"/>
      <c r="AD783" s="228"/>
      <c r="AE783" s="228"/>
      <c r="AF783" s="228"/>
      <c r="AG783" s="228"/>
      <c r="AH783" s="228"/>
      <c r="AI783" s="228"/>
      <c r="AJ783" s="228"/>
      <c r="AK783" s="228"/>
      <c r="AL783" s="228"/>
      <c r="AM783" s="228"/>
      <c r="AN783" s="228"/>
      <c r="AO783" s="228"/>
      <c r="AP783" s="228"/>
      <c r="AQ783" s="228"/>
      <c r="AR783" s="228"/>
      <c r="AS783" s="228"/>
      <c r="AT783" s="228"/>
      <c r="AU783" s="228"/>
      <c r="AV783" s="228"/>
      <c r="AW783" s="228"/>
      <c r="AX783" s="228"/>
      <c r="AY783" s="228"/>
      <c r="AZ783" s="228"/>
      <c r="BA783" s="228"/>
      <c r="BB783" s="228"/>
      <c r="BC783" s="228"/>
      <c r="BD783" s="228"/>
      <c r="BE783" s="228"/>
      <c r="BF783" s="228"/>
      <c r="BG783" s="228"/>
      <c r="BH783" s="228"/>
      <c r="BI783" s="228"/>
      <c r="BJ783" s="228"/>
      <c r="BK783" s="228"/>
      <c r="BL783" s="228"/>
      <c r="BM783" s="228"/>
      <c r="BN783" s="228"/>
      <c r="BO783" s="228"/>
      <c r="BP783" s="228"/>
      <c r="BQ783" s="228"/>
      <c r="BR783" s="228"/>
      <c r="BS783" s="228"/>
      <c r="BT783" s="228"/>
      <c r="BU783" s="228"/>
      <c r="BV783" s="228"/>
      <c r="BW783" s="228"/>
      <c r="BX783" s="228"/>
      <c r="BY783" s="228"/>
      <c r="BZ783" s="228"/>
      <c r="CA783" s="228"/>
      <c r="CB783" s="228"/>
      <c r="CC783" s="228"/>
      <c r="CD783" s="228"/>
      <c r="CE783" s="228"/>
      <c r="CF783" s="228"/>
      <c r="CG783" s="228"/>
      <c r="CH783" s="228"/>
      <c r="CI783" s="228"/>
      <c r="CJ783" s="228"/>
      <c r="CK783" s="228"/>
      <c r="CL783" s="228"/>
      <c r="CM783" s="228"/>
      <c r="CN783" s="228"/>
      <c r="CO783" s="228"/>
      <c r="CP783" s="228"/>
      <c r="CQ783" s="228"/>
      <c r="CR783" s="228"/>
      <c r="CS783" s="228"/>
      <c r="CT783" s="228"/>
      <c r="CU783" s="228"/>
      <c r="CV783" s="228"/>
      <c r="CW783" s="228"/>
      <c r="CX783" s="228"/>
      <c r="CY783" s="228"/>
      <c r="CZ783" s="228"/>
      <c r="DA783" s="228"/>
      <c r="DB783" s="228"/>
    </row>
    <row r="784" ht="12.0" customHeight="1">
      <c r="A784" s="228"/>
      <c r="B784" s="228"/>
      <c r="C784" s="228"/>
      <c r="D784" s="228"/>
      <c r="E784" s="228"/>
      <c r="F784" s="228"/>
      <c r="G784" s="228"/>
      <c r="H784" s="228"/>
      <c r="I784" s="228"/>
      <c r="J784" s="228"/>
      <c r="K784" s="228"/>
      <c r="L784" s="228"/>
      <c r="M784" s="228"/>
      <c r="N784" s="228"/>
      <c r="O784" s="228"/>
      <c r="P784" s="228"/>
      <c r="Q784" s="228"/>
      <c r="R784" s="228"/>
      <c r="S784" s="228"/>
      <c r="T784" s="228"/>
      <c r="U784" s="228"/>
      <c r="V784" s="228"/>
      <c r="W784" s="228"/>
      <c r="X784" s="228"/>
      <c r="Y784" s="228"/>
      <c r="Z784" s="228"/>
      <c r="AA784" s="228"/>
      <c r="AB784" s="228"/>
      <c r="AC784" s="228"/>
      <c r="AD784" s="228"/>
      <c r="AE784" s="228"/>
      <c r="AF784" s="228"/>
      <c r="AG784" s="228"/>
      <c r="AH784" s="228"/>
      <c r="AI784" s="228"/>
      <c r="AJ784" s="228"/>
      <c r="AK784" s="228"/>
      <c r="AL784" s="228"/>
      <c r="AM784" s="228"/>
      <c r="AN784" s="228"/>
      <c r="AO784" s="228"/>
      <c r="AP784" s="228"/>
      <c r="AQ784" s="228"/>
      <c r="AR784" s="228"/>
      <c r="AS784" s="228"/>
      <c r="AT784" s="228"/>
      <c r="AU784" s="228"/>
      <c r="AV784" s="228"/>
      <c r="AW784" s="228"/>
      <c r="AX784" s="228"/>
      <c r="AY784" s="228"/>
      <c r="AZ784" s="228"/>
      <c r="BA784" s="228"/>
      <c r="BB784" s="228"/>
      <c r="BC784" s="228"/>
      <c r="BD784" s="228"/>
      <c r="BE784" s="228"/>
      <c r="BF784" s="228"/>
      <c r="BG784" s="228"/>
      <c r="BH784" s="228"/>
      <c r="BI784" s="228"/>
      <c r="BJ784" s="228"/>
      <c r="BK784" s="228"/>
      <c r="BL784" s="228"/>
      <c r="BM784" s="228"/>
      <c r="BN784" s="228"/>
      <c r="BO784" s="228"/>
      <c r="BP784" s="228"/>
      <c r="BQ784" s="228"/>
      <c r="BR784" s="228"/>
      <c r="BS784" s="228"/>
      <c r="BT784" s="228"/>
      <c r="BU784" s="228"/>
      <c r="BV784" s="228"/>
      <c r="BW784" s="228"/>
      <c r="BX784" s="228"/>
      <c r="BY784" s="228"/>
      <c r="BZ784" s="228"/>
      <c r="CA784" s="228"/>
      <c r="CB784" s="228"/>
      <c r="CC784" s="228"/>
      <c r="CD784" s="228"/>
      <c r="CE784" s="228"/>
      <c r="CF784" s="228"/>
      <c r="CG784" s="228"/>
      <c r="CH784" s="228"/>
      <c r="CI784" s="228"/>
      <c r="CJ784" s="228"/>
      <c r="CK784" s="228"/>
      <c r="CL784" s="228"/>
      <c r="CM784" s="228"/>
      <c r="CN784" s="228"/>
      <c r="CO784" s="228"/>
      <c r="CP784" s="228"/>
      <c r="CQ784" s="228"/>
      <c r="CR784" s="228"/>
      <c r="CS784" s="228"/>
      <c r="CT784" s="228"/>
      <c r="CU784" s="228"/>
      <c r="CV784" s="228"/>
      <c r="CW784" s="228"/>
      <c r="CX784" s="228"/>
      <c r="CY784" s="228"/>
      <c r="CZ784" s="228"/>
      <c r="DA784" s="228"/>
      <c r="DB784" s="228"/>
    </row>
    <row r="785" ht="12.0" customHeight="1">
      <c r="A785" s="228"/>
      <c r="B785" s="228"/>
      <c r="C785" s="228"/>
      <c r="D785" s="228"/>
      <c r="E785" s="228"/>
      <c r="F785" s="228"/>
      <c r="G785" s="228"/>
      <c r="H785" s="228"/>
      <c r="I785" s="228"/>
      <c r="J785" s="228"/>
      <c r="K785" s="228"/>
      <c r="L785" s="228"/>
      <c r="M785" s="228"/>
      <c r="N785" s="228"/>
      <c r="O785" s="228"/>
      <c r="P785" s="228"/>
      <c r="Q785" s="228"/>
      <c r="R785" s="228"/>
      <c r="S785" s="228"/>
      <c r="T785" s="228"/>
      <c r="U785" s="228"/>
      <c r="V785" s="228"/>
      <c r="W785" s="228"/>
      <c r="X785" s="228"/>
      <c r="Y785" s="228"/>
      <c r="Z785" s="228"/>
      <c r="AA785" s="228"/>
      <c r="AB785" s="228"/>
      <c r="AC785" s="228"/>
      <c r="AD785" s="228"/>
      <c r="AE785" s="228"/>
      <c r="AF785" s="228"/>
      <c r="AG785" s="228"/>
      <c r="AH785" s="228"/>
      <c r="AI785" s="228"/>
      <c r="AJ785" s="228"/>
      <c r="AK785" s="228"/>
      <c r="AL785" s="228"/>
      <c r="AM785" s="228"/>
      <c r="AN785" s="228"/>
      <c r="AO785" s="228"/>
      <c r="AP785" s="228"/>
      <c r="AQ785" s="228"/>
      <c r="AR785" s="228"/>
      <c r="AS785" s="228"/>
      <c r="AT785" s="228"/>
      <c r="AU785" s="228"/>
      <c r="AV785" s="228"/>
      <c r="AW785" s="228"/>
      <c r="AX785" s="228"/>
      <c r="AY785" s="228"/>
      <c r="AZ785" s="228"/>
      <c r="BA785" s="228"/>
      <c r="BB785" s="228"/>
      <c r="BC785" s="228"/>
      <c r="BD785" s="228"/>
      <c r="BE785" s="228"/>
      <c r="BF785" s="228"/>
      <c r="BG785" s="228"/>
      <c r="BH785" s="228"/>
      <c r="BI785" s="228"/>
      <c r="BJ785" s="228"/>
      <c r="BK785" s="228"/>
      <c r="BL785" s="228"/>
      <c r="BM785" s="228"/>
      <c r="BN785" s="228"/>
      <c r="BO785" s="228"/>
      <c r="BP785" s="228"/>
      <c r="BQ785" s="228"/>
      <c r="BR785" s="228"/>
      <c r="BS785" s="228"/>
      <c r="BT785" s="228"/>
      <c r="BU785" s="228"/>
      <c r="BV785" s="228"/>
      <c r="BW785" s="228"/>
      <c r="BX785" s="228"/>
      <c r="BY785" s="228"/>
      <c r="BZ785" s="228"/>
      <c r="CA785" s="228"/>
      <c r="CB785" s="228"/>
      <c r="CC785" s="228"/>
      <c r="CD785" s="228"/>
      <c r="CE785" s="228"/>
      <c r="CF785" s="228"/>
      <c r="CG785" s="228"/>
      <c r="CH785" s="228"/>
      <c r="CI785" s="228"/>
      <c r="CJ785" s="228"/>
      <c r="CK785" s="228"/>
      <c r="CL785" s="228"/>
      <c r="CM785" s="228"/>
      <c r="CN785" s="228"/>
      <c r="CO785" s="228"/>
      <c r="CP785" s="228"/>
      <c r="CQ785" s="228"/>
      <c r="CR785" s="228"/>
      <c r="CS785" s="228"/>
      <c r="CT785" s="228"/>
      <c r="CU785" s="228"/>
      <c r="CV785" s="228"/>
      <c r="CW785" s="228"/>
      <c r="CX785" s="228"/>
      <c r="CY785" s="228"/>
      <c r="CZ785" s="228"/>
      <c r="DA785" s="228"/>
      <c r="DB785" s="228"/>
    </row>
    <row r="786" ht="12.0" customHeight="1">
      <c r="A786" s="228"/>
      <c r="B786" s="228"/>
      <c r="C786" s="228"/>
      <c r="D786" s="228"/>
      <c r="E786" s="228"/>
      <c r="F786" s="228"/>
      <c r="G786" s="228"/>
      <c r="H786" s="228"/>
      <c r="I786" s="228"/>
      <c r="J786" s="228"/>
      <c r="K786" s="228"/>
      <c r="L786" s="228"/>
      <c r="M786" s="228"/>
      <c r="N786" s="228"/>
      <c r="O786" s="228"/>
      <c r="P786" s="228"/>
      <c r="Q786" s="228"/>
      <c r="R786" s="228"/>
      <c r="S786" s="228"/>
      <c r="T786" s="228"/>
      <c r="U786" s="228"/>
      <c r="V786" s="228"/>
      <c r="W786" s="228"/>
      <c r="X786" s="228"/>
      <c r="Y786" s="228"/>
      <c r="Z786" s="228"/>
      <c r="AA786" s="228"/>
      <c r="AB786" s="228"/>
      <c r="AC786" s="228"/>
      <c r="AD786" s="228"/>
      <c r="AE786" s="228"/>
      <c r="AF786" s="228"/>
      <c r="AG786" s="228"/>
      <c r="AH786" s="228"/>
      <c r="AI786" s="228"/>
      <c r="AJ786" s="228"/>
      <c r="AK786" s="228"/>
      <c r="AL786" s="228"/>
      <c r="AM786" s="228"/>
      <c r="AN786" s="228"/>
      <c r="AO786" s="228"/>
      <c r="AP786" s="228"/>
      <c r="AQ786" s="228"/>
      <c r="AR786" s="228"/>
      <c r="AS786" s="228"/>
      <c r="AT786" s="228"/>
      <c r="AU786" s="228"/>
      <c r="AV786" s="228"/>
      <c r="AW786" s="228"/>
      <c r="AX786" s="228"/>
      <c r="AY786" s="228"/>
      <c r="AZ786" s="228"/>
      <c r="BA786" s="228"/>
      <c r="BB786" s="228"/>
      <c r="BC786" s="228"/>
      <c r="BD786" s="228"/>
      <c r="BE786" s="228"/>
      <c r="BF786" s="228"/>
      <c r="BG786" s="228"/>
      <c r="BH786" s="228"/>
      <c r="BI786" s="228"/>
      <c r="BJ786" s="228"/>
      <c r="BK786" s="228"/>
      <c r="BL786" s="228"/>
      <c r="BM786" s="228"/>
      <c r="BN786" s="228"/>
      <c r="BO786" s="228"/>
      <c r="BP786" s="228"/>
      <c r="BQ786" s="228"/>
      <c r="BR786" s="228"/>
      <c r="BS786" s="228"/>
      <c r="BT786" s="228"/>
      <c r="BU786" s="228"/>
      <c r="BV786" s="228"/>
      <c r="BW786" s="228"/>
      <c r="BX786" s="228"/>
      <c r="BY786" s="228"/>
      <c r="BZ786" s="228"/>
      <c r="CA786" s="228"/>
      <c r="CB786" s="228"/>
      <c r="CC786" s="228"/>
      <c r="CD786" s="228"/>
      <c r="CE786" s="228"/>
      <c r="CF786" s="228"/>
      <c r="CG786" s="228"/>
      <c r="CH786" s="228"/>
      <c r="CI786" s="228"/>
      <c r="CJ786" s="228"/>
      <c r="CK786" s="228"/>
      <c r="CL786" s="228"/>
      <c r="CM786" s="228"/>
      <c r="CN786" s="228"/>
      <c r="CO786" s="228"/>
      <c r="CP786" s="228"/>
      <c r="CQ786" s="228"/>
      <c r="CR786" s="228"/>
      <c r="CS786" s="228"/>
      <c r="CT786" s="228"/>
      <c r="CU786" s="228"/>
      <c r="CV786" s="228"/>
      <c r="CW786" s="228"/>
      <c r="CX786" s="228"/>
      <c r="CY786" s="228"/>
      <c r="CZ786" s="228"/>
      <c r="DA786" s="228"/>
      <c r="DB786" s="228"/>
    </row>
    <row r="787" ht="12.0" customHeight="1">
      <c r="A787" s="228"/>
      <c r="B787" s="228"/>
      <c r="C787" s="228"/>
      <c r="D787" s="228"/>
      <c r="E787" s="228"/>
      <c r="F787" s="228"/>
      <c r="G787" s="228"/>
      <c r="H787" s="228"/>
      <c r="I787" s="228"/>
      <c r="J787" s="228"/>
      <c r="K787" s="228"/>
      <c r="L787" s="228"/>
      <c r="M787" s="228"/>
      <c r="N787" s="228"/>
      <c r="O787" s="228"/>
      <c r="P787" s="228"/>
      <c r="Q787" s="228"/>
      <c r="R787" s="228"/>
      <c r="S787" s="228"/>
      <c r="T787" s="228"/>
      <c r="U787" s="228"/>
      <c r="V787" s="228"/>
      <c r="W787" s="228"/>
      <c r="X787" s="228"/>
      <c r="Y787" s="228"/>
      <c r="Z787" s="228"/>
      <c r="AA787" s="228"/>
      <c r="AB787" s="228"/>
      <c r="AC787" s="228"/>
      <c r="AD787" s="228"/>
      <c r="AE787" s="228"/>
      <c r="AF787" s="228"/>
      <c r="AG787" s="228"/>
      <c r="AH787" s="228"/>
      <c r="AI787" s="228"/>
      <c r="AJ787" s="228"/>
      <c r="AK787" s="228"/>
      <c r="AL787" s="228"/>
      <c r="AM787" s="228"/>
      <c r="AN787" s="228"/>
      <c r="AO787" s="228"/>
      <c r="AP787" s="228"/>
      <c r="AQ787" s="228"/>
      <c r="AR787" s="228"/>
      <c r="AS787" s="228"/>
      <c r="AT787" s="228"/>
      <c r="AU787" s="228"/>
      <c r="AV787" s="228"/>
      <c r="AW787" s="228"/>
      <c r="AX787" s="228"/>
      <c r="AY787" s="228"/>
      <c r="AZ787" s="228"/>
      <c r="BA787" s="228"/>
      <c r="BB787" s="228"/>
      <c r="BC787" s="228"/>
      <c r="BD787" s="228"/>
      <c r="BE787" s="228"/>
      <c r="BF787" s="228"/>
      <c r="BG787" s="228"/>
      <c r="BH787" s="228"/>
      <c r="BI787" s="228"/>
      <c r="BJ787" s="228"/>
      <c r="BK787" s="228"/>
      <c r="BL787" s="228"/>
      <c r="BM787" s="228"/>
      <c r="BN787" s="228"/>
      <c r="BO787" s="228"/>
      <c r="BP787" s="228"/>
      <c r="BQ787" s="228"/>
      <c r="BR787" s="228"/>
      <c r="BS787" s="228"/>
      <c r="BT787" s="228"/>
      <c r="BU787" s="228"/>
      <c r="BV787" s="228"/>
      <c r="BW787" s="228"/>
      <c r="BX787" s="228"/>
      <c r="BY787" s="228"/>
      <c r="BZ787" s="228"/>
      <c r="CA787" s="228"/>
      <c r="CB787" s="228"/>
      <c r="CC787" s="228"/>
      <c r="CD787" s="228"/>
      <c r="CE787" s="228"/>
      <c r="CF787" s="228"/>
      <c r="CG787" s="228"/>
      <c r="CH787" s="228"/>
      <c r="CI787" s="228"/>
      <c r="CJ787" s="228"/>
      <c r="CK787" s="228"/>
      <c r="CL787" s="228"/>
      <c r="CM787" s="228"/>
      <c r="CN787" s="228"/>
      <c r="CO787" s="228"/>
      <c r="CP787" s="228"/>
      <c r="CQ787" s="228"/>
      <c r="CR787" s="228"/>
      <c r="CS787" s="228"/>
      <c r="CT787" s="228"/>
      <c r="CU787" s="228"/>
      <c r="CV787" s="228"/>
      <c r="CW787" s="228"/>
      <c r="CX787" s="228"/>
      <c r="CY787" s="228"/>
      <c r="CZ787" s="228"/>
      <c r="DA787" s="228"/>
      <c r="DB787" s="228"/>
    </row>
    <row r="788" ht="12.0" customHeight="1">
      <c r="A788" s="228"/>
      <c r="B788" s="228"/>
      <c r="C788" s="228"/>
      <c r="D788" s="228"/>
      <c r="E788" s="228"/>
      <c r="F788" s="228"/>
      <c r="G788" s="228"/>
      <c r="H788" s="228"/>
      <c r="I788" s="228"/>
      <c r="J788" s="228"/>
      <c r="K788" s="228"/>
      <c r="L788" s="228"/>
      <c r="M788" s="228"/>
      <c r="N788" s="228"/>
      <c r="O788" s="228"/>
      <c r="P788" s="228"/>
      <c r="Q788" s="228"/>
      <c r="R788" s="228"/>
      <c r="S788" s="228"/>
      <c r="T788" s="228"/>
      <c r="U788" s="228"/>
      <c r="V788" s="228"/>
      <c r="W788" s="228"/>
      <c r="X788" s="228"/>
      <c r="Y788" s="228"/>
      <c r="Z788" s="228"/>
      <c r="AA788" s="228"/>
      <c r="AB788" s="228"/>
      <c r="AC788" s="228"/>
      <c r="AD788" s="228"/>
      <c r="AE788" s="228"/>
      <c r="AF788" s="228"/>
      <c r="AG788" s="228"/>
      <c r="AH788" s="228"/>
      <c r="AI788" s="228"/>
      <c r="AJ788" s="228"/>
      <c r="AK788" s="228"/>
      <c r="AL788" s="228"/>
      <c r="AM788" s="228"/>
      <c r="AN788" s="228"/>
      <c r="AO788" s="228"/>
      <c r="AP788" s="228"/>
      <c r="AQ788" s="228"/>
      <c r="AR788" s="228"/>
      <c r="AS788" s="228"/>
      <c r="AT788" s="228"/>
      <c r="AU788" s="228"/>
      <c r="AV788" s="228"/>
      <c r="AW788" s="228"/>
      <c r="AX788" s="228"/>
      <c r="AY788" s="228"/>
      <c r="AZ788" s="228"/>
      <c r="BA788" s="228"/>
      <c r="BB788" s="228"/>
      <c r="BC788" s="228"/>
      <c r="BD788" s="228"/>
      <c r="BE788" s="228"/>
      <c r="BF788" s="228"/>
      <c r="BG788" s="228"/>
      <c r="BH788" s="228"/>
      <c r="BI788" s="228"/>
      <c r="BJ788" s="228"/>
      <c r="BK788" s="228"/>
      <c r="BL788" s="228"/>
      <c r="BM788" s="228"/>
      <c r="BN788" s="228"/>
      <c r="BO788" s="228"/>
      <c r="BP788" s="228"/>
      <c r="BQ788" s="228"/>
      <c r="BR788" s="228"/>
      <c r="BS788" s="228"/>
      <c r="BT788" s="228"/>
      <c r="BU788" s="228"/>
      <c r="BV788" s="228"/>
      <c r="BW788" s="228"/>
      <c r="BX788" s="228"/>
      <c r="BY788" s="228"/>
      <c r="BZ788" s="228"/>
      <c r="CA788" s="228"/>
      <c r="CB788" s="228"/>
      <c r="CC788" s="228"/>
      <c r="CD788" s="228"/>
      <c r="CE788" s="228"/>
      <c r="CF788" s="228"/>
      <c r="CG788" s="228"/>
      <c r="CH788" s="228"/>
      <c r="CI788" s="228"/>
      <c r="CJ788" s="228"/>
      <c r="CK788" s="228"/>
      <c r="CL788" s="228"/>
      <c r="CM788" s="228"/>
      <c r="CN788" s="228"/>
      <c r="CO788" s="228"/>
      <c r="CP788" s="228"/>
      <c r="CQ788" s="228"/>
      <c r="CR788" s="228"/>
      <c r="CS788" s="228"/>
      <c r="CT788" s="228"/>
      <c r="CU788" s="228"/>
      <c r="CV788" s="228"/>
      <c r="CW788" s="228"/>
      <c r="CX788" s="228"/>
      <c r="CY788" s="228"/>
      <c r="CZ788" s="228"/>
      <c r="DA788" s="228"/>
      <c r="DB788" s="228"/>
    </row>
    <row r="789" ht="12.0" customHeight="1">
      <c r="A789" s="228"/>
      <c r="B789" s="228"/>
      <c r="C789" s="228"/>
      <c r="D789" s="228"/>
      <c r="E789" s="228"/>
      <c r="F789" s="228"/>
      <c r="G789" s="228"/>
      <c r="H789" s="228"/>
      <c r="I789" s="228"/>
      <c r="J789" s="228"/>
      <c r="K789" s="228"/>
      <c r="L789" s="228"/>
      <c r="M789" s="228"/>
      <c r="N789" s="228"/>
      <c r="O789" s="228"/>
      <c r="P789" s="228"/>
      <c r="Q789" s="228"/>
      <c r="R789" s="228"/>
      <c r="S789" s="228"/>
      <c r="T789" s="228"/>
      <c r="U789" s="228"/>
      <c r="V789" s="228"/>
      <c r="W789" s="228"/>
      <c r="X789" s="228"/>
      <c r="Y789" s="228"/>
      <c r="Z789" s="228"/>
      <c r="AA789" s="228"/>
      <c r="AB789" s="228"/>
      <c r="AC789" s="228"/>
      <c r="AD789" s="228"/>
      <c r="AE789" s="228"/>
      <c r="AF789" s="228"/>
      <c r="AG789" s="228"/>
      <c r="AH789" s="228"/>
      <c r="AI789" s="228"/>
      <c r="AJ789" s="228"/>
      <c r="AK789" s="228"/>
      <c r="AL789" s="228"/>
      <c r="AM789" s="228"/>
      <c r="AN789" s="228"/>
      <c r="AO789" s="228"/>
      <c r="AP789" s="228"/>
      <c r="AQ789" s="228"/>
      <c r="AR789" s="228"/>
      <c r="AS789" s="228"/>
      <c r="AT789" s="228"/>
      <c r="AU789" s="228"/>
      <c r="AV789" s="228"/>
      <c r="AW789" s="228"/>
      <c r="AX789" s="228"/>
      <c r="AY789" s="228"/>
      <c r="AZ789" s="228"/>
      <c r="BA789" s="228"/>
      <c r="BB789" s="228"/>
      <c r="BC789" s="228"/>
      <c r="BD789" s="228"/>
      <c r="BE789" s="228"/>
      <c r="BF789" s="228"/>
      <c r="BG789" s="228"/>
      <c r="BH789" s="228"/>
      <c r="BI789" s="228"/>
      <c r="BJ789" s="228"/>
      <c r="BK789" s="228"/>
      <c r="BL789" s="228"/>
      <c r="BM789" s="228"/>
      <c r="BN789" s="228"/>
      <c r="BO789" s="228"/>
      <c r="BP789" s="228"/>
      <c r="BQ789" s="228"/>
      <c r="BR789" s="228"/>
      <c r="BS789" s="228"/>
      <c r="BT789" s="228"/>
      <c r="BU789" s="228"/>
      <c r="BV789" s="228"/>
      <c r="BW789" s="228"/>
      <c r="BX789" s="228"/>
      <c r="BY789" s="228"/>
      <c r="BZ789" s="228"/>
      <c r="CA789" s="228"/>
      <c r="CB789" s="228"/>
      <c r="CC789" s="228"/>
      <c r="CD789" s="228"/>
      <c r="CE789" s="228"/>
      <c r="CF789" s="228"/>
      <c r="CG789" s="228"/>
      <c r="CH789" s="228"/>
      <c r="CI789" s="228"/>
      <c r="CJ789" s="228"/>
      <c r="CK789" s="228"/>
      <c r="CL789" s="228"/>
      <c r="CM789" s="228"/>
      <c r="CN789" s="228"/>
      <c r="CO789" s="228"/>
      <c r="CP789" s="228"/>
      <c r="CQ789" s="228"/>
      <c r="CR789" s="228"/>
      <c r="CS789" s="228"/>
      <c r="CT789" s="228"/>
      <c r="CU789" s="228"/>
      <c r="CV789" s="228"/>
      <c r="CW789" s="228"/>
      <c r="CX789" s="228"/>
      <c r="CY789" s="228"/>
      <c r="CZ789" s="228"/>
      <c r="DA789" s="228"/>
      <c r="DB789" s="228"/>
    </row>
    <row r="790" ht="12.0" customHeight="1">
      <c r="A790" s="228"/>
      <c r="B790" s="228"/>
      <c r="C790" s="228"/>
      <c r="D790" s="228"/>
      <c r="E790" s="228"/>
      <c r="F790" s="228"/>
      <c r="G790" s="228"/>
      <c r="H790" s="228"/>
      <c r="I790" s="228"/>
      <c r="J790" s="228"/>
      <c r="K790" s="228"/>
      <c r="L790" s="228"/>
      <c r="M790" s="228"/>
      <c r="N790" s="228"/>
      <c r="O790" s="228"/>
      <c r="P790" s="228"/>
      <c r="Q790" s="228"/>
      <c r="R790" s="228"/>
      <c r="S790" s="228"/>
      <c r="T790" s="228"/>
      <c r="U790" s="228"/>
      <c r="V790" s="228"/>
      <c r="W790" s="228"/>
      <c r="X790" s="228"/>
      <c r="Y790" s="228"/>
      <c r="Z790" s="228"/>
      <c r="AA790" s="228"/>
      <c r="AB790" s="228"/>
      <c r="AC790" s="228"/>
      <c r="AD790" s="228"/>
      <c r="AE790" s="228"/>
      <c r="AF790" s="228"/>
      <c r="AG790" s="228"/>
      <c r="AH790" s="228"/>
      <c r="AI790" s="228"/>
      <c r="AJ790" s="228"/>
      <c r="AK790" s="228"/>
      <c r="AL790" s="228"/>
      <c r="AM790" s="228"/>
      <c r="AN790" s="228"/>
      <c r="AO790" s="228"/>
      <c r="AP790" s="228"/>
      <c r="AQ790" s="228"/>
      <c r="AR790" s="228"/>
      <c r="AS790" s="228"/>
      <c r="AT790" s="228"/>
      <c r="AU790" s="228"/>
      <c r="AV790" s="228"/>
      <c r="AW790" s="228"/>
      <c r="AX790" s="228"/>
      <c r="AY790" s="228"/>
      <c r="AZ790" s="228"/>
      <c r="BA790" s="228"/>
      <c r="BB790" s="228"/>
      <c r="BC790" s="228"/>
      <c r="BD790" s="228"/>
      <c r="BE790" s="228"/>
      <c r="BF790" s="228"/>
      <c r="BG790" s="228"/>
      <c r="BH790" s="228"/>
      <c r="BI790" s="228"/>
      <c r="BJ790" s="228"/>
      <c r="BK790" s="228"/>
      <c r="BL790" s="228"/>
      <c r="BM790" s="228"/>
      <c r="BN790" s="228"/>
      <c r="BO790" s="228"/>
      <c r="BP790" s="228"/>
      <c r="BQ790" s="228"/>
      <c r="BR790" s="228"/>
      <c r="BS790" s="228"/>
      <c r="BT790" s="228"/>
      <c r="BU790" s="228"/>
      <c r="BV790" s="228"/>
      <c r="BW790" s="228"/>
      <c r="BX790" s="228"/>
      <c r="BY790" s="228"/>
      <c r="BZ790" s="228"/>
      <c r="CA790" s="228"/>
      <c r="CB790" s="228"/>
      <c r="CC790" s="228"/>
      <c r="CD790" s="228"/>
      <c r="CE790" s="228"/>
      <c r="CF790" s="228"/>
      <c r="CG790" s="228"/>
      <c r="CH790" s="228"/>
      <c r="CI790" s="228"/>
      <c r="CJ790" s="228"/>
      <c r="CK790" s="228"/>
      <c r="CL790" s="228"/>
      <c r="CM790" s="228"/>
      <c r="CN790" s="228"/>
      <c r="CO790" s="228"/>
      <c r="CP790" s="228"/>
      <c r="CQ790" s="228"/>
      <c r="CR790" s="228"/>
      <c r="CS790" s="228"/>
      <c r="CT790" s="228"/>
      <c r="CU790" s="228"/>
      <c r="CV790" s="228"/>
      <c r="CW790" s="228"/>
      <c r="CX790" s="228"/>
      <c r="CY790" s="228"/>
      <c r="CZ790" s="228"/>
      <c r="DA790" s="228"/>
      <c r="DB790" s="228"/>
    </row>
    <row r="791" ht="12.0" customHeight="1">
      <c r="A791" s="228"/>
      <c r="B791" s="228"/>
      <c r="C791" s="228"/>
      <c r="D791" s="228"/>
      <c r="E791" s="228"/>
      <c r="F791" s="228"/>
      <c r="G791" s="228"/>
      <c r="H791" s="228"/>
      <c r="I791" s="228"/>
      <c r="J791" s="228"/>
      <c r="K791" s="228"/>
      <c r="L791" s="228"/>
      <c r="M791" s="228"/>
      <c r="N791" s="228"/>
      <c r="O791" s="228"/>
      <c r="P791" s="228"/>
      <c r="Q791" s="228"/>
      <c r="R791" s="228"/>
      <c r="S791" s="228"/>
      <c r="T791" s="228"/>
      <c r="U791" s="228"/>
      <c r="V791" s="228"/>
      <c r="W791" s="228"/>
      <c r="X791" s="228"/>
      <c r="Y791" s="228"/>
      <c r="Z791" s="228"/>
      <c r="AA791" s="228"/>
      <c r="AB791" s="228"/>
      <c r="AC791" s="228"/>
      <c r="AD791" s="228"/>
      <c r="AE791" s="228"/>
      <c r="AF791" s="228"/>
      <c r="AG791" s="228"/>
      <c r="AH791" s="228"/>
      <c r="AI791" s="228"/>
      <c r="AJ791" s="228"/>
      <c r="AK791" s="228"/>
      <c r="AL791" s="228"/>
      <c r="AM791" s="228"/>
      <c r="AN791" s="228"/>
      <c r="AO791" s="228"/>
      <c r="AP791" s="228"/>
      <c r="AQ791" s="228"/>
      <c r="AR791" s="228"/>
      <c r="AS791" s="228"/>
      <c r="AT791" s="228"/>
      <c r="AU791" s="228"/>
      <c r="AV791" s="228"/>
      <c r="AW791" s="228"/>
      <c r="AX791" s="228"/>
      <c r="AY791" s="228"/>
      <c r="AZ791" s="228"/>
      <c r="BA791" s="228"/>
      <c r="BB791" s="228"/>
      <c r="BC791" s="228"/>
      <c r="BD791" s="228"/>
      <c r="BE791" s="228"/>
      <c r="BF791" s="228"/>
      <c r="BG791" s="228"/>
      <c r="BH791" s="228"/>
      <c r="BI791" s="228"/>
      <c r="BJ791" s="228"/>
      <c r="BK791" s="228"/>
      <c r="BL791" s="228"/>
      <c r="BM791" s="228"/>
      <c r="BN791" s="228"/>
      <c r="BO791" s="228"/>
      <c r="BP791" s="228"/>
      <c r="BQ791" s="228"/>
      <c r="BR791" s="228"/>
      <c r="BS791" s="228"/>
      <c r="BT791" s="228"/>
      <c r="BU791" s="228"/>
      <c r="BV791" s="228"/>
      <c r="BW791" s="228"/>
      <c r="BX791" s="228"/>
      <c r="BY791" s="228"/>
      <c r="BZ791" s="228"/>
      <c r="CA791" s="228"/>
      <c r="CB791" s="228"/>
      <c r="CC791" s="228"/>
      <c r="CD791" s="228"/>
      <c r="CE791" s="228"/>
      <c r="CF791" s="228"/>
      <c r="CG791" s="228"/>
      <c r="CH791" s="228"/>
      <c r="CI791" s="228"/>
      <c r="CJ791" s="228"/>
      <c r="CK791" s="228"/>
      <c r="CL791" s="228"/>
      <c r="CM791" s="228"/>
      <c r="CN791" s="228"/>
      <c r="CO791" s="228"/>
      <c r="CP791" s="228"/>
      <c r="CQ791" s="228"/>
      <c r="CR791" s="228"/>
      <c r="CS791" s="228"/>
      <c r="CT791" s="228"/>
      <c r="CU791" s="228"/>
      <c r="CV791" s="228"/>
      <c r="CW791" s="228"/>
      <c r="CX791" s="228"/>
      <c r="CY791" s="228"/>
      <c r="CZ791" s="228"/>
      <c r="DA791" s="228"/>
      <c r="DB791" s="228"/>
    </row>
    <row r="792" ht="12.0" customHeight="1">
      <c r="A792" s="228"/>
      <c r="B792" s="228"/>
      <c r="C792" s="228"/>
      <c r="D792" s="228"/>
      <c r="E792" s="228"/>
      <c r="F792" s="228"/>
      <c r="G792" s="228"/>
      <c r="H792" s="228"/>
      <c r="I792" s="228"/>
      <c r="J792" s="228"/>
      <c r="K792" s="228"/>
      <c r="L792" s="228"/>
      <c r="M792" s="228"/>
      <c r="N792" s="228"/>
      <c r="O792" s="228"/>
      <c r="P792" s="228"/>
      <c r="Q792" s="228"/>
      <c r="R792" s="228"/>
      <c r="S792" s="228"/>
      <c r="T792" s="228"/>
      <c r="U792" s="228"/>
      <c r="V792" s="228"/>
      <c r="W792" s="228"/>
      <c r="X792" s="228"/>
      <c r="Y792" s="228"/>
      <c r="Z792" s="228"/>
      <c r="AA792" s="228"/>
      <c r="AB792" s="228"/>
      <c r="AC792" s="228"/>
      <c r="AD792" s="228"/>
      <c r="AE792" s="228"/>
      <c r="AF792" s="228"/>
      <c r="AG792" s="228"/>
      <c r="AH792" s="228"/>
      <c r="AI792" s="228"/>
      <c r="AJ792" s="228"/>
      <c r="AK792" s="228"/>
      <c r="AL792" s="228"/>
      <c r="AM792" s="228"/>
      <c r="AN792" s="228"/>
      <c r="AO792" s="228"/>
      <c r="AP792" s="228"/>
      <c r="AQ792" s="228"/>
      <c r="AR792" s="228"/>
      <c r="AS792" s="228"/>
      <c r="AT792" s="228"/>
      <c r="AU792" s="228"/>
      <c r="AV792" s="228"/>
      <c r="AW792" s="228"/>
      <c r="AX792" s="228"/>
      <c r="AY792" s="228"/>
      <c r="AZ792" s="228"/>
      <c r="BA792" s="228"/>
      <c r="BB792" s="228"/>
      <c r="BC792" s="228"/>
      <c r="BD792" s="228"/>
      <c r="BE792" s="228"/>
      <c r="BF792" s="228"/>
      <c r="BG792" s="228"/>
      <c r="BH792" s="228"/>
      <c r="BI792" s="228"/>
      <c r="BJ792" s="228"/>
      <c r="BK792" s="228"/>
      <c r="BL792" s="228"/>
      <c r="BM792" s="228"/>
      <c r="BN792" s="228"/>
      <c r="BO792" s="228"/>
      <c r="BP792" s="228"/>
      <c r="BQ792" s="228"/>
      <c r="BR792" s="228"/>
      <c r="BS792" s="228"/>
      <c r="BT792" s="228"/>
      <c r="BU792" s="228"/>
      <c r="BV792" s="228"/>
      <c r="BW792" s="228"/>
      <c r="BX792" s="228"/>
      <c r="BY792" s="228"/>
      <c r="BZ792" s="228"/>
      <c r="CA792" s="228"/>
      <c r="CB792" s="228"/>
      <c r="CC792" s="228"/>
      <c r="CD792" s="228"/>
      <c r="CE792" s="228"/>
      <c r="CF792" s="228"/>
      <c r="CG792" s="228"/>
      <c r="CH792" s="228"/>
      <c r="CI792" s="228"/>
      <c r="CJ792" s="228"/>
      <c r="CK792" s="228"/>
      <c r="CL792" s="228"/>
      <c r="CM792" s="228"/>
      <c r="CN792" s="228"/>
      <c r="CO792" s="228"/>
      <c r="CP792" s="228"/>
      <c r="CQ792" s="228"/>
      <c r="CR792" s="228"/>
      <c r="CS792" s="228"/>
      <c r="CT792" s="228"/>
      <c r="CU792" s="228"/>
      <c r="CV792" s="228"/>
      <c r="CW792" s="228"/>
      <c r="CX792" s="228"/>
      <c r="CY792" s="228"/>
      <c r="CZ792" s="228"/>
      <c r="DA792" s="228"/>
      <c r="DB792" s="228"/>
    </row>
    <row r="793" ht="12.0" customHeight="1">
      <c r="A793" s="228"/>
      <c r="B793" s="228"/>
      <c r="C793" s="228"/>
      <c r="D793" s="228"/>
      <c r="E793" s="228"/>
      <c r="F793" s="228"/>
      <c r="G793" s="228"/>
      <c r="H793" s="228"/>
      <c r="I793" s="228"/>
      <c r="J793" s="228"/>
      <c r="K793" s="228"/>
      <c r="L793" s="228"/>
      <c r="M793" s="228"/>
      <c r="N793" s="228"/>
      <c r="O793" s="228"/>
      <c r="P793" s="228"/>
      <c r="Q793" s="228"/>
      <c r="R793" s="228"/>
      <c r="S793" s="228"/>
      <c r="T793" s="228"/>
      <c r="U793" s="228"/>
      <c r="V793" s="228"/>
      <c r="W793" s="228"/>
      <c r="X793" s="228"/>
      <c r="Y793" s="228"/>
      <c r="Z793" s="228"/>
      <c r="AA793" s="228"/>
      <c r="AB793" s="228"/>
      <c r="AC793" s="228"/>
      <c r="AD793" s="228"/>
      <c r="AE793" s="228"/>
      <c r="AF793" s="228"/>
      <c r="AG793" s="228"/>
      <c r="AH793" s="228"/>
      <c r="AI793" s="228"/>
      <c r="AJ793" s="228"/>
      <c r="AK793" s="228"/>
      <c r="AL793" s="228"/>
      <c r="AM793" s="228"/>
      <c r="AN793" s="228"/>
      <c r="AO793" s="228"/>
      <c r="AP793" s="228"/>
      <c r="AQ793" s="228"/>
      <c r="AR793" s="228"/>
      <c r="AS793" s="228"/>
      <c r="AT793" s="228"/>
      <c r="AU793" s="228"/>
      <c r="AV793" s="228"/>
      <c r="AW793" s="228"/>
      <c r="AX793" s="228"/>
      <c r="AY793" s="228"/>
      <c r="AZ793" s="228"/>
      <c r="BA793" s="228"/>
      <c r="BB793" s="228"/>
      <c r="BC793" s="228"/>
      <c r="BD793" s="228"/>
      <c r="BE793" s="228"/>
      <c r="BF793" s="228"/>
      <c r="BG793" s="228"/>
      <c r="BH793" s="228"/>
      <c r="BI793" s="228"/>
      <c r="BJ793" s="228"/>
      <c r="BK793" s="228"/>
      <c r="BL793" s="228"/>
      <c r="BM793" s="228"/>
      <c r="BN793" s="228"/>
      <c r="BO793" s="228"/>
      <c r="BP793" s="228"/>
      <c r="BQ793" s="228"/>
      <c r="BR793" s="228"/>
      <c r="BS793" s="228"/>
      <c r="BT793" s="228"/>
      <c r="BU793" s="228"/>
      <c r="BV793" s="228"/>
      <c r="BW793" s="228"/>
      <c r="BX793" s="228"/>
      <c r="BY793" s="228"/>
      <c r="BZ793" s="228"/>
      <c r="CA793" s="228"/>
      <c r="CB793" s="228"/>
      <c r="CC793" s="228"/>
      <c r="CD793" s="228"/>
      <c r="CE793" s="228"/>
      <c r="CF793" s="228"/>
      <c r="CG793" s="228"/>
      <c r="CH793" s="228"/>
      <c r="CI793" s="228"/>
      <c r="CJ793" s="228"/>
      <c r="CK793" s="228"/>
      <c r="CL793" s="228"/>
      <c r="CM793" s="228"/>
      <c r="CN793" s="228"/>
      <c r="CO793" s="228"/>
      <c r="CP793" s="228"/>
      <c r="CQ793" s="228"/>
      <c r="CR793" s="228"/>
      <c r="CS793" s="228"/>
      <c r="CT793" s="228"/>
      <c r="CU793" s="228"/>
      <c r="CV793" s="228"/>
      <c r="CW793" s="228"/>
      <c r="CX793" s="228"/>
      <c r="CY793" s="228"/>
      <c r="CZ793" s="228"/>
      <c r="DA793" s="228"/>
      <c r="DB793" s="228"/>
    </row>
    <row r="794" ht="12.0" customHeight="1">
      <c r="A794" s="228"/>
      <c r="B794" s="228"/>
      <c r="C794" s="228"/>
      <c r="D794" s="228"/>
      <c r="E794" s="228"/>
      <c r="F794" s="228"/>
      <c r="G794" s="228"/>
      <c r="H794" s="228"/>
      <c r="I794" s="228"/>
      <c r="J794" s="228"/>
      <c r="K794" s="228"/>
      <c r="L794" s="228"/>
      <c r="M794" s="228"/>
      <c r="N794" s="228"/>
      <c r="O794" s="228"/>
      <c r="P794" s="228"/>
      <c r="Q794" s="228"/>
      <c r="R794" s="228"/>
      <c r="S794" s="228"/>
      <c r="T794" s="228"/>
      <c r="U794" s="228"/>
      <c r="V794" s="228"/>
      <c r="W794" s="228"/>
      <c r="X794" s="228"/>
      <c r="Y794" s="228"/>
      <c r="Z794" s="228"/>
      <c r="AA794" s="228"/>
      <c r="AB794" s="228"/>
      <c r="AC794" s="228"/>
      <c r="AD794" s="228"/>
      <c r="AE794" s="228"/>
      <c r="AF794" s="228"/>
      <c r="AG794" s="228"/>
      <c r="AH794" s="228"/>
      <c r="AI794" s="228"/>
      <c r="AJ794" s="228"/>
      <c r="AK794" s="228"/>
      <c r="AL794" s="228"/>
      <c r="AM794" s="228"/>
      <c r="AN794" s="228"/>
      <c r="AO794" s="228"/>
      <c r="AP794" s="228"/>
      <c r="AQ794" s="228"/>
      <c r="AR794" s="228"/>
      <c r="AS794" s="228"/>
      <c r="AT794" s="228"/>
      <c r="AU794" s="228"/>
      <c r="AV794" s="228"/>
      <c r="AW794" s="228"/>
      <c r="AX794" s="228"/>
      <c r="AY794" s="228"/>
      <c r="AZ794" s="228"/>
      <c r="BA794" s="228"/>
      <c r="BB794" s="228"/>
      <c r="BC794" s="228"/>
      <c r="BD794" s="228"/>
      <c r="BE794" s="228"/>
      <c r="BF794" s="228"/>
      <c r="BG794" s="228"/>
      <c r="BH794" s="228"/>
      <c r="BI794" s="228"/>
      <c r="BJ794" s="228"/>
      <c r="BK794" s="228"/>
      <c r="BL794" s="228"/>
      <c r="BM794" s="228"/>
      <c r="BN794" s="228"/>
      <c r="BO794" s="228"/>
      <c r="BP794" s="228"/>
      <c r="BQ794" s="228"/>
      <c r="BR794" s="228"/>
      <c r="BS794" s="228"/>
      <c r="BT794" s="228"/>
      <c r="BU794" s="228"/>
      <c r="BV794" s="228"/>
      <c r="BW794" s="228"/>
      <c r="BX794" s="228"/>
      <c r="BY794" s="228"/>
      <c r="BZ794" s="228"/>
      <c r="CA794" s="228"/>
      <c r="CB794" s="228"/>
      <c r="CC794" s="228"/>
      <c r="CD794" s="228"/>
      <c r="CE794" s="228"/>
      <c r="CF794" s="228"/>
      <c r="CG794" s="228"/>
      <c r="CH794" s="228"/>
      <c r="CI794" s="228"/>
      <c r="CJ794" s="228"/>
      <c r="CK794" s="228"/>
      <c r="CL794" s="228"/>
      <c r="CM794" s="228"/>
      <c r="CN794" s="228"/>
      <c r="CO794" s="228"/>
      <c r="CP794" s="228"/>
      <c r="CQ794" s="228"/>
      <c r="CR794" s="228"/>
      <c r="CS794" s="228"/>
      <c r="CT794" s="228"/>
      <c r="CU794" s="228"/>
      <c r="CV794" s="228"/>
      <c r="CW794" s="228"/>
      <c r="CX794" s="228"/>
      <c r="CY794" s="228"/>
      <c r="CZ794" s="228"/>
      <c r="DA794" s="228"/>
      <c r="DB794" s="228"/>
    </row>
    <row r="795" ht="12.0" customHeight="1">
      <c r="A795" s="228"/>
      <c r="B795" s="228"/>
      <c r="C795" s="228"/>
      <c r="D795" s="228"/>
      <c r="E795" s="228"/>
      <c r="F795" s="228"/>
      <c r="G795" s="228"/>
      <c r="H795" s="228"/>
      <c r="I795" s="228"/>
      <c r="J795" s="228"/>
      <c r="K795" s="228"/>
      <c r="L795" s="228"/>
      <c r="M795" s="228"/>
      <c r="N795" s="228"/>
      <c r="O795" s="228"/>
      <c r="P795" s="228"/>
      <c r="Q795" s="228"/>
      <c r="R795" s="228"/>
      <c r="S795" s="228"/>
      <c r="T795" s="228"/>
      <c r="U795" s="228"/>
      <c r="V795" s="228"/>
      <c r="W795" s="228"/>
      <c r="X795" s="228"/>
      <c r="Y795" s="228"/>
      <c r="Z795" s="228"/>
      <c r="AA795" s="228"/>
      <c r="AB795" s="228"/>
      <c r="AC795" s="228"/>
      <c r="AD795" s="228"/>
      <c r="AE795" s="228"/>
      <c r="AF795" s="228"/>
      <c r="AG795" s="228"/>
      <c r="AH795" s="228"/>
      <c r="AI795" s="228"/>
      <c r="AJ795" s="228"/>
      <c r="AK795" s="228"/>
      <c r="AL795" s="228"/>
      <c r="AM795" s="228"/>
      <c r="AN795" s="228"/>
      <c r="AO795" s="228"/>
      <c r="AP795" s="228"/>
      <c r="AQ795" s="228"/>
      <c r="AR795" s="228"/>
      <c r="AS795" s="228"/>
      <c r="AT795" s="228"/>
      <c r="AU795" s="228"/>
      <c r="AV795" s="228"/>
      <c r="AW795" s="228"/>
      <c r="AX795" s="228"/>
      <c r="AY795" s="228"/>
      <c r="AZ795" s="228"/>
      <c r="BA795" s="228"/>
      <c r="BB795" s="228"/>
      <c r="BC795" s="228"/>
      <c r="BD795" s="228"/>
      <c r="BE795" s="228"/>
      <c r="BF795" s="228"/>
      <c r="BG795" s="228"/>
      <c r="BH795" s="228"/>
      <c r="BI795" s="228"/>
      <c r="BJ795" s="228"/>
      <c r="BK795" s="228"/>
      <c r="BL795" s="228"/>
      <c r="BM795" s="228"/>
      <c r="BN795" s="228"/>
      <c r="BO795" s="228"/>
      <c r="BP795" s="228"/>
      <c r="BQ795" s="228"/>
      <c r="BR795" s="228"/>
      <c r="BS795" s="228"/>
      <c r="BT795" s="228"/>
      <c r="BU795" s="228"/>
      <c r="BV795" s="228"/>
      <c r="BW795" s="228"/>
      <c r="BX795" s="228"/>
      <c r="BY795" s="228"/>
      <c r="BZ795" s="228"/>
      <c r="CA795" s="228"/>
      <c r="CB795" s="228"/>
      <c r="CC795" s="228"/>
      <c r="CD795" s="228"/>
      <c r="CE795" s="228"/>
      <c r="CF795" s="228"/>
      <c r="CG795" s="228"/>
      <c r="CH795" s="228"/>
      <c r="CI795" s="228"/>
      <c r="CJ795" s="228"/>
      <c r="CK795" s="228"/>
      <c r="CL795" s="228"/>
      <c r="CM795" s="228"/>
      <c r="CN795" s="228"/>
      <c r="CO795" s="228"/>
      <c r="CP795" s="228"/>
      <c r="CQ795" s="228"/>
      <c r="CR795" s="228"/>
      <c r="CS795" s="228"/>
      <c r="CT795" s="228"/>
      <c r="CU795" s="228"/>
      <c r="CV795" s="228"/>
      <c r="CW795" s="228"/>
      <c r="CX795" s="228"/>
      <c r="CY795" s="228"/>
      <c r="CZ795" s="228"/>
      <c r="DA795" s="228"/>
      <c r="DB795" s="228"/>
    </row>
    <row r="796" ht="12.0" customHeight="1">
      <c r="A796" s="228"/>
      <c r="B796" s="228"/>
      <c r="C796" s="228"/>
      <c r="D796" s="228"/>
      <c r="E796" s="228"/>
      <c r="F796" s="228"/>
      <c r="G796" s="228"/>
      <c r="H796" s="228"/>
      <c r="I796" s="228"/>
      <c r="J796" s="228"/>
      <c r="K796" s="228"/>
      <c r="L796" s="228"/>
      <c r="M796" s="228"/>
      <c r="N796" s="228"/>
      <c r="O796" s="228"/>
      <c r="P796" s="228"/>
      <c r="Q796" s="228"/>
      <c r="R796" s="228"/>
      <c r="S796" s="228"/>
      <c r="T796" s="228"/>
      <c r="U796" s="228"/>
      <c r="V796" s="228"/>
      <c r="W796" s="228"/>
      <c r="X796" s="228"/>
      <c r="Y796" s="228"/>
      <c r="Z796" s="228"/>
      <c r="AA796" s="228"/>
      <c r="AB796" s="228"/>
      <c r="AC796" s="228"/>
      <c r="AD796" s="228"/>
      <c r="AE796" s="228"/>
      <c r="AF796" s="228"/>
      <c r="AG796" s="228"/>
      <c r="AH796" s="228"/>
      <c r="AI796" s="228"/>
      <c r="AJ796" s="228"/>
      <c r="AK796" s="228"/>
      <c r="AL796" s="228"/>
      <c r="AM796" s="228"/>
      <c r="AN796" s="228"/>
      <c r="AO796" s="228"/>
      <c r="AP796" s="228"/>
      <c r="AQ796" s="228"/>
      <c r="AR796" s="228"/>
      <c r="AS796" s="228"/>
      <c r="AT796" s="228"/>
      <c r="AU796" s="228"/>
      <c r="AV796" s="228"/>
      <c r="AW796" s="228"/>
      <c r="AX796" s="228"/>
      <c r="AY796" s="228"/>
      <c r="AZ796" s="228"/>
      <c r="BA796" s="228"/>
      <c r="BB796" s="228"/>
      <c r="BC796" s="228"/>
      <c r="BD796" s="228"/>
      <c r="BE796" s="228"/>
      <c r="BF796" s="228"/>
      <c r="BG796" s="228"/>
      <c r="BH796" s="228"/>
      <c r="BI796" s="228"/>
      <c r="BJ796" s="228"/>
      <c r="BK796" s="228"/>
      <c r="BL796" s="228"/>
      <c r="BM796" s="228"/>
      <c r="BN796" s="228"/>
      <c r="BO796" s="228"/>
      <c r="BP796" s="228"/>
      <c r="BQ796" s="228"/>
      <c r="BR796" s="228"/>
      <c r="BS796" s="228"/>
      <c r="BT796" s="228"/>
      <c r="BU796" s="228"/>
      <c r="BV796" s="228"/>
      <c r="BW796" s="228"/>
      <c r="BX796" s="228"/>
      <c r="BY796" s="228"/>
      <c r="BZ796" s="228"/>
      <c r="CA796" s="228"/>
      <c r="CB796" s="228"/>
      <c r="CC796" s="228"/>
      <c r="CD796" s="228"/>
      <c r="CE796" s="228"/>
      <c r="CF796" s="228"/>
      <c r="CG796" s="228"/>
      <c r="CH796" s="228"/>
      <c r="CI796" s="228"/>
      <c r="CJ796" s="228"/>
      <c r="CK796" s="228"/>
      <c r="CL796" s="228"/>
      <c r="CM796" s="228"/>
      <c r="CN796" s="228"/>
      <c r="CO796" s="228"/>
      <c r="CP796" s="228"/>
      <c r="CQ796" s="228"/>
      <c r="CR796" s="228"/>
      <c r="CS796" s="228"/>
      <c r="CT796" s="228"/>
      <c r="CU796" s="228"/>
      <c r="CV796" s="228"/>
      <c r="CW796" s="228"/>
      <c r="CX796" s="228"/>
      <c r="CY796" s="228"/>
      <c r="CZ796" s="228"/>
      <c r="DA796" s="228"/>
      <c r="DB796" s="228"/>
    </row>
    <row r="797" ht="12.0" customHeight="1">
      <c r="A797" s="228"/>
      <c r="B797" s="228"/>
      <c r="C797" s="228"/>
      <c r="D797" s="228"/>
      <c r="E797" s="228"/>
      <c r="F797" s="228"/>
      <c r="G797" s="228"/>
      <c r="H797" s="228"/>
      <c r="I797" s="228"/>
      <c r="J797" s="228"/>
      <c r="K797" s="228"/>
      <c r="L797" s="228"/>
      <c r="M797" s="228"/>
      <c r="N797" s="228"/>
      <c r="O797" s="228"/>
      <c r="P797" s="228"/>
      <c r="Q797" s="228"/>
      <c r="R797" s="228"/>
      <c r="S797" s="228"/>
      <c r="T797" s="228"/>
      <c r="U797" s="228"/>
      <c r="V797" s="228"/>
      <c r="W797" s="228"/>
      <c r="X797" s="228"/>
      <c r="Y797" s="228"/>
      <c r="Z797" s="228"/>
      <c r="AA797" s="228"/>
      <c r="AB797" s="228"/>
      <c r="AC797" s="228"/>
      <c r="AD797" s="228"/>
      <c r="AE797" s="228"/>
      <c r="AF797" s="228"/>
      <c r="AG797" s="228"/>
      <c r="AH797" s="228"/>
      <c r="AI797" s="228"/>
      <c r="AJ797" s="228"/>
      <c r="AK797" s="228"/>
      <c r="AL797" s="228"/>
      <c r="AM797" s="228"/>
      <c r="AN797" s="228"/>
      <c r="AO797" s="228"/>
      <c r="AP797" s="228"/>
      <c r="AQ797" s="228"/>
      <c r="AR797" s="228"/>
      <c r="AS797" s="228"/>
      <c r="AT797" s="228"/>
      <c r="AU797" s="228"/>
      <c r="AV797" s="228"/>
      <c r="AW797" s="228"/>
      <c r="AX797" s="228"/>
      <c r="AY797" s="228"/>
      <c r="AZ797" s="228"/>
      <c r="BA797" s="228"/>
      <c r="BB797" s="228"/>
      <c r="BC797" s="228"/>
      <c r="BD797" s="228"/>
      <c r="BE797" s="228"/>
      <c r="BF797" s="228"/>
      <c r="BG797" s="228"/>
      <c r="BH797" s="228"/>
      <c r="BI797" s="228"/>
      <c r="BJ797" s="228"/>
      <c r="BK797" s="228"/>
      <c r="BL797" s="228"/>
      <c r="BM797" s="228"/>
      <c r="BN797" s="228"/>
      <c r="BO797" s="228"/>
      <c r="BP797" s="228"/>
      <c r="BQ797" s="228"/>
      <c r="BR797" s="228"/>
      <c r="BS797" s="228"/>
      <c r="BT797" s="228"/>
      <c r="BU797" s="228"/>
      <c r="BV797" s="228"/>
      <c r="BW797" s="228"/>
      <c r="BX797" s="228"/>
      <c r="BY797" s="228"/>
      <c r="BZ797" s="228"/>
      <c r="CA797" s="228"/>
      <c r="CB797" s="228"/>
      <c r="CC797" s="228"/>
      <c r="CD797" s="228"/>
      <c r="CE797" s="228"/>
      <c r="CF797" s="228"/>
      <c r="CG797" s="228"/>
      <c r="CH797" s="228"/>
      <c r="CI797" s="228"/>
      <c r="CJ797" s="228"/>
      <c r="CK797" s="228"/>
      <c r="CL797" s="228"/>
      <c r="CM797" s="228"/>
      <c r="CN797" s="228"/>
      <c r="CO797" s="228"/>
      <c r="CP797" s="228"/>
      <c r="CQ797" s="228"/>
      <c r="CR797" s="228"/>
      <c r="CS797" s="228"/>
      <c r="CT797" s="228"/>
      <c r="CU797" s="228"/>
      <c r="CV797" s="228"/>
      <c r="CW797" s="228"/>
      <c r="CX797" s="228"/>
      <c r="CY797" s="228"/>
      <c r="CZ797" s="228"/>
      <c r="DA797" s="228"/>
      <c r="DB797" s="228"/>
    </row>
    <row r="798" ht="12.0" customHeight="1">
      <c r="A798" s="228"/>
      <c r="B798" s="228"/>
      <c r="C798" s="228"/>
      <c r="D798" s="228"/>
      <c r="E798" s="228"/>
      <c r="F798" s="228"/>
      <c r="G798" s="228"/>
      <c r="H798" s="228"/>
      <c r="I798" s="228"/>
      <c r="J798" s="228"/>
      <c r="K798" s="228"/>
      <c r="L798" s="228"/>
      <c r="M798" s="228"/>
      <c r="N798" s="228"/>
      <c r="O798" s="228"/>
      <c r="P798" s="228"/>
      <c r="Q798" s="228"/>
      <c r="R798" s="228"/>
      <c r="S798" s="228"/>
      <c r="T798" s="228"/>
      <c r="U798" s="228"/>
      <c r="V798" s="228"/>
      <c r="W798" s="228"/>
      <c r="X798" s="228"/>
      <c r="Y798" s="228"/>
      <c r="Z798" s="228"/>
      <c r="AA798" s="228"/>
      <c r="AB798" s="228"/>
      <c r="AC798" s="228"/>
      <c r="AD798" s="228"/>
      <c r="AE798" s="228"/>
      <c r="AF798" s="228"/>
      <c r="AG798" s="228"/>
      <c r="AH798" s="228"/>
      <c r="AI798" s="228"/>
      <c r="AJ798" s="228"/>
      <c r="AK798" s="228"/>
      <c r="AL798" s="228"/>
      <c r="AM798" s="228"/>
      <c r="AN798" s="228"/>
      <c r="AO798" s="228"/>
      <c r="AP798" s="228"/>
      <c r="AQ798" s="228"/>
      <c r="AR798" s="228"/>
      <c r="AS798" s="228"/>
      <c r="AT798" s="228"/>
      <c r="AU798" s="228"/>
      <c r="AV798" s="228"/>
      <c r="AW798" s="228"/>
      <c r="AX798" s="228"/>
      <c r="AY798" s="228"/>
      <c r="AZ798" s="228"/>
      <c r="BA798" s="228"/>
      <c r="BB798" s="228"/>
      <c r="BC798" s="228"/>
      <c r="BD798" s="228"/>
      <c r="BE798" s="228"/>
      <c r="BF798" s="228"/>
      <c r="BG798" s="228"/>
      <c r="BH798" s="228"/>
      <c r="BI798" s="228"/>
      <c r="BJ798" s="228"/>
      <c r="BK798" s="228"/>
      <c r="BL798" s="228"/>
      <c r="BM798" s="228"/>
      <c r="BN798" s="228"/>
      <c r="BO798" s="228"/>
      <c r="BP798" s="228"/>
      <c r="BQ798" s="228"/>
      <c r="BR798" s="228"/>
      <c r="BS798" s="228"/>
      <c r="BT798" s="228"/>
      <c r="BU798" s="228"/>
      <c r="BV798" s="228"/>
      <c r="BW798" s="228"/>
      <c r="BX798" s="228"/>
      <c r="BY798" s="228"/>
      <c r="BZ798" s="228"/>
      <c r="CA798" s="228"/>
      <c r="CB798" s="228"/>
      <c r="CC798" s="228"/>
      <c r="CD798" s="228"/>
      <c r="CE798" s="228"/>
      <c r="CF798" s="228"/>
      <c r="CG798" s="228"/>
      <c r="CH798" s="228"/>
      <c r="CI798" s="228"/>
      <c r="CJ798" s="228"/>
      <c r="CK798" s="228"/>
      <c r="CL798" s="228"/>
      <c r="CM798" s="228"/>
      <c r="CN798" s="228"/>
      <c r="CO798" s="228"/>
      <c r="CP798" s="228"/>
      <c r="CQ798" s="228"/>
      <c r="CR798" s="228"/>
      <c r="CS798" s="228"/>
      <c r="CT798" s="228"/>
      <c r="CU798" s="228"/>
      <c r="CV798" s="228"/>
      <c r="CW798" s="228"/>
      <c r="CX798" s="228"/>
      <c r="CY798" s="228"/>
      <c r="CZ798" s="228"/>
      <c r="DA798" s="228"/>
      <c r="DB798" s="228"/>
    </row>
    <row r="799" ht="12.0" customHeight="1">
      <c r="A799" s="228"/>
      <c r="B799" s="228"/>
      <c r="C799" s="228"/>
      <c r="D799" s="228"/>
      <c r="E799" s="228"/>
      <c r="F799" s="228"/>
      <c r="G799" s="228"/>
      <c r="H799" s="228"/>
      <c r="I799" s="228"/>
      <c r="J799" s="228"/>
      <c r="K799" s="228"/>
      <c r="L799" s="228"/>
      <c r="M799" s="228"/>
      <c r="N799" s="228"/>
      <c r="O799" s="228"/>
      <c r="P799" s="228"/>
      <c r="Q799" s="228"/>
      <c r="R799" s="228"/>
      <c r="S799" s="228"/>
      <c r="T799" s="228"/>
      <c r="U799" s="228"/>
      <c r="V799" s="228"/>
      <c r="W799" s="228"/>
      <c r="X799" s="228"/>
      <c r="Y799" s="228"/>
      <c r="Z799" s="228"/>
      <c r="AA799" s="228"/>
      <c r="AB799" s="228"/>
      <c r="AC799" s="228"/>
      <c r="AD799" s="228"/>
      <c r="AE799" s="228"/>
      <c r="AF799" s="228"/>
      <c r="AG799" s="228"/>
      <c r="AH799" s="228"/>
      <c r="AI799" s="228"/>
      <c r="AJ799" s="228"/>
      <c r="AK799" s="228"/>
      <c r="AL799" s="228"/>
      <c r="AM799" s="228"/>
      <c r="AN799" s="228"/>
      <c r="AO799" s="228"/>
      <c r="AP799" s="228"/>
      <c r="AQ799" s="228"/>
      <c r="AR799" s="228"/>
      <c r="AS799" s="228"/>
      <c r="AT799" s="228"/>
      <c r="AU799" s="228"/>
      <c r="AV799" s="228"/>
      <c r="AW799" s="228"/>
      <c r="AX799" s="228"/>
      <c r="AY799" s="228"/>
      <c r="AZ799" s="228"/>
      <c r="BA799" s="228"/>
      <c r="BB799" s="228"/>
      <c r="BC799" s="228"/>
      <c r="BD799" s="228"/>
      <c r="BE799" s="228"/>
      <c r="BF799" s="228"/>
      <c r="BG799" s="228"/>
      <c r="BH799" s="228"/>
      <c r="BI799" s="228"/>
      <c r="BJ799" s="228"/>
      <c r="BK799" s="228"/>
      <c r="BL799" s="228"/>
      <c r="BM799" s="228"/>
      <c r="BN799" s="228"/>
      <c r="BO799" s="228"/>
      <c r="BP799" s="228"/>
      <c r="BQ799" s="228"/>
      <c r="BR799" s="228"/>
      <c r="BS799" s="228"/>
      <c r="BT799" s="228"/>
      <c r="BU799" s="228"/>
      <c r="BV799" s="228"/>
      <c r="BW799" s="228"/>
      <c r="BX799" s="228"/>
      <c r="BY799" s="228"/>
      <c r="BZ799" s="228"/>
      <c r="CA799" s="228"/>
      <c r="CB799" s="228"/>
      <c r="CC799" s="228"/>
      <c r="CD799" s="228"/>
      <c r="CE799" s="228"/>
      <c r="CF799" s="228"/>
      <c r="CG799" s="228"/>
      <c r="CH799" s="228"/>
      <c r="CI799" s="228"/>
      <c r="CJ799" s="228"/>
      <c r="CK799" s="228"/>
      <c r="CL799" s="228"/>
      <c r="CM799" s="228"/>
      <c r="CN799" s="228"/>
      <c r="CO799" s="228"/>
      <c r="CP799" s="228"/>
      <c r="CQ799" s="228"/>
      <c r="CR799" s="228"/>
      <c r="CS799" s="228"/>
      <c r="CT799" s="228"/>
      <c r="CU799" s="228"/>
      <c r="CV799" s="228"/>
      <c r="CW799" s="228"/>
      <c r="CX799" s="228"/>
      <c r="CY799" s="228"/>
      <c r="CZ799" s="228"/>
      <c r="DA799" s="228"/>
      <c r="DB799" s="228"/>
    </row>
    <row r="800" ht="12.0" customHeight="1">
      <c r="A800" s="228"/>
      <c r="B800" s="228"/>
      <c r="C800" s="228"/>
      <c r="D800" s="228"/>
      <c r="E800" s="228"/>
      <c r="F800" s="228"/>
      <c r="G800" s="228"/>
      <c r="H800" s="228"/>
      <c r="I800" s="228"/>
      <c r="J800" s="228"/>
      <c r="K800" s="228"/>
      <c r="L800" s="228"/>
      <c r="M800" s="228"/>
      <c r="N800" s="228"/>
      <c r="O800" s="228"/>
      <c r="P800" s="228"/>
      <c r="Q800" s="228"/>
      <c r="R800" s="228"/>
      <c r="S800" s="228"/>
      <c r="T800" s="228"/>
      <c r="U800" s="228"/>
      <c r="V800" s="228"/>
      <c r="W800" s="228"/>
      <c r="X800" s="228"/>
      <c r="Y800" s="228"/>
      <c r="Z800" s="228"/>
      <c r="AA800" s="228"/>
      <c r="AB800" s="228"/>
      <c r="AC800" s="228"/>
      <c r="AD800" s="228"/>
      <c r="AE800" s="228"/>
      <c r="AF800" s="228"/>
      <c r="AG800" s="228"/>
      <c r="AH800" s="228"/>
      <c r="AI800" s="228"/>
      <c r="AJ800" s="228"/>
      <c r="AK800" s="228"/>
      <c r="AL800" s="228"/>
      <c r="AM800" s="228"/>
      <c r="AN800" s="228"/>
      <c r="AO800" s="228"/>
      <c r="AP800" s="228"/>
      <c r="AQ800" s="228"/>
      <c r="AR800" s="228"/>
      <c r="AS800" s="228"/>
      <c r="AT800" s="228"/>
      <c r="AU800" s="228"/>
      <c r="AV800" s="228"/>
      <c r="AW800" s="228"/>
      <c r="AX800" s="228"/>
      <c r="AY800" s="228"/>
      <c r="AZ800" s="228"/>
      <c r="BA800" s="228"/>
      <c r="BB800" s="228"/>
      <c r="BC800" s="228"/>
      <c r="BD800" s="228"/>
      <c r="BE800" s="228"/>
      <c r="BF800" s="228"/>
      <c r="BG800" s="228"/>
      <c r="BH800" s="228"/>
      <c r="BI800" s="228"/>
      <c r="BJ800" s="228"/>
      <c r="BK800" s="228"/>
      <c r="BL800" s="228"/>
      <c r="BM800" s="228"/>
      <c r="BN800" s="228"/>
      <c r="BO800" s="228"/>
      <c r="BP800" s="228"/>
      <c r="BQ800" s="228"/>
      <c r="BR800" s="228"/>
      <c r="BS800" s="228"/>
      <c r="BT800" s="228"/>
      <c r="BU800" s="228"/>
      <c r="BV800" s="228"/>
      <c r="BW800" s="228"/>
      <c r="BX800" s="228"/>
      <c r="BY800" s="228"/>
      <c r="BZ800" s="228"/>
      <c r="CA800" s="228"/>
      <c r="CB800" s="228"/>
      <c r="CC800" s="228"/>
      <c r="CD800" s="228"/>
      <c r="CE800" s="228"/>
      <c r="CF800" s="228"/>
      <c r="CG800" s="228"/>
      <c r="CH800" s="228"/>
      <c r="CI800" s="228"/>
      <c r="CJ800" s="228"/>
      <c r="CK800" s="228"/>
      <c r="CL800" s="228"/>
      <c r="CM800" s="228"/>
      <c r="CN800" s="228"/>
      <c r="CO800" s="228"/>
      <c r="CP800" s="228"/>
      <c r="CQ800" s="228"/>
      <c r="CR800" s="228"/>
      <c r="CS800" s="228"/>
      <c r="CT800" s="228"/>
      <c r="CU800" s="228"/>
      <c r="CV800" s="228"/>
      <c r="CW800" s="228"/>
      <c r="CX800" s="228"/>
      <c r="CY800" s="228"/>
      <c r="CZ800" s="228"/>
      <c r="DA800" s="228"/>
      <c r="DB800" s="228"/>
    </row>
    <row r="801" ht="12.0" customHeight="1">
      <c r="A801" s="228"/>
      <c r="B801" s="228"/>
      <c r="C801" s="228"/>
      <c r="D801" s="228"/>
      <c r="E801" s="228"/>
      <c r="F801" s="228"/>
      <c r="G801" s="228"/>
      <c r="H801" s="228"/>
      <c r="I801" s="228"/>
      <c r="J801" s="228"/>
      <c r="K801" s="228"/>
      <c r="L801" s="228"/>
      <c r="M801" s="228"/>
      <c r="N801" s="228"/>
      <c r="O801" s="228"/>
      <c r="P801" s="228"/>
      <c r="Q801" s="228"/>
      <c r="R801" s="228"/>
      <c r="S801" s="228"/>
      <c r="T801" s="228"/>
      <c r="U801" s="228"/>
      <c r="V801" s="228"/>
      <c r="W801" s="228"/>
      <c r="X801" s="228"/>
      <c r="Y801" s="228"/>
      <c r="Z801" s="228"/>
      <c r="AA801" s="228"/>
      <c r="AB801" s="228"/>
      <c r="AC801" s="228"/>
      <c r="AD801" s="228"/>
      <c r="AE801" s="228"/>
      <c r="AF801" s="228"/>
      <c r="AG801" s="228"/>
      <c r="AH801" s="228"/>
      <c r="AI801" s="228"/>
      <c r="AJ801" s="228"/>
      <c r="AK801" s="228"/>
      <c r="AL801" s="228"/>
      <c r="AM801" s="228"/>
      <c r="AN801" s="228"/>
      <c r="AO801" s="228"/>
      <c r="AP801" s="228"/>
      <c r="AQ801" s="228"/>
      <c r="AR801" s="228"/>
      <c r="AS801" s="228"/>
      <c r="AT801" s="228"/>
      <c r="AU801" s="228"/>
      <c r="AV801" s="228"/>
      <c r="AW801" s="228"/>
      <c r="AX801" s="228"/>
      <c r="AY801" s="228"/>
      <c r="AZ801" s="228"/>
      <c r="BA801" s="228"/>
      <c r="BB801" s="228"/>
      <c r="BC801" s="228"/>
      <c r="BD801" s="228"/>
      <c r="BE801" s="228"/>
      <c r="BF801" s="228"/>
      <c r="BG801" s="228"/>
      <c r="BH801" s="228"/>
      <c r="BI801" s="228"/>
      <c r="BJ801" s="228"/>
      <c r="BK801" s="228"/>
      <c r="BL801" s="228"/>
      <c r="BM801" s="228"/>
      <c r="BN801" s="228"/>
      <c r="BO801" s="228"/>
      <c r="BP801" s="228"/>
      <c r="BQ801" s="228"/>
      <c r="BR801" s="228"/>
      <c r="BS801" s="228"/>
      <c r="BT801" s="228"/>
      <c r="BU801" s="228"/>
      <c r="BV801" s="228"/>
      <c r="BW801" s="228"/>
      <c r="BX801" s="228"/>
      <c r="BY801" s="228"/>
      <c r="BZ801" s="228"/>
      <c r="CA801" s="228"/>
      <c r="CB801" s="228"/>
      <c r="CC801" s="228"/>
      <c r="CD801" s="228"/>
      <c r="CE801" s="228"/>
      <c r="CF801" s="228"/>
      <c r="CG801" s="228"/>
      <c r="CH801" s="228"/>
      <c r="CI801" s="228"/>
      <c r="CJ801" s="228"/>
      <c r="CK801" s="228"/>
      <c r="CL801" s="228"/>
      <c r="CM801" s="228"/>
      <c r="CN801" s="228"/>
      <c r="CO801" s="228"/>
      <c r="CP801" s="228"/>
      <c r="CQ801" s="228"/>
      <c r="CR801" s="228"/>
      <c r="CS801" s="228"/>
      <c r="CT801" s="228"/>
      <c r="CU801" s="228"/>
      <c r="CV801" s="228"/>
      <c r="CW801" s="228"/>
      <c r="CX801" s="228"/>
      <c r="CY801" s="228"/>
      <c r="CZ801" s="228"/>
      <c r="DA801" s="228"/>
      <c r="DB801" s="228"/>
    </row>
    <row r="802" ht="12.0" customHeight="1">
      <c r="A802" s="228"/>
      <c r="B802" s="228"/>
      <c r="C802" s="228"/>
      <c r="D802" s="228"/>
      <c r="E802" s="228"/>
      <c r="F802" s="228"/>
      <c r="G802" s="228"/>
      <c r="H802" s="228"/>
      <c r="I802" s="228"/>
      <c r="J802" s="228"/>
      <c r="K802" s="228"/>
      <c r="L802" s="228"/>
      <c r="M802" s="228"/>
      <c r="N802" s="228"/>
      <c r="O802" s="228"/>
      <c r="P802" s="228"/>
      <c r="Q802" s="228"/>
      <c r="R802" s="228"/>
      <c r="S802" s="228"/>
      <c r="T802" s="228"/>
      <c r="U802" s="228"/>
      <c r="V802" s="228"/>
      <c r="W802" s="228"/>
      <c r="X802" s="228"/>
      <c r="Y802" s="228"/>
      <c r="Z802" s="228"/>
      <c r="AA802" s="228"/>
      <c r="AB802" s="228"/>
      <c r="AC802" s="228"/>
      <c r="AD802" s="228"/>
      <c r="AE802" s="228"/>
      <c r="AF802" s="228"/>
      <c r="AG802" s="228"/>
      <c r="AH802" s="228"/>
      <c r="AI802" s="228"/>
      <c r="AJ802" s="228"/>
      <c r="AK802" s="228"/>
      <c r="AL802" s="228"/>
      <c r="AM802" s="228"/>
      <c r="AN802" s="228"/>
      <c r="AO802" s="228"/>
      <c r="AP802" s="228"/>
      <c r="AQ802" s="228"/>
      <c r="AR802" s="228"/>
      <c r="AS802" s="228"/>
      <c r="AT802" s="228"/>
      <c r="AU802" s="228"/>
      <c r="AV802" s="228"/>
      <c r="AW802" s="228"/>
      <c r="AX802" s="228"/>
      <c r="AY802" s="228"/>
      <c r="AZ802" s="228"/>
      <c r="BA802" s="228"/>
      <c r="BB802" s="228"/>
      <c r="BC802" s="228"/>
      <c r="BD802" s="228"/>
      <c r="BE802" s="228"/>
      <c r="BF802" s="228"/>
      <c r="BG802" s="228"/>
      <c r="BH802" s="228"/>
      <c r="BI802" s="228"/>
      <c r="BJ802" s="228"/>
      <c r="BK802" s="228"/>
      <c r="BL802" s="228"/>
      <c r="BM802" s="228"/>
      <c r="BN802" s="228"/>
      <c r="BO802" s="228"/>
      <c r="BP802" s="228"/>
      <c r="BQ802" s="228"/>
      <c r="BR802" s="228"/>
      <c r="BS802" s="228"/>
      <c r="BT802" s="228"/>
      <c r="BU802" s="228"/>
      <c r="BV802" s="228"/>
      <c r="BW802" s="228"/>
      <c r="BX802" s="228"/>
      <c r="BY802" s="228"/>
      <c r="BZ802" s="228"/>
      <c r="CA802" s="228"/>
      <c r="CB802" s="228"/>
      <c r="CC802" s="228"/>
      <c r="CD802" s="228"/>
      <c r="CE802" s="228"/>
      <c r="CF802" s="228"/>
      <c r="CG802" s="228"/>
      <c r="CH802" s="228"/>
      <c r="CI802" s="228"/>
      <c r="CJ802" s="228"/>
      <c r="CK802" s="228"/>
      <c r="CL802" s="228"/>
      <c r="CM802" s="228"/>
      <c r="CN802" s="228"/>
      <c r="CO802" s="228"/>
      <c r="CP802" s="228"/>
      <c r="CQ802" s="228"/>
      <c r="CR802" s="228"/>
      <c r="CS802" s="228"/>
      <c r="CT802" s="228"/>
      <c r="CU802" s="228"/>
      <c r="CV802" s="228"/>
      <c r="CW802" s="228"/>
      <c r="CX802" s="228"/>
      <c r="CY802" s="228"/>
      <c r="CZ802" s="228"/>
      <c r="DA802" s="228"/>
      <c r="DB802" s="228"/>
    </row>
    <row r="803" ht="12.0" customHeight="1">
      <c r="A803" s="228"/>
      <c r="B803" s="228"/>
      <c r="C803" s="228"/>
      <c r="D803" s="228"/>
      <c r="E803" s="228"/>
      <c r="F803" s="228"/>
      <c r="G803" s="228"/>
      <c r="H803" s="228"/>
      <c r="I803" s="228"/>
      <c r="J803" s="228"/>
      <c r="K803" s="228"/>
      <c r="L803" s="228"/>
      <c r="M803" s="228"/>
      <c r="N803" s="228"/>
      <c r="O803" s="228"/>
      <c r="P803" s="228"/>
      <c r="Q803" s="228"/>
      <c r="R803" s="228"/>
      <c r="S803" s="228"/>
      <c r="T803" s="228"/>
      <c r="U803" s="228"/>
      <c r="V803" s="228"/>
      <c r="W803" s="228"/>
      <c r="X803" s="228"/>
      <c r="Y803" s="228"/>
      <c r="Z803" s="228"/>
      <c r="AA803" s="228"/>
      <c r="AB803" s="228"/>
      <c r="AC803" s="228"/>
      <c r="AD803" s="228"/>
      <c r="AE803" s="228"/>
      <c r="AF803" s="228"/>
      <c r="AG803" s="228"/>
      <c r="AH803" s="228"/>
      <c r="AI803" s="228"/>
      <c r="AJ803" s="228"/>
      <c r="AK803" s="228"/>
      <c r="AL803" s="228"/>
      <c r="AM803" s="228"/>
      <c r="AN803" s="228"/>
      <c r="AO803" s="228"/>
      <c r="AP803" s="228"/>
      <c r="AQ803" s="228"/>
      <c r="AR803" s="228"/>
      <c r="AS803" s="228"/>
      <c r="AT803" s="228"/>
      <c r="AU803" s="228"/>
      <c r="AV803" s="228"/>
      <c r="AW803" s="228"/>
      <c r="AX803" s="228"/>
      <c r="AY803" s="228"/>
      <c r="AZ803" s="228"/>
      <c r="BA803" s="228"/>
      <c r="BB803" s="228"/>
      <c r="BC803" s="228"/>
      <c r="BD803" s="228"/>
      <c r="BE803" s="228"/>
      <c r="BF803" s="228"/>
      <c r="BG803" s="228"/>
      <c r="BH803" s="228"/>
      <c r="BI803" s="228"/>
      <c r="BJ803" s="228"/>
      <c r="BK803" s="228"/>
      <c r="BL803" s="228"/>
      <c r="BM803" s="228"/>
      <c r="BN803" s="228"/>
      <c r="BO803" s="228"/>
      <c r="BP803" s="228"/>
      <c r="BQ803" s="228"/>
      <c r="BR803" s="228"/>
      <c r="BS803" s="228"/>
      <c r="BT803" s="228"/>
      <c r="BU803" s="228"/>
      <c r="BV803" s="228"/>
      <c r="BW803" s="228"/>
      <c r="BX803" s="228"/>
      <c r="BY803" s="228"/>
      <c r="BZ803" s="228"/>
      <c r="CA803" s="228"/>
      <c r="CB803" s="228"/>
      <c r="CC803" s="228"/>
      <c r="CD803" s="228"/>
      <c r="CE803" s="228"/>
      <c r="CF803" s="228"/>
      <c r="CG803" s="228"/>
      <c r="CH803" s="228"/>
      <c r="CI803" s="228"/>
      <c r="CJ803" s="228"/>
      <c r="CK803" s="228"/>
      <c r="CL803" s="228"/>
      <c r="CM803" s="228"/>
      <c r="CN803" s="228"/>
      <c r="CO803" s="228"/>
      <c r="CP803" s="228"/>
      <c r="CQ803" s="228"/>
      <c r="CR803" s="228"/>
      <c r="CS803" s="228"/>
      <c r="CT803" s="228"/>
      <c r="CU803" s="228"/>
      <c r="CV803" s="228"/>
      <c r="CW803" s="228"/>
      <c r="CX803" s="228"/>
      <c r="CY803" s="228"/>
      <c r="CZ803" s="228"/>
      <c r="DA803" s="228"/>
      <c r="DB803" s="228"/>
    </row>
    <row r="804" ht="12.0" customHeight="1">
      <c r="A804" s="228"/>
      <c r="B804" s="228"/>
      <c r="C804" s="228"/>
      <c r="D804" s="228"/>
      <c r="E804" s="228"/>
      <c r="F804" s="228"/>
      <c r="G804" s="228"/>
      <c r="H804" s="228"/>
      <c r="I804" s="228"/>
      <c r="J804" s="228"/>
      <c r="K804" s="228"/>
      <c r="L804" s="228"/>
      <c r="M804" s="228"/>
      <c r="N804" s="228"/>
      <c r="O804" s="228"/>
      <c r="P804" s="228"/>
      <c r="Q804" s="228"/>
      <c r="R804" s="228"/>
      <c r="S804" s="228"/>
      <c r="T804" s="228"/>
      <c r="U804" s="228"/>
      <c r="V804" s="228"/>
      <c r="W804" s="228"/>
      <c r="X804" s="228"/>
      <c r="Y804" s="228"/>
      <c r="Z804" s="228"/>
      <c r="AA804" s="228"/>
      <c r="AB804" s="228"/>
      <c r="AC804" s="228"/>
      <c r="AD804" s="228"/>
      <c r="AE804" s="228"/>
      <c r="AF804" s="228"/>
      <c r="AG804" s="228"/>
      <c r="AH804" s="228"/>
      <c r="AI804" s="228"/>
      <c r="AJ804" s="228"/>
      <c r="AK804" s="228"/>
      <c r="AL804" s="228"/>
      <c r="AM804" s="228"/>
      <c r="AN804" s="228"/>
      <c r="AO804" s="228"/>
      <c r="AP804" s="228"/>
      <c r="AQ804" s="228"/>
      <c r="AR804" s="228"/>
      <c r="AS804" s="228"/>
      <c r="AT804" s="228"/>
      <c r="AU804" s="228"/>
      <c r="AV804" s="228"/>
      <c r="AW804" s="228"/>
      <c r="AX804" s="228"/>
      <c r="AY804" s="228"/>
      <c r="AZ804" s="228"/>
      <c r="BA804" s="228"/>
      <c r="BB804" s="228"/>
      <c r="BC804" s="228"/>
      <c r="BD804" s="228"/>
      <c r="BE804" s="228"/>
      <c r="BF804" s="228"/>
      <c r="BG804" s="228"/>
      <c r="BH804" s="228"/>
      <c r="BI804" s="228"/>
      <c r="BJ804" s="228"/>
      <c r="BK804" s="228"/>
      <c r="BL804" s="228"/>
      <c r="BM804" s="228"/>
      <c r="BN804" s="228"/>
      <c r="BO804" s="228"/>
      <c r="BP804" s="228"/>
      <c r="BQ804" s="228"/>
      <c r="BR804" s="228"/>
      <c r="BS804" s="228"/>
      <c r="BT804" s="228"/>
      <c r="BU804" s="228"/>
      <c r="BV804" s="228"/>
      <c r="BW804" s="228"/>
      <c r="BX804" s="228"/>
      <c r="BY804" s="228"/>
      <c r="BZ804" s="228"/>
      <c r="CA804" s="228"/>
      <c r="CB804" s="228"/>
      <c r="CC804" s="228"/>
      <c r="CD804" s="228"/>
      <c r="CE804" s="228"/>
      <c r="CF804" s="228"/>
      <c r="CG804" s="228"/>
      <c r="CH804" s="228"/>
      <c r="CI804" s="228"/>
      <c r="CJ804" s="228"/>
      <c r="CK804" s="228"/>
      <c r="CL804" s="228"/>
      <c r="CM804" s="228"/>
      <c r="CN804" s="228"/>
      <c r="CO804" s="228"/>
      <c r="CP804" s="228"/>
      <c r="CQ804" s="228"/>
      <c r="CR804" s="228"/>
      <c r="CS804" s="228"/>
      <c r="CT804" s="228"/>
      <c r="CU804" s="228"/>
      <c r="CV804" s="228"/>
      <c r="CW804" s="228"/>
      <c r="CX804" s="228"/>
      <c r="CY804" s="228"/>
      <c r="CZ804" s="228"/>
      <c r="DA804" s="228"/>
      <c r="DB804" s="228"/>
    </row>
    <row r="805" ht="12.0" customHeight="1">
      <c r="A805" s="228"/>
      <c r="B805" s="228"/>
      <c r="C805" s="228"/>
      <c r="D805" s="228"/>
      <c r="E805" s="228"/>
      <c r="F805" s="228"/>
      <c r="G805" s="228"/>
      <c r="H805" s="228"/>
      <c r="I805" s="228"/>
      <c r="J805" s="228"/>
      <c r="K805" s="228"/>
      <c r="L805" s="228"/>
      <c r="M805" s="228"/>
      <c r="N805" s="228"/>
      <c r="O805" s="228"/>
      <c r="P805" s="228"/>
      <c r="Q805" s="228"/>
      <c r="R805" s="228"/>
      <c r="S805" s="228"/>
      <c r="T805" s="228"/>
      <c r="U805" s="228"/>
      <c r="V805" s="228"/>
      <c r="W805" s="228"/>
      <c r="X805" s="228"/>
      <c r="Y805" s="228"/>
      <c r="Z805" s="228"/>
      <c r="AA805" s="228"/>
      <c r="AB805" s="228"/>
      <c r="AC805" s="228"/>
      <c r="AD805" s="228"/>
      <c r="AE805" s="228"/>
      <c r="AF805" s="228"/>
      <c r="AG805" s="228"/>
      <c r="AH805" s="228"/>
      <c r="AI805" s="228"/>
      <c r="AJ805" s="228"/>
      <c r="AK805" s="228"/>
      <c r="AL805" s="228"/>
      <c r="AM805" s="228"/>
      <c r="AN805" s="228"/>
      <c r="AO805" s="228"/>
      <c r="AP805" s="228"/>
      <c r="AQ805" s="228"/>
      <c r="AR805" s="228"/>
      <c r="AS805" s="228"/>
      <c r="AT805" s="228"/>
      <c r="AU805" s="228"/>
      <c r="AV805" s="228"/>
      <c r="AW805" s="228"/>
      <c r="AX805" s="228"/>
      <c r="AY805" s="228"/>
      <c r="AZ805" s="228"/>
      <c r="BA805" s="228"/>
      <c r="BB805" s="228"/>
      <c r="BC805" s="228"/>
      <c r="BD805" s="228"/>
      <c r="BE805" s="228"/>
      <c r="BF805" s="228"/>
      <c r="BG805" s="228"/>
      <c r="BH805" s="228"/>
      <c r="BI805" s="228"/>
      <c r="BJ805" s="228"/>
      <c r="BK805" s="228"/>
      <c r="BL805" s="228"/>
      <c r="BM805" s="228"/>
      <c r="BN805" s="228"/>
      <c r="BO805" s="228"/>
      <c r="BP805" s="228"/>
      <c r="BQ805" s="228"/>
      <c r="BR805" s="228"/>
      <c r="BS805" s="228"/>
      <c r="BT805" s="228"/>
      <c r="BU805" s="228"/>
      <c r="BV805" s="228"/>
      <c r="BW805" s="228"/>
      <c r="BX805" s="228"/>
      <c r="BY805" s="228"/>
      <c r="BZ805" s="228"/>
      <c r="CA805" s="228"/>
      <c r="CB805" s="228"/>
      <c r="CC805" s="228"/>
      <c r="CD805" s="228"/>
      <c r="CE805" s="228"/>
      <c r="CF805" s="228"/>
      <c r="CG805" s="228"/>
      <c r="CH805" s="228"/>
      <c r="CI805" s="228"/>
      <c r="CJ805" s="228"/>
      <c r="CK805" s="228"/>
      <c r="CL805" s="228"/>
      <c r="CM805" s="228"/>
      <c r="CN805" s="228"/>
      <c r="CO805" s="228"/>
      <c r="CP805" s="228"/>
      <c r="CQ805" s="228"/>
      <c r="CR805" s="228"/>
      <c r="CS805" s="228"/>
      <c r="CT805" s="228"/>
      <c r="CU805" s="228"/>
      <c r="CV805" s="228"/>
      <c r="CW805" s="228"/>
      <c r="CX805" s="228"/>
      <c r="CY805" s="228"/>
      <c r="CZ805" s="228"/>
      <c r="DA805" s="228"/>
      <c r="DB805" s="228"/>
    </row>
    <row r="806" ht="12.0" customHeight="1">
      <c r="A806" s="228"/>
      <c r="B806" s="228"/>
      <c r="C806" s="228"/>
      <c r="D806" s="228"/>
      <c r="E806" s="228"/>
      <c r="F806" s="228"/>
      <c r="G806" s="228"/>
      <c r="H806" s="228"/>
      <c r="I806" s="228"/>
      <c r="J806" s="228"/>
      <c r="K806" s="228"/>
      <c r="L806" s="228"/>
      <c r="M806" s="228"/>
      <c r="N806" s="228"/>
      <c r="O806" s="228"/>
      <c r="P806" s="228"/>
      <c r="Q806" s="228"/>
      <c r="R806" s="228"/>
      <c r="S806" s="228"/>
      <c r="T806" s="228"/>
      <c r="U806" s="228"/>
      <c r="V806" s="228"/>
      <c r="W806" s="228"/>
      <c r="X806" s="228"/>
      <c r="Y806" s="228"/>
      <c r="Z806" s="228"/>
      <c r="AA806" s="228"/>
      <c r="AB806" s="228"/>
      <c r="AC806" s="228"/>
      <c r="AD806" s="228"/>
      <c r="AE806" s="228"/>
      <c r="AF806" s="228"/>
      <c r="AG806" s="228"/>
      <c r="AH806" s="228"/>
      <c r="AI806" s="228"/>
      <c r="AJ806" s="228"/>
      <c r="AK806" s="228"/>
      <c r="AL806" s="228"/>
      <c r="AM806" s="228"/>
      <c r="AN806" s="228"/>
      <c r="AO806" s="228"/>
      <c r="AP806" s="228"/>
      <c r="AQ806" s="228"/>
      <c r="AR806" s="228"/>
      <c r="AS806" s="228"/>
      <c r="AT806" s="228"/>
      <c r="AU806" s="228"/>
      <c r="AV806" s="228"/>
      <c r="AW806" s="228"/>
      <c r="AX806" s="228"/>
      <c r="AY806" s="228"/>
      <c r="AZ806" s="228"/>
      <c r="BA806" s="228"/>
      <c r="BB806" s="228"/>
      <c r="BC806" s="228"/>
      <c r="BD806" s="228"/>
      <c r="BE806" s="228"/>
      <c r="BF806" s="228"/>
      <c r="BG806" s="228"/>
      <c r="BH806" s="228"/>
      <c r="BI806" s="228"/>
      <c r="BJ806" s="228"/>
      <c r="BK806" s="228"/>
      <c r="BL806" s="228"/>
      <c r="BM806" s="228"/>
      <c r="BN806" s="228"/>
      <c r="BO806" s="228"/>
      <c r="BP806" s="228"/>
      <c r="BQ806" s="228"/>
      <c r="BR806" s="228"/>
      <c r="BS806" s="228"/>
      <c r="BT806" s="228"/>
      <c r="BU806" s="228"/>
      <c r="BV806" s="228"/>
      <c r="BW806" s="228"/>
      <c r="BX806" s="228"/>
      <c r="BY806" s="228"/>
      <c r="BZ806" s="228"/>
      <c r="CA806" s="228"/>
      <c r="CB806" s="228"/>
      <c r="CC806" s="228"/>
      <c r="CD806" s="228"/>
      <c r="CE806" s="228"/>
      <c r="CF806" s="228"/>
      <c r="CG806" s="228"/>
      <c r="CH806" s="228"/>
      <c r="CI806" s="228"/>
      <c r="CJ806" s="228"/>
      <c r="CK806" s="228"/>
      <c r="CL806" s="228"/>
      <c r="CM806" s="228"/>
      <c r="CN806" s="228"/>
      <c r="CO806" s="228"/>
      <c r="CP806" s="228"/>
      <c r="CQ806" s="228"/>
      <c r="CR806" s="228"/>
      <c r="CS806" s="228"/>
      <c r="CT806" s="228"/>
      <c r="CU806" s="228"/>
      <c r="CV806" s="228"/>
      <c r="CW806" s="228"/>
      <c r="CX806" s="228"/>
      <c r="CY806" s="228"/>
      <c r="CZ806" s="228"/>
      <c r="DA806" s="228"/>
      <c r="DB806" s="228"/>
    </row>
    <row r="807" ht="12.0" customHeight="1">
      <c r="A807" s="228"/>
      <c r="B807" s="228"/>
      <c r="C807" s="228"/>
      <c r="D807" s="228"/>
      <c r="E807" s="228"/>
      <c r="F807" s="228"/>
      <c r="G807" s="228"/>
      <c r="H807" s="228"/>
      <c r="I807" s="228"/>
      <c r="J807" s="228"/>
      <c r="K807" s="228"/>
      <c r="L807" s="228"/>
      <c r="M807" s="228"/>
      <c r="N807" s="228"/>
      <c r="O807" s="228"/>
      <c r="P807" s="228"/>
      <c r="Q807" s="228"/>
      <c r="R807" s="228"/>
      <c r="S807" s="228"/>
      <c r="T807" s="228"/>
      <c r="U807" s="228"/>
      <c r="V807" s="228"/>
      <c r="W807" s="228"/>
      <c r="X807" s="228"/>
      <c r="Y807" s="228"/>
      <c r="Z807" s="228"/>
      <c r="AA807" s="228"/>
      <c r="AB807" s="228"/>
      <c r="AC807" s="228"/>
      <c r="AD807" s="228"/>
      <c r="AE807" s="228"/>
      <c r="AF807" s="228"/>
      <c r="AG807" s="228"/>
      <c r="AH807" s="228"/>
      <c r="AI807" s="228"/>
      <c r="AJ807" s="228"/>
      <c r="AK807" s="228"/>
      <c r="AL807" s="228"/>
      <c r="AM807" s="228"/>
      <c r="AN807" s="228"/>
      <c r="AO807" s="228"/>
      <c r="AP807" s="228"/>
      <c r="AQ807" s="228"/>
      <c r="AR807" s="228"/>
      <c r="AS807" s="228"/>
      <c r="AT807" s="228"/>
      <c r="AU807" s="228"/>
      <c r="AV807" s="228"/>
      <c r="AW807" s="228"/>
      <c r="AX807" s="228"/>
      <c r="AY807" s="228"/>
      <c r="AZ807" s="228"/>
      <c r="BA807" s="228"/>
      <c r="BB807" s="228"/>
      <c r="BC807" s="228"/>
      <c r="BD807" s="228"/>
      <c r="BE807" s="228"/>
      <c r="BF807" s="228"/>
      <c r="BG807" s="228"/>
      <c r="BH807" s="228"/>
      <c r="BI807" s="228"/>
      <c r="BJ807" s="228"/>
      <c r="BK807" s="228"/>
      <c r="BL807" s="228"/>
      <c r="BM807" s="228"/>
      <c r="BN807" s="228"/>
      <c r="BO807" s="228"/>
      <c r="BP807" s="228"/>
      <c r="BQ807" s="228"/>
      <c r="BR807" s="228"/>
      <c r="BS807" s="228"/>
      <c r="BT807" s="228"/>
      <c r="BU807" s="228"/>
      <c r="BV807" s="228"/>
      <c r="BW807" s="228"/>
      <c r="BX807" s="228"/>
      <c r="BY807" s="228"/>
      <c r="BZ807" s="228"/>
      <c r="CA807" s="228"/>
      <c r="CB807" s="228"/>
      <c r="CC807" s="228"/>
      <c r="CD807" s="228"/>
      <c r="CE807" s="228"/>
      <c r="CF807" s="228"/>
      <c r="CG807" s="228"/>
      <c r="CH807" s="228"/>
      <c r="CI807" s="228"/>
      <c r="CJ807" s="228"/>
      <c r="CK807" s="228"/>
      <c r="CL807" s="228"/>
      <c r="CM807" s="228"/>
      <c r="CN807" s="228"/>
      <c r="CO807" s="228"/>
      <c r="CP807" s="228"/>
      <c r="CQ807" s="228"/>
      <c r="CR807" s="228"/>
      <c r="CS807" s="228"/>
      <c r="CT807" s="228"/>
      <c r="CU807" s="228"/>
      <c r="CV807" s="228"/>
      <c r="CW807" s="228"/>
      <c r="CX807" s="228"/>
      <c r="CY807" s="228"/>
      <c r="CZ807" s="228"/>
      <c r="DA807" s="228"/>
      <c r="DB807" s="228"/>
    </row>
    <row r="808" ht="12.0" customHeight="1">
      <c r="A808" s="228"/>
      <c r="B808" s="228"/>
      <c r="C808" s="228"/>
      <c r="D808" s="228"/>
      <c r="E808" s="228"/>
      <c r="F808" s="228"/>
      <c r="G808" s="228"/>
      <c r="H808" s="228"/>
      <c r="I808" s="228"/>
      <c r="J808" s="228"/>
      <c r="K808" s="228"/>
      <c r="L808" s="228"/>
      <c r="M808" s="228"/>
      <c r="N808" s="228"/>
      <c r="O808" s="228"/>
      <c r="P808" s="228"/>
      <c r="Q808" s="228"/>
      <c r="R808" s="228"/>
      <c r="S808" s="228"/>
      <c r="T808" s="228"/>
      <c r="U808" s="228"/>
      <c r="V808" s="228"/>
      <c r="W808" s="228"/>
      <c r="X808" s="228"/>
      <c r="Y808" s="228"/>
      <c r="Z808" s="228"/>
      <c r="AA808" s="228"/>
      <c r="AB808" s="228"/>
      <c r="AC808" s="228"/>
      <c r="AD808" s="228"/>
      <c r="AE808" s="228"/>
      <c r="AF808" s="228"/>
      <c r="AG808" s="228"/>
      <c r="AH808" s="228"/>
      <c r="AI808" s="228"/>
      <c r="AJ808" s="228"/>
      <c r="AK808" s="228"/>
      <c r="AL808" s="228"/>
      <c r="AM808" s="228"/>
      <c r="AN808" s="228"/>
      <c r="AO808" s="228"/>
      <c r="AP808" s="228"/>
      <c r="AQ808" s="228"/>
      <c r="AR808" s="228"/>
      <c r="AS808" s="228"/>
      <c r="AT808" s="228"/>
      <c r="AU808" s="228"/>
      <c r="AV808" s="228"/>
      <c r="AW808" s="228"/>
      <c r="AX808" s="228"/>
      <c r="AY808" s="228"/>
      <c r="AZ808" s="228"/>
      <c r="BA808" s="228"/>
      <c r="BB808" s="228"/>
      <c r="BC808" s="228"/>
      <c r="BD808" s="228"/>
      <c r="BE808" s="228"/>
      <c r="BF808" s="228"/>
      <c r="BG808" s="228"/>
      <c r="BH808" s="228"/>
      <c r="BI808" s="228"/>
      <c r="BJ808" s="228"/>
      <c r="BK808" s="228"/>
      <c r="BL808" s="228"/>
      <c r="BM808" s="228"/>
      <c r="BN808" s="228"/>
      <c r="BO808" s="228"/>
      <c r="BP808" s="228"/>
      <c r="BQ808" s="228"/>
      <c r="BR808" s="228"/>
      <c r="BS808" s="228"/>
      <c r="BT808" s="228"/>
      <c r="BU808" s="228"/>
      <c r="BV808" s="228"/>
      <c r="BW808" s="228"/>
      <c r="BX808" s="228"/>
      <c r="BY808" s="228"/>
      <c r="BZ808" s="228"/>
      <c r="CA808" s="228"/>
      <c r="CB808" s="228"/>
      <c r="CC808" s="228"/>
      <c r="CD808" s="228"/>
      <c r="CE808" s="228"/>
      <c r="CF808" s="228"/>
      <c r="CG808" s="228"/>
      <c r="CH808" s="228"/>
      <c r="CI808" s="228"/>
      <c r="CJ808" s="228"/>
      <c r="CK808" s="228"/>
      <c r="CL808" s="228"/>
      <c r="CM808" s="228"/>
      <c r="CN808" s="228"/>
      <c r="CO808" s="228"/>
      <c r="CP808" s="228"/>
      <c r="CQ808" s="228"/>
      <c r="CR808" s="228"/>
      <c r="CS808" s="228"/>
      <c r="CT808" s="228"/>
      <c r="CU808" s="228"/>
      <c r="CV808" s="228"/>
      <c r="CW808" s="228"/>
      <c r="CX808" s="228"/>
      <c r="CY808" s="228"/>
      <c r="CZ808" s="228"/>
      <c r="DA808" s="228"/>
      <c r="DB808" s="228"/>
    </row>
    <row r="809" ht="12.0" customHeight="1">
      <c r="A809" s="228"/>
      <c r="B809" s="228"/>
      <c r="C809" s="228"/>
      <c r="D809" s="228"/>
      <c r="E809" s="228"/>
      <c r="F809" s="228"/>
      <c r="G809" s="228"/>
      <c r="H809" s="228"/>
      <c r="I809" s="228"/>
      <c r="J809" s="228"/>
      <c r="K809" s="228"/>
      <c r="L809" s="228"/>
      <c r="M809" s="228"/>
      <c r="N809" s="228"/>
      <c r="O809" s="228"/>
      <c r="P809" s="228"/>
      <c r="Q809" s="228"/>
      <c r="R809" s="228"/>
      <c r="S809" s="228"/>
      <c r="T809" s="228"/>
      <c r="U809" s="228"/>
      <c r="V809" s="228"/>
      <c r="W809" s="228"/>
      <c r="X809" s="228"/>
      <c r="Y809" s="228"/>
      <c r="Z809" s="228"/>
      <c r="AA809" s="228"/>
      <c r="AB809" s="228"/>
      <c r="AC809" s="228"/>
      <c r="AD809" s="228"/>
      <c r="AE809" s="228"/>
      <c r="AF809" s="228"/>
      <c r="AG809" s="228"/>
      <c r="AH809" s="228"/>
      <c r="AI809" s="228"/>
      <c r="AJ809" s="228"/>
      <c r="AK809" s="228"/>
      <c r="AL809" s="228"/>
      <c r="AM809" s="228"/>
      <c r="AN809" s="228"/>
      <c r="AO809" s="228"/>
      <c r="AP809" s="228"/>
      <c r="AQ809" s="228"/>
      <c r="AR809" s="228"/>
      <c r="AS809" s="228"/>
      <c r="AT809" s="228"/>
      <c r="AU809" s="228"/>
      <c r="AV809" s="228"/>
      <c r="AW809" s="228"/>
      <c r="AX809" s="228"/>
      <c r="AY809" s="228"/>
      <c r="AZ809" s="228"/>
      <c r="BA809" s="228"/>
      <c r="BB809" s="228"/>
      <c r="BC809" s="228"/>
      <c r="BD809" s="228"/>
      <c r="BE809" s="228"/>
      <c r="BF809" s="228"/>
      <c r="BG809" s="228"/>
      <c r="BH809" s="228"/>
      <c r="BI809" s="228"/>
      <c r="BJ809" s="228"/>
      <c r="BK809" s="228"/>
      <c r="BL809" s="228"/>
      <c r="BM809" s="228"/>
      <c r="BN809" s="228"/>
      <c r="BO809" s="228"/>
      <c r="BP809" s="228"/>
      <c r="BQ809" s="228"/>
      <c r="BR809" s="228"/>
      <c r="BS809" s="228"/>
      <c r="BT809" s="228"/>
      <c r="BU809" s="228"/>
      <c r="BV809" s="228"/>
      <c r="BW809" s="228"/>
      <c r="BX809" s="228"/>
      <c r="BY809" s="228"/>
      <c r="BZ809" s="228"/>
      <c r="CA809" s="228"/>
      <c r="CB809" s="228"/>
      <c r="CC809" s="228"/>
      <c r="CD809" s="228"/>
      <c r="CE809" s="228"/>
      <c r="CF809" s="228"/>
      <c r="CG809" s="228"/>
      <c r="CH809" s="228"/>
      <c r="CI809" s="228"/>
      <c r="CJ809" s="228"/>
      <c r="CK809" s="228"/>
      <c r="CL809" s="228"/>
      <c r="CM809" s="228"/>
      <c r="CN809" s="228"/>
      <c r="CO809" s="228"/>
      <c r="CP809" s="228"/>
      <c r="CQ809" s="228"/>
      <c r="CR809" s="228"/>
      <c r="CS809" s="228"/>
      <c r="CT809" s="228"/>
      <c r="CU809" s="228"/>
      <c r="CV809" s="228"/>
      <c r="CW809" s="228"/>
      <c r="CX809" s="228"/>
      <c r="CY809" s="228"/>
      <c r="CZ809" s="228"/>
      <c r="DA809" s="228"/>
      <c r="DB809" s="228"/>
    </row>
    <row r="810" ht="12.0" customHeight="1">
      <c r="A810" s="228"/>
      <c r="B810" s="228"/>
      <c r="C810" s="228"/>
      <c r="D810" s="228"/>
      <c r="E810" s="228"/>
      <c r="F810" s="228"/>
      <c r="G810" s="228"/>
      <c r="H810" s="228"/>
      <c r="I810" s="228"/>
      <c r="J810" s="228"/>
      <c r="K810" s="228"/>
      <c r="L810" s="228"/>
      <c r="M810" s="228"/>
      <c r="N810" s="228"/>
      <c r="O810" s="228"/>
      <c r="P810" s="228"/>
      <c r="Q810" s="228"/>
      <c r="R810" s="228"/>
      <c r="S810" s="228"/>
      <c r="T810" s="228"/>
      <c r="U810" s="228"/>
      <c r="V810" s="228"/>
      <c r="W810" s="228"/>
      <c r="X810" s="228"/>
      <c r="Y810" s="228"/>
      <c r="Z810" s="228"/>
      <c r="AA810" s="228"/>
      <c r="AB810" s="228"/>
      <c r="AC810" s="228"/>
      <c r="AD810" s="228"/>
      <c r="AE810" s="228"/>
      <c r="AF810" s="228"/>
      <c r="AG810" s="228"/>
      <c r="AH810" s="228"/>
      <c r="AI810" s="228"/>
      <c r="AJ810" s="228"/>
      <c r="AK810" s="228"/>
      <c r="AL810" s="228"/>
      <c r="AM810" s="228"/>
      <c r="AN810" s="228"/>
      <c r="AO810" s="228"/>
      <c r="AP810" s="228"/>
      <c r="AQ810" s="228"/>
      <c r="AR810" s="228"/>
      <c r="AS810" s="228"/>
      <c r="AT810" s="228"/>
      <c r="AU810" s="228"/>
      <c r="AV810" s="228"/>
      <c r="AW810" s="228"/>
      <c r="AX810" s="228"/>
      <c r="AY810" s="228"/>
      <c r="AZ810" s="228"/>
      <c r="BA810" s="228"/>
      <c r="BB810" s="228"/>
      <c r="BC810" s="228"/>
      <c r="BD810" s="228"/>
      <c r="BE810" s="228"/>
      <c r="BF810" s="228"/>
      <c r="BG810" s="228"/>
      <c r="BH810" s="228"/>
      <c r="BI810" s="228"/>
      <c r="BJ810" s="228"/>
      <c r="BK810" s="228"/>
      <c r="BL810" s="228"/>
      <c r="BM810" s="228"/>
      <c r="BN810" s="228"/>
      <c r="BO810" s="228"/>
      <c r="BP810" s="228"/>
      <c r="BQ810" s="228"/>
      <c r="BR810" s="228"/>
      <c r="BS810" s="228"/>
      <c r="BT810" s="228"/>
      <c r="BU810" s="228"/>
      <c r="BV810" s="228"/>
      <c r="BW810" s="228"/>
      <c r="BX810" s="228"/>
      <c r="BY810" s="228"/>
      <c r="BZ810" s="228"/>
      <c r="CA810" s="228"/>
      <c r="CB810" s="228"/>
      <c r="CC810" s="228"/>
      <c r="CD810" s="228"/>
      <c r="CE810" s="228"/>
      <c r="CF810" s="228"/>
      <c r="CG810" s="228"/>
      <c r="CH810" s="228"/>
      <c r="CI810" s="228"/>
      <c r="CJ810" s="228"/>
      <c r="CK810" s="228"/>
      <c r="CL810" s="228"/>
      <c r="CM810" s="228"/>
      <c r="CN810" s="228"/>
      <c r="CO810" s="228"/>
      <c r="CP810" s="228"/>
      <c r="CQ810" s="228"/>
      <c r="CR810" s="228"/>
      <c r="CS810" s="228"/>
      <c r="CT810" s="228"/>
      <c r="CU810" s="228"/>
      <c r="CV810" s="228"/>
      <c r="CW810" s="228"/>
      <c r="CX810" s="228"/>
      <c r="CY810" s="228"/>
      <c r="CZ810" s="228"/>
      <c r="DA810" s="228"/>
      <c r="DB810" s="228"/>
    </row>
    <row r="811" ht="12.0" customHeight="1">
      <c r="A811" s="228"/>
      <c r="B811" s="228"/>
      <c r="C811" s="228"/>
      <c r="D811" s="228"/>
      <c r="E811" s="228"/>
      <c r="F811" s="228"/>
      <c r="G811" s="228"/>
      <c r="H811" s="228"/>
      <c r="I811" s="228"/>
      <c r="J811" s="228"/>
      <c r="K811" s="228"/>
      <c r="L811" s="228"/>
      <c r="M811" s="228"/>
      <c r="N811" s="228"/>
      <c r="O811" s="228"/>
      <c r="P811" s="228"/>
      <c r="Q811" s="228"/>
      <c r="R811" s="228"/>
      <c r="S811" s="228"/>
      <c r="T811" s="228"/>
      <c r="U811" s="228"/>
      <c r="V811" s="228"/>
      <c r="W811" s="228"/>
      <c r="X811" s="228"/>
      <c r="Y811" s="228"/>
      <c r="Z811" s="228"/>
      <c r="AA811" s="228"/>
      <c r="AB811" s="228"/>
      <c r="AC811" s="228"/>
      <c r="AD811" s="228"/>
      <c r="AE811" s="228"/>
      <c r="AF811" s="228"/>
      <c r="AG811" s="228"/>
      <c r="AH811" s="228"/>
      <c r="AI811" s="228"/>
      <c r="AJ811" s="228"/>
      <c r="AK811" s="228"/>
      <c r="AL811" s="228"/>
      <c r="AM811" s="228"/>
      <c r="AN811" s="228"/>
      <c r="AO811" s="228"/>
      <c r="AP811" s="228"/>
      <c r="AQ811" s="228"/>
      <c r="AR811" s="228"/>
      <c r="AS811" s="228"/>
      <c r="AT811" s="228"/>
      <c r="AU811" s="228"/>
      <c r="AV811" s="228"/>
      <c r="AW811" s="228"/>
      <c r="AX811" s="228"/>
      <c r="AY811" s="228"/>
      <c r="AZ811" s="228"/>
      <c r="BA811" s="228"/>
      <c r="BB811" s="228"/>
      <c r="BC811" s="228"/>
      <c r="BD811" s="228"/>
      <c r="BE811" s="228"/>
      <c r="BF811" s="228"/>
      <c r="BG811" s="228"/>
      <c r="BH811" s="228"/>
      <c r="BI811" s="228"/>
      <c r="BJ811" s="228"/>
      <c r="BK811" s="228"/>
      <c r="BL811" s="228"/>
      <c r="BM811" s="228"/>
      <c r="BN811" s="228"/>
      <c r="BO811" s="228"/>
      <c r="BP811" s="228"/>
      <c r="BQ811" s="228"/>
      <c r="BR811" s="228"/>
      <c r="BS811" s="228"/>
      <c r="BT811" s="228"/>
      <c r="BU811" s="228"/>
      <c r="BV811" s="228"/>
      <c r="BW811" s="228"/>
      <c r="BX811" s="228"/>
      <c r="BY811" s="228"/>
      <c r="BZ811" s="228"/>
      <c r="CA811" s="228"/>
      <c r="CB811" s="228"/>
      <c r="CC811" s="228"/>
      <c r="CD811" s="228"/>
      <c r="CE811" s="228"/>
      <c r="CF811" s="228"/>
      <c r="CG811" s="228"/>
      <c r="CH811" s="228"/>
      <c r="CI811" s="228"/>
      <c r="CJ811" s="228"/>
      <c r="CK811" s="228"/>
      <c r="CL811" s="228"/>
      <c r="CM811" s="228"/>
      <c r="CN811" s="228"/>
      <c r="CO811" s="228"/>
      <c r="CP811" s="228"/>
      <c r="CQ811" s="228"/>
      <c r="CR811" s="228"/>
      <c r="CS811" s="228"/>
      <c r="CT811" s="228"/>
      <c r="CU811" s="228"/>
      <c r="CV811" s="228"/>
      <c r="CW811" s="228"/>
      <c r="CX811" s="228"/>
      <c r="CY811" s="228"/>
      <c r="CZ811" s="228"/>
      <c r="DA811" s="228"/>
      <c r="DB811" s="228"/>
    </row>
    <row r="812" ht="12.0" customHeight="1">
      <c r="A812" s="228"/>
      <c r="B812" s="228"/>
      <c r="C812" s="228"/>
      <c r="D812" s="228"/>
      <c r="E812" s="228"/>
      <c r="F812" s="228"/>
      <c r="G812" s="228"/>
      <c r="H812" s="228"/>
      <c r="I812" s="228"/>
      <c r="J812" s="228"/>
      <c r="K812" s="228"/>
      <c r="L812" s="228"/>
      <c r="M812" s="228"/>
      <c r="N812" s="228"/>
      <c r="O812" s="228"/>
      <c r="P812" s="228"/>
      <c r="Q812" s="228"/>
      <c r="R812" s="228"/>
      <c r="S812" s="228"/>
      <c r="T812" s="228"/>
      <c r="U812" s="228"/>
      <c r="V812" s="228"/>
      <c r="W812" s="228"/>
      <c r="X812" s="228"/>
      <c r="Y812" s="228"/>
      <c r="Z812" s="228"/>
      <c r="AA812" s="228"/>
      <c r="AB812" s="228"/>
      <c r="AC812" s="228"/>
      <c r="AD812" s="228"/>
      <c r="AE812" s="228"/>
      <c r="AF812" s="228"/>
      <c r="AG812" s="228"/>
      <c r="AH812" s="228"/>
      <c r="AI812" s="228"/>
      <c r="AJ812" s="228"/>
      <c r="AK812" s="228"/>
      <c r="AL812" s="228"/>
      <c r="AM812" s="228"/>
      <c r="AN812" s="228"/>
      <c r="AO812" s="228"/>
      <c r="AP812" s="228"/>
      <c r="AQ812" s="228"/>
      <c r="AR812" s="228"/>
      <c r="AS812" s="228"/>
      <c r="AT812" s="228"/>
      <c r="AU812" s="228"/>
      <c r="AV812" s="228"/>
      <c r="AW812" s="228"/>
      <c r="AX812" s="228"/>
      <c r="AY812" s="228"/>
      <c r="AZ812" s="228"/>
      <c r="BA812" s="228"/>
      <c r="BB812" s="228"/>
      <c r="BC812" s="228"/>
      <c r="BD812" s="228"/>
      <c r="BE812" s="228"/>
      <c r="BF812" s="228"/>
      <c r="BG812" s="228"/>
      <c r="BH812" s="228"/>
      <c r="BI812" s="228"/>
      <c r="BJ812" s="228"/>
      <c r="BK812" s="228"/>
      <c r="BL812" s="228"/>
      <c r="BM812" s="228"/>
      <c r="BN812" s="228"/>
      <c r="BO812" s="228"/>
      <c r="BP812" s="228"/>
      <c r="BQ812" s="228"/>
      <c r="BR812" s="228"/>
      <c r="BS812" s="228"/>
      <c r="BT812" s="228"/>
      <c r="BU812" s="228"/>
      <c r="BV812" s="228"/>
      <c r="BW812" s="228"/>
      <c r="BX812" s="228"/>
      <c r="BY812" s="228"/>
      <c r="BZ812" s="228"/>
      <c r="CA812" s="228"/>
      <c r="CB812" s="228"/>
      <c r="CC812" s="228"/>
      <c r="CD812" s="228"/>
      <c r="CE812" s="228"/>
      <c r="CF812" s="228"/>
      <c r="CG812" s="228"/>
      <c r="CH812" s="228"/>
      <c r="CI812" s="228"/>
      <c r="CJ812" s="228"/>
      <c r="CK812" s="228"/>
      <c r="CL812" s="228"/>
      <c r="CM812" s="228"/>
      <c r="CN812" s="228"/>
      <c r="CO812" s="228"/>
      <c r="CP812" s="228"/>
      <c r="CQ812" s="228"/>
      <c r="CR812" s="228"/>
      <c r="CS812" s="228"/>
      <c r="CT812" s="228"/>
      <c r="CU812" s="228"/>
      <c r="CV812" s="228"/>
      <c r="CW812" s="228"/>
      <c r="CX812" s="228"/>
      <c r="CY812" s="228"/>
      <c r="CZ812" s="228"/>
      <c r="DA812" s="228"/>
      <c r="DB812" s="228"/>
    </row>
    <row r="813" ht="12.0" customHeight="1">
      <c r="A813" s="228"/>
      <c r="B813" s="228"/>
      <c r="C813" s="228"/>
      <c r="D813" s="228"/>
      <c r="E813" s="228"/>
      <c r="F813" s="228"/>
      <c r="G813" s="228"/>
      <c r="H813" s="228"/>
      <c r="I813" s="228"/>
      <c r="J813" s="228"/>
      <c r="K813" s="228"/>
      <c r="L813" s="228"/>
      <c r="M813" s="228"/>
      <c r="N813" s="228"/>
      <c r="O813" s="228"/>
      <c r="P813" s="228"/>
      <c r="Q813" s="228"/>
      <c r="R813" s="228"/>
      <c r="S813" s="228"/>
      <c r="T813" s="228"/>
      <c r="U813" s="228"/>
      <c r="V813" s="228"/>
      <c r="W813" s="228"/>
      <c r="X813" s="228"/>
      <c r="Y813" s="228"/>
      <c r="Z813" s="228"/>
      <c r="AA813" s="228"/>
      <c r="AB813" s="228"/>
      <c r="AC813" s="228"/>
      <c r="AD813" s="228"/>
      <c r="AE813" s="228"/>
      <c r="AF813" s="228"/>
      <c r="AG813" s="228"/>
      <c r="AH813" s="228"/>
      <c r="AI813" s="228"/>
      <c r="AJ813" s="228"/>
      <c r="AK813" s="228"/>
      <c r="AL813" s="228"/>
      <c r="AM813" s="228"/>
      <c r="AN813" s="228"/>
      <c r="AO813" s="228"/>
      <c r="AP813" s="228"/>
      <c r="AQ813" s="228"/>
      <c r="AR813" s="228"/>
      <c r="AS813" s="228"/>
      <c r="AT813" s="228"/>
      <c r="AU813" s="228"/>
      <c r="AV813" s="228"/>
      <c r="AW813" s="228"/>
      <c r="AX813" s="228"/>
      <c r="AY813" s="228"/>
      <c r="AZ813" s="228"/>
      <c r="BA813" s="228"/>
      <c r="BB813" s="228"/>
      <c r="BC813" s="228"/>
      <c r="BD813" s="228"/>
      <c r="BE813" s="228"/>
      <c r="BF813" s="228"/>
      <c r="BG813" s="228"/>
      <c r="BH813" s="228"/>
      <c r="BI813" s="228"/>
      <c r="BJ813" s="228"/>
      <c r="BK813" s="228"/>
      <c r="BL813" s="228"/>
      <c r="BM813" s="228"/>
      <c r="BN813" s="228"/>
      <c r="BO813" s="228"/>
      <c r="BP813" s="228"/>
      <c r="BQ813" s="228"/>
      <c r="BR813" s="228"/>
      <c r="BS813" s="228"/>
      <c r="BT813" s="228"/>
      <c r="BU813" s="228"/>
      <c r="BV813" s="228"/>
      <c r="BW813" s="228"/>
      <c r="BX813" s="228"/>
      <c r="BY813" s="228"/>
      <c r="BZ813" s="228"/>
      <c r="CA813" s="228"/>
      <c r="CB813" s="228"/>
      <c r="CC813" s="228"/>
      <c r="CD813" s="228"/>
      <c r="CE813" s="228"/>
      <c r="CF813" s="228"/>
      <c r="CG813" s="228"/>
      <c r="CH813" s="228"/>
      <c r="CI813" s="228"/>
      <c r="CJ813" s="228"/>
      <c r="CK813" s="228"/>
      <c r="CL813" s="228"/>
      <c r="CM813" s="228"/>
      <c r="CN813" s="228"/>
      <c r="CO813" s="228"/>
      <c r="CP813" s="228"/>
      <c r="CQ813" s="228"/>
      <c r="CR813" s="228"/>
      <c r="CS813" s="228"/>
      <c r="CT813" s="228"/>
      <c r="CU813" s="228"/>
      <c r="CV813" s="228"/>
      <c r="CW813" s="228"/>
      <c r="CX813" s="228"/>
      <c r="CY813" s="228"/>
      <c r="CZ813" s="228"/>
      <c r="DA813" s="228"/>
      <c r="DB813" s="228"/>
    </row>
    <row r="814" ht="12.0" customHeight="1">
      <c r="A814" s="228"/>
      <c r="B814" s="228"/>
      <c r="C814" s="228"/>
      <c r="D814" s="228"/>
      <c r="E814" s="228"/>
      <c r="F814" s="228"/>
      <c r="G814" s="228"/>
      <c r="H814" s="228"/>
      <c r="I814" s="228"/>
      <c r="J814" s="228"/>
      <c r="K814" s="228"/>
      <c r="L814" s="228"/>
      <c r="M814" s="228"/>
      <c r="N814" s="228"/>
      <c r="O814" s="228"/>
      <c r="P814" s="228"/>
      <c r="Q814" s="228"/>
      <c r="R814" s="228"/>
      <c r="S814" s="228"/>
      <c r="T814" s="228"/>
      <c r="U814" s="228"/>
      <c r="V814" s="228"/>
      <c r="W814" s="228"/>
      <c r="X814" s="228"/>
      <c r="Y814" s="228"/>
      <c r="Z814" s="228"/>
      <c r="AA814" s="228"/>
      <c r="AB814" s="228"/>
      <c r="AC814" s="228"/>
      <c r="AD814" s="228"/>
      <c r="AE814" s="228"/>
      <c r="AF814" s="228"/>
      <c r="AG814" s="228"/>
      <c r="AH814" s="228"/>
      <c r="AI814" s="228"/>
      <c r="AJ814" s="228"/>
      <c r="AK814" s="228"/>
      <c r="AL814" s="228"/>
      <c r="AM814" s="228"/>
      <c r="AN814" s="228"/>
      <c r="AO814" s="228"/>
      <c r="AP814" s="228"/>
      <c r="AQ814" s="228"/>
      <c r="AR814" s="228"/>
      <c r="AS814" s="228"/>
      <c r="AT814" s="228"/>
      <c r="AU814" s="228"/>
      <c r="AV814" s="228"/>
      <c r="AW814" s="228"/>
      <c r="AX814" s="228"/>
      <c r="AY814" s="228"/>
      <c r="AZ814" s="228"/>
      <c r="BA814" s="228"/>
      <c r="BB814" s="228"/>
      <c r="BC814" s="228"/>
      <c r="BD814" s="228"/>
      <c r="BE814" s="228"/>
      <c r="BF814" s="228"/>
      <c r="BG814" s="228"/>
      <c r="BH814" s="228"/>
      <c r="BI814" s="228"/>
      <c r="BJ814" s="228"/>
      <c r="BK814" s="228"/>
      <c r="BL814" s="228"/>
      <c r="BM814" s="228"/>
      <c r="BN814" s="228"/>
      <c r="BO814" s="228"/>
      <c r="BP814" s="228"/>
      <c r="BQ814" s="228"/>
      <c r="BR814" s="228"/>
      <c r="BS814" s="228"/>
      <c r="BT814" s="228"/>
      <c r="BU814" s="228"/>
      <c r="BV814" s="228"/>
      <c r="BW814" s="228"/>
      <c r="BX814" s="228"/>
      <c r="BY814" s="228"/>
      <c r="BZ814" s="228"/>
      <c r="CA814" s="228"/>
      <c r="CB814" s="228"/>
      <c r="CC814" s="228"/>
      <c r="CD814" s="228"/>
      <c r="CE814" s="228"/>
      <c r="CF814" s="228"/>
      <c r="CG814" s="228"/>
      <c r="CH814" s="228"/>
      <c r="CI814" s="228"/>
      <c r="CJ814" s="228"/>
      <c r="CK814" s="228"/>
      <c r="CL814" s="228"/>
      <c r="CM814" s="228"/>
      <c r="CN814" s="228"/>
      <c r="CO814" s="228"/>
      <c r="CP814" s="228"/>
      <c r="CQ814" s="228"/>
      <c r="CR814" s="228"/>
      <c r="CS814" s="228"/>
      <c r="CT814" s="228"/>
      <c r="CU814" s="228"/>
      <c r="CV814" s="228"/>
      <c r="CW814" s="228"/>
      <c r="CX814" s="228"/>
      <c r="CY814" s="228"/>
      <c r="CZ814" s="228"/>
      <c r="DA814" s="228"/>
      <c r="DB814" s="228"/>
    </row>
    <row r="815" ht="12.0" customHeight="1">
      <c r="A815" s="228"/>
      <c r="B815" s="228"/>
      <c r="C815" s="228"/>
      <c r="D815" s="228"/>
      <c r="E815" s="228"/>
      <c r="F815" s="228"/>
      <c r="G815" s="228"/>
      <c r="H815" s="228"/>
      <c r="I815" s="228"/>
      <c r="J815" s="228"/>
      <c r="K815" s="228"/>
      <c r="L815" s="228"/>
      <c r="M815" s="228"/>
      <c r="N815" s="228"/>
      <c r="O815" s="228"/>
      <c r="P815" s="228"/>
      <c r="Q815" s="228"/>
      <c r="R815" s="228"/>
      <c r="S815" s="228"/>
      <c r="T815" s="228"/>
      <c r="U815" s="228"/>
      <c r="V815" s="228"/>
      <c r="W815" s="228"/>
      <c r="X815" s="228"/>
      <c r="Y815" s="228"/>
      <c r="Z815" s="228"/>
      <c r="AA815" s="228"/>
      <c r="AB815" s="228"/>
      <c r="AC815" s="228"/>
      <c r="AD815" s="228"/>
      <c r="AE815" s="228"/>
      <c r="AF815" s="228"/>
      <c r="AG815" s="228"/>
      <c r="AH815" s="228"/>
      <c r="AI815" s="228"/>
      <c r="AJ815" s="228"/>
      <c r="AK815" s="228"/>
      <c r="AL815" s="228"/>
      <c r="AM815" s="228"/>
      <c r="AN815" s="228"/>
      <c r="AO815" s="228"/>
      <c r="AP815" s="228"/>
      <c r="AQ815" s="228"/>
      <c r="AR815" s="228"/>
      <c r="AS815" s="228"/>
      <c r="AT815" s="228"/>
      <c r="AU815" s="228"/>
      <c r="AV815" s="228"/>
      <c r="AW815" s="228"/>
      <c r="AX815" s="228"/>
      <c r="AY815" s="228"/>
      <c r="AZ815" s="228"/>
      <c r="BA815" s="228"/>
      <c r="BB815" s="228"/>
      <c r="BC815" s="228"/>
      <c r="BD815" s="228"/>
      <c r="BE815" s="228"/>
      <c r="BF815" s="228"/>
      <c r="BG815" s="228"/>
      <c r="BH815" s="228"/>
      <c r="BI815" s="228"/>
      <c r="BJ815" s="228"/>
      <c r="BK815" s="228"/>
      <c r="BL815" s="228"/>
      <c r="BM815" s="228"/>
      <c r="BN815" s="228"/>
      <c r="BO815" s="228"/>
      <c r="BP815" s="228"/>
      <c r="BQ815" s="228"/>
      <c r="BR815" s="228"/>
      <c r="BS815" s="228"/>
      <c r="BT815" s="228"/>
      <c r="BU815" s="228"/>
      <c r="BV815" s="228"/>
      <c r="BW815" s="228"/>
      <c r="BX815" s="228"/>
      <c r="BY815" s="228"/>
      <c r="BZ815" s="228"/>
      <c r="CA815" s="228"/>
      <c r="CB815" s="228"/>
      <c r="CC815" s="228"/>
      <c r="CD815" s="228"/>
      <c r="CE815" s="228"/>
      <c r="CF815" s="228"/>
      <c r="CG815" s="228"/>
      <c r="CH815" s="228"/>
      <c r="CI815" s="228"/>
      <c r="CJ815" s="228"/>
      <c r="CK815" s="228"/>
      <c r="CL815" s="228"/>
      <c r="CM815" s="228"/>
      <c r="CN815" s="228"/>
      <c r="CO815" s="228"/>
      <c r="CP815" s="228"/>
      <c r="CQ815" s="228"/>
      <c r="CR815" s="228"/>
      <c r="CS815" s="228"/>
      <c r="CT815" s="228"/>
      <c r="CU815" s="228"/>
      <c r="CV815" s="228"/>
      <c r="CW815" s="228"/>
      <c r="CX815" s="228"/>
      <c r="CY815" s="228"/>
      <c r="CZ815" s="228"/>
      <c r="DA815" s="228"/>
      <c r="DB815" s="228"/>
    </row>
    <row r="816" ht="12.0" customHeight="1">
      <c r="A816" s="228"/>
      <c r="B816" s="228"/>
      <c r="C816" s="228"/>
      <c r="D816" s="228"/>
      <c r="E816" s="228"/>
      <c r="F816" s="228"/>
      <c r="G816" s="228"/>
      <c r="H816" s="228"/>
      <c r="I816" s="228"/>
      <c r="J816" s="228"/>
      <c r="K816" s="228"/>
      <c r="L816" s="228"/>
      <c r="M816" s="228"/>
      <c r="N816" s="228"/>
      <c r="O816" s="228"/>
      <c r="P816" s="228"/>
      <c r="Q816" s="228"/>
      <c r="R816" s="228"/>
      <c r="S816" s="228"/>
      <c r="T816" s="228"/>
      <c r="U816" s="228"/>
      <c r="V816" s="228"/>
      <c r="W816" s="228"/>
      <c r="X816" s="228"/>
      <c r="Y816" s="228"/>
      <c r="Z816" s="228"/>
      <c r="AA816" s="228"/>
      <c r="AB816" s="228"/>
      <c r="AC816" s="228"/>
      <c r="AD816" s="228"/>
      <c r="AE816" s="228"/>
      <c r="AF816" s="228"/>
      <c r="AG816" s="228"/>
      <c r="AH816" s="228"/>
      <c r="AI816" s="228"/>
      <c r="AJ816" s="228"/>
      <c r="AK816" s="228"/>
      <c r="AL816" s="228"/>
      <c r="AM816" s="228"/>
      <c r="AN816" s="228"/>
      <c r="AO816" s="228"/>
      <c r="AP816" s="228"/>
      <c r="AQ816" s="228"/>
      <c r="AR816" s="228"/>
      <c r="AS816" s="228"/>
      <c r="AT816" s="228"/>
      <c r="AU816" s="228"/>
      <c r="AV816" s="228"/>
      <c r="AW816" s="228"/>
      <c r="AX816" s="228"/>
      <c r="AY816" s="228"/>
      <c r="AZ816" s="228"/>
      <c r="BA816" s="228"/>
      <c r="BB816" s="228"/>
      <c r="BC816" s="228"/>
      <c r="BD816" s="228"/>
      <c r="BE816" s="228"/>
      <c r="BF816" s="228"/>
      <c r="BG816" s="228"/>
      <c r="BH816" s="228"/>
      <c r="BI816" s="228"/>
      <c r="BJ816" s="228"/>
      <c r="BK816" s="228"/>
      <c r="BL816" s="228"/>
      <c r="BM816" s="228"/>
      <c r="BN816" s="228"/>
      <c r="BO816" s="228"/>
      <c r="BP816" s="228"/>
      <c r="BQ816" s="228"/>
      <c r="BR816" s="228"/>
      <c r="BS816" s="228"/>
      <c r="BT816" s="228"/>
      <c r="BU816" s="228"/>
      <c r="BV816" s="228"/>
      <c r="BW816" s="228"/>
      <c r="BX816" s="228"/>
      <c r="BY816" s="228"/>
      <c r="BZ816" s="228"/>
      <c r="CA816" s="228"/>
      <c r="CB816" s="228"/>
      <c r="CC816" s="228"/>
      <c r="CD816" s="228"/>
      <c r="CE816" s="228"/>
      <c r="CF816" s="228"/>
      <c r="CG816" s="228"/>
      <c r="CH816" s="228"/>
      <c r="CI816" s="228"/>
      <c r="CJ816" s="228"/>
      <c r="CK816" s="228"/>
      <c r="CL816" s="228"/>
      <c r="CM816" s="228"/>
      <c r="CN816" s="228"/>
      <c r="CO816" s="228"/>
      <c r="CP816" s="228"/>
      <c r="CQ816" s="228"/>
      <c r="CR816" s="228"/>
      <c r="CS816" s="228"/>
      <c r="CT816" s="228"/>
      <c r="CU816" s="228"/>
      <c r="CV816" s="228"/>
      <c r="CW816" s="228"/>
      <c r="CX816" s="228"/>
      <c r="CY816" s="228"/>
      <c r="CZ816" s="228"/>
      <c r="DA816" s="228"/>
      <c r="DB816" s="228"/>
    </row>
    <row r="817" ht="12.0" customHeight="1">
      <c r="A817" s="228"/>
      <c r="B817" s="228"/>
      <c r="C817" s="228"/>
      <c r="D817" s="228"/>
      <c r="E817" s="228"/>
      <c r="F817" s="228"/>
      <c r="G817" s="228"/>
      <c r="H817" s="228"/>
      <c r="I817" s="228"/>
      <c r="J817" s="228"/>
      <c r="K817" s="228"/>
      <c r="L817" s="228"/>
      <c r="M817" s="228"/>
      <c r="N817" s="228"/>
      <c r="O817" s="228"/>
      <c r="P817" s="228"/>
      <c r="Q817" s="228"/>
      <c r="R817" s="228"/>
      <c r="S817" s="228"/>
      <c r="T817" s="228"/>
      <c r="U817" s="228"/>
      <c r="V817" s="228"/>
      <c r="W817" s="228"/>
      <c r="X817" s="228"/>
      <c r="Y817" s="228"/>
      <c r="Z817" s="228"/>
      <c r="AA817" s="228"/>
      <c r="AB817" s="228"/>
      <c r="AC817" s="228"/>
      <c r="AD817" s="228"/>
      <c r="AE817" s="228"/>
      <c r="AF817" s="228"/>
      <c r="AG817" s="228"/>
      <c r="AH817" s="228"/>
      <c r="AI817" s="228"/>
      <c r="AJ817" s="228"/>
      <c r="AK817" s="228"/>
      <c r="AL817" s="228"/>
      <c r="AM817" s="228"/>
      <c r="AN817" s="228"/>
      <c r="AO817" s="228"/>
      <c r="AP817" s="228"/>
      <c r="AQ817" s="228"/>
      <c r="AR817" s="228"/>
      <c r="AS817" s="228"/>
      <c r="AT817" s="228"/>
      <c r="AU817" s="228"/>
      <c r="AV817" s="228"/>
      <c r="AW817" s="228"/>
      <c r="AX817" s="228"/>
      <c r="AY817" s="228"/>
      <c r="AZ817" s="228"/>
      <c r="BA817" s="228"/>
      <c r="BB817" s="228"/>
      <c r="BC817" s="228"/>
      <c r="BD817" s="228"/>
      <c r="BE817" s="228"/>
      <c r="BF817" s="228"/>
      <c r="BG817" s="228"/>
      <c r="BH817" s="228"/>
      <c r="BI817" s="228"/>
      <c r="BJ817" s="228"/>
      <c r="BK817" s="228"/>
      <c r="BL817" s="228"/>
      <c r="BM817" s="228"/>
      <c r="BN817" s="228"/>
      <c r="BO817" s="228"/>
      <c r="BP817" s="228"/>
      <c r="BQ817" s="228"/>
      <c r="BR817" s="228"/>
      <c r="BS817" s="228"/>
      <c r="BT817" s="228"/>
      <c r="BU817" s="228"/>
      <c r="BV817" s="228"/>
      <c r="BW817" s="228"/>
      <c r="BX817" s="228"/>
      <c r="BY817" s="228"/>
      <c r="BZ817" s="228"/>
      <c r="CA817" s="228"/>
      <c r="CB817" s="228"/>
      <c r="CC817" s="228"/>
      <c r="CD817" s="228"/>
      <c r="CE817" s="228"/>
      <c r="CF817" s="228"/>
      <c r="CG817" s="228"/>
      <c r="CH817" s="228"/>
      <c r="CI817" s="228"/>
      <c r="CJ817" s="228"/>
      <c r="CK817" s="228"/>
      <c r="CL817" s="228"/>
      <c r="CM817" s="228"/>
      <c r="CN817" s="228"/>
      <c r="CO817" s="228"/>
      <c r="CP817" s="228"/>
      <c r="CQ817" s="228"/>
      <c r="CR817" s="228"/>
      <c r="CS817" s="228"/>
      <c r="CT817" s="228"/>
      <c r="CU817" s="228"/>
      <c r="CV817" s="228"/>
      <c r="CW817" s="228"/>
      <c r="CX817" s="228"/>
      <c r="CY817" s="228"/>
      <c r="CZ817" s="228"/>
      <c r="DA817" s="228"/>
      <c r="DB817" s="228"/>
    </row>
    <row r="818" ht="12.0" customHeight="1">
      <c r="A818" s="228"/>
      <c r="B818" s="228"/>
      <c r="C818" s="228"/>
      <c r="D818" s="228"/>
      <c r="E818" s="228"/>
      <c r="F818" s="228"/>
      <c r="G818" s="228"/>
      <c r="H818" s="228"/>
      <c r="I818" s="228"/>
      <c r="J818" s="228"/>
      <c r="K818" s="228"/>
      <c r="L818" s="228"/>
      <c r="M818" s="228"/>
      <c r="N818" s="228"/>
      <c r="O818" s="228"/>
      <c r="P818" s="228"/>
      <c r="Q818" s="228"/>
      <c r="R818" s="228"/>
      <c r="S818" s="228"/>
      <c r="T818" s="228"/>
      <c r="U818" s="228"/>
      <c r="V818" s="228"/>
      <c r="W818" s="228"/>
      <c r="X818" s="228"/>
      <c r="Y818" s="228"/>
      <c r="Z818" s="228"/>
      <c r="AA818" s="228"/>
      <c r="AB818" s="228"/>
      <c r="AC818" s="228"/>
      <c r="AD818" s="228"/>
      <c r="AE818" s="228"/>
      <c r="AF818" s="228"/>
      <c r="AG818" s="228"/>
      <c r="AH818" s="228"/>
      <c r="AI818" s="228"/>
      <c r="AJ818" s="228"/>
      <c r="AK818" s="228"/>
      <c r="AL818" s="228"/>
      <c r="AM818" s="228"/>
      <c r="AN818" s="228"/>
      <c r="AO818" s="228"/>
      <c r="AP818" s="228"/>
      <c r="AQ818" s="228"/>
      <c r="AR818" s="228"/>
      <c r="AS818" s="228"/>
      <c r="AT818" s="228"/>
      <c r="AU818" s="228"/>
      <c r="AV818" s="228"/>
      <c r="AW818" s="228"/>
      <c r="AX818" s="228"/>
      <c r="AY818" s="228"/>
      <c r="AZ818" s="228"/>
      <c r="BA818" s="228"/>
      <c r="BB818" s="228"/>
      <c r="BC818" s="228"/>
      <c r="BD818" s="228"/>
      <c r="BE818" s="228"/>
      <c r="BF818" s="228"/>
      <c r="BG818" s="228"/>
      <c r="BH818" s="228"/>
      <c r="BI818" s="228"/>
      <c r="BJ818" s="228"/>
      <c r="BK818" s="228"/>
      <c r="BL818" s="228"/>
      <c r="BM818" s="228"/>
      <c r="BN818" s="228"/>
      <c r="BO818" s="228"/>
      <c r="BP818" s="228"/>
      <c r="BQ818" s="228"/>
      <c r="BR818" s="228"/>
      <c r="BS818" s="228"/>
      <c r="BT818" s="228"/>
      <c r="BU818" s="228"/>
      <c r="BV818" s="228"/>
      <c r="BW818" s="228"/>
      <c r="BX818" s="228"/>
      <c r="BY818" s="228"/>
      <c r="BZ818" s="228"/>
      <c r="CA818" s="228"/>
      <c r="CB818" s="228"/>
      <c r="CC818" s="228"/>
      <c r="CD818" s="228"/>
      <c r="CE818" s="228"/>
      <c r="CF818" s="228"/>
      <c r="CG818" s="228"/>
      <c r="CH818" s="228"/>
      <c r="CI818" s="228"/>
      <c r="CJ818" s="228"/>
      <c r="CK818" s="228"/>
      <c r="CL818" s="228"/>
      <c r="CM818" s="228"/>
      <c r="CN818" s="228"/>
      <c r="CO818" s="228"/>
      <c r="CP818" s="228"/>
      <c r="CQ818" s="228"/>
      <c r="CR818" s="228"/>
      <c r="CS818" s="228"/>
      <c r="CT818" s="228"/>
      <c r="CU818" s="228"/>
      <c r="CV818" s="228"/>
      <c r="CW818" s="228"/>
      <c r="CX818" s="228"/>
      <c r="CY818" s="228"/>
      <c r="CZ818" s="228"/>
      <c r="DA818" s="228"/>
      <c r="DB818" s="228"/>
    </row>
    <row r="819" ht="12.0" customHeight="1">
      <c r="A819" s="228"/>
      <c r="B819" s="228"/>
      <c r="C819" s="228"/>
      <c r="D819" s="228"/>
      <c r="E819" s="228"/>
      <c r="F819" s="228"/>
      <c r="G819" s="228"/>
      <c r="H819" s="228"/>
      <c r="I819" s="228"/>
      <c r="J819" s="228"/>
      <c r="K819" s="228"/>
      <c r="L819" s="228"/>
      <c r="M819" s="228"/>
      <c r="N819" s="228"/>
      <c r="O819" s="228"/>
      <c r="P819" s="228"/>
      <c r="Q819" s="228"/>
      <c r="R819" s="228"/>
      <c r="S819" s="228"/>
      <c r="T819" s="228"/>
      <c r="U819" s="228"/>
      <c r="V819" s="228"/>
      <c r="W819" s="228"/>
      <c r="X819" s="228"/>
      <c r="Y819" s="228"/>
      <c r="Z819" s="228"/>
      <c r="AA819" s="228"/>
      <c r="AB819" s="228"/>
      <c r="AC819" s="228"/>
      <c r="AD819" s="228"/>
      <c r="AE819" s="228"/>
      <c r="AF819" s="228"/>
      <c r="AG819" s="228"/>
      <c r="AH819" s="228"/>
      <c r="AI819" s="228"/>
      <c r="AJ819" s="228"/>
      <c r="AK819" s="228"/>
      <c r="AL819" s="228"/>
      <c r="AM819" s="228"/>
      <c r="AN819" s="228"/>
      <c r="AO819" s="228"/>
      <c r="AP819" s="228"/>
      <c r="AQ819" s="228"/>
      <c r="AR819" s="228"/>
      <c r="AS819" s="228"/>
      <c r="AT819" s="228"/>
      <c r="AU819" s="228"/>
      <c r="AV819" s="228"/>
      <c r="AW819" s="228"/>
      <c r="AX819" s="228"/>
      <c r="AY819" s="228"/>
      <c r="AZ819" s="228"/>
      <c r="BA819" s="228"/>
      <c r="BB819" s="228"/>
      <c r="BC819" s="228"/>
      <c r="BD819" s="228"/>
      <c r="BE819" s="228"/>
      <c r="BF819" s="228"/>
      <c r="BG819" s="228"/>
      <c r="BH819" s="228"/>
      <c r="BI819" s="228"/>
      <c r="BJ819" s="228"/>
      <c r="BK819" s="228"/>
      <c r="BL819" s="228"/>
      <c r="BM819" s="228"/>
      <c r="BN819" s="228"/>
      <c r="BO819" s="228"/>
      <c r="BP819" s="228"/>
      <c r="BQ819" s="228"/>
      <c r="BR819" s="228"/>
      <c r="BS819" s="228"/>
      <c r="BT819" s="228"/>
      <c r="BU819" s="228"/>
      <c r="BV819" s="228"/>
      <c r="BW819" s="228"/>
      <c r="BX819" s="228"/>
      <c r="BY819" s="228"/>
      <c r="BZ819" s="228"/>
      <c r="CA819" s="228"/>
      <c r="CB819" s="228"/>
      <c r="CC819" s="228"/>
      <c r="CD819" s="228"/>
      <c r="CE819" s="228"/>
      <c r="CF819" s="228"/>
      <c r="CG819" s="228"/>
      <c r="CH819" s="228"/>
      <c r="CI819" s="228"/>
      <c r="CJ819" s="228"/>
      <c r="CK819" s="228"/>
      <c r="CL819" s="228"/>
      <c r="CM819" s="228"/>
      <c r="CN819" s="228"/>
      <c r="CO819" s="228"/>
      <c r="CP819" s="228"/>
      <c r="CQ819" s="228"/>
      <c r="CR819" s="228"/>
      <c r="CS819" s="228"/>
      <c r="CT819" s="228"/>
      <c r="CU819" s="228"/>
      <c r="CV819" s="228"/>
      <c r="CW819" s="228"/>
      <c r="CX819" s="228"/>
      <c r="CY819" s="228"/>
      <c r="CZ819" s="228"/>
      <c r="DA819" s="228"/>
      <c r="DB819" s="228"/>
    </row>
    <row r="820" ht="12.0" customHeight="1">
      <c r="A820" s="228"/>
      <c r="B820" s="228"/>
      <c r="C820" s="228"/>
      <c r="D820" s="228"/>
      <c r="E820" s="228"/>
      <c r="F820" s="228"/>
      <c r="G820" s="228"/>
      <c r="H820" s="228"/>
      <c r="I820" s="228"/>
      <c r="J820" s="228"/>
      <c r="K820" s="228"/>
      <c r="L820" s="228"/>
      <c r="M820" s="228"/>
      <c r="N820" s="228"/>
      <c r="O820" s="228"/>
      <c r="P820" s="228"/>
      <c r="Q820" s="228"/>
      <c r="R820" s="228"/>
      <c r="S820" s="228"/>
      <c r="T820" s="228"/>
      <c r="U820" s="228"/>
      <c r="V820" s="228"/>
      <c r="W820" s="228"/>
      <c r="X820" s="228"/>
      <c r="Y820" s="228"/>
      <c r="Z820" s="228"/>
      <c r="AA820" s="228"/>
      <c r="AB820" s="228"/>
      <c r="AC820" s="228"/>
      <c r="AD820" s="228"/>
      <c r="AE820" s="228"/>
      <c r="AF820" s="228"/>
      <c r="AG820" s="228"/>
      <c r="AH820" s="228"/>
      <c r="AI820" s="228"/>
      <c r="AJ820" s="228"/>
      <c r="AK820" s="228"/>
      <c r="AL820" s="228"/>
      <c r="AM820" s="228"/>
      <c r="AN820" s="228"/>
      <c r="AO820" s="228"/>
      <c r="AP820" s="228"/>
      <c r="AQ820" s="228"/>
      <c r="AR820" s="228"/>
      <c r="AS820" s="228"/>
      <c r="AT820" s="228"/>
      <c r="AU820" s="228"/>
      <c r="AV820" s="228"/>
      <c r="AW820" s="228"/>
      <c r="AX820" s="228"/>
      <c r="AY820" s="228"/>
      <c r="AZ820" s="228"/>
      <c r="BA820" s="228"/>
      <c r="BB820" s="228"/>
      <c r="BC820" s="228"/>
      <c r="BD820" s="228"/>
      <c r="BE820" s="228"/>
      <c r="BF820" s="228"/>
      <c r="BG820" s="228"/>
      <c r="BH820" s="228"/>
      <c r="BI820" s="228"/>
      <c r="BJ820" s="228"/>
      <c r="BK820" s="228"/>
      <c r="BL820" s="228"/>
      <c r="BM820" s="228"/>
      <c r="BN820" s="228"/>
      <c r="BO820" s="228"/>
      <c r="BP820" s="228"/>
      <c r="BQ820" s="228"/>
      <c r="BR820" s="228"/>
      <c r="BS820" s="228"/>
      <c r="BT820" s="228"/>
      <c r="BU820" s="228"/>
      <c r="BV820" s="228"/>
      <c r="BW820" s="228"/>
      <c r="BX820" s="228"/>
      <c r="BY820" s="228"/>
      <c r="BZ820" s="228"/>
      <c r="CA820" s="228"/>
      <c r="CB820" s="228"/>
      <c r="CC820" s="228"/>
      <c r="CD820" s="228"/>
      <c r="CE820" s="228"/>
      <c r="CF820" s="228"/>
      <c r="CG820" s="228"/>
      <c r="CH820" s="228"/>
      <c r="CI820" s="228"/>
      <c r="CJ820" s="228"/>
      <c r="CK820" s="228"/>
      <c r="CL820" s="228"/>
      <c r="CM820" s="228"/>
      <c r="CN820" s="228"/>
      <c r="CO820" s="228"/>
      <c r="CP820" s="228"/>
      <c r="CQ820" s="228"/>
      <c r="CR820" s="228"/>
      <c r="CS820" s="228"/>
      <c r="CT820" s="228"/>
      <c r="CU820" s="228"/>
      <c r="CV820" s="228"/>
      <c r="CW820" s="228"/>
      <c r="CX820" s="228"/>
      <c r="CY820" s="228"/>
      <c r="CZ820" s="228"/>
      <c r="DA820" s="228"/>
      <c r="DB820" s="228"/>
    </row>
    <row r="821" ht="12.0" customHeight="1">
      <c r="A821" s="228"/>
      <c r="B821" s="228"/>
      <c r="C821" s="228"/>
      <c r="D821" s="228"/>
      <c r="E821" s="228"/>
      <c r="F821" s="228"/>
      <c r="G821" s="228"/>
      <c r="H821" s="228"/>
      <c r="I821" s="228"/>
      <c r="J821" s="228"/>
      <c r="K821" s="228"/>
      <c r="L821" s="228"/>
      <c r="M821" s="228"/>
      <c r="N821" s="228"/>
      <c r="O821" s="228"/>
      <c r="P821" s="228"/>
      <c r="Q821" s="228"/>
      <c r="R821" s="228"/>
      <c r="S821" s="228"/>
      <c r="T821" s="228"/>
      <c r="U821" s="228"/>
      <c r="V821" s="228"/>
      <c r="W821" s="228"/>
      <c r="X821" s="228"/>
      <c r="Y821" s="228"/>
      <c r="Z821" s="228"/>
      <c r="AA821" s="228"/>
      <c r="AB821" s="228"/>
      <c r="AC821" s="228"/>
      <c r="AD821" s="228"/>
      <c r="AE821" s="228"/>
      <c r="AF821" s="228"/>
      <c r="AG821" s="228"/>
      <c r="AH821" s="228"/>
      <c r="AI821" s="228"/>
      <c r="AJ821" s="228"/>
      <c r="AK821" s="228"/>
      <c r="AL821" s="228"/>
      <c r="AM821" s="228"/>
      <c r="AN821" s="228"/>
      <c r="AO821" s="228"/>
      <c r="AP821" s="228"/>
      <c r="AQ821" s="228"/>
      <c r="AR821" s="228"/>
      <c r="AS821" s="228"/>
      <c r="AT821" s="228"/>
      <c r="AU821" s="228"/>
      <c r="AV821" s="228"/>
      <c r="AW821" s="228"/>
      <c r="AX821" s="228"/>
      <c r="AY821" s="228"/>
      <c r="AZ821" s="228"/>
      <c r="BA821" s="228"/>
      <c r="BB821" s="228"/>
      <c r="BC821" s="228"/>
      <c r="BD821" s="228"/>
      <c r="BE821" s="228"/>
      <c r="BF821" s="228"/>
      <c r="BG821" s="228"/>
      <c r="BH821" s="228"/>
      <c r="BI821" s="228"/>
      <c r="BJ821" s="228"/>
      <c r="BK821" s="228"/>
      <c r="BL821" s="228"/>
      <c r="BM821" s="228"/>
      <c r="BN821" s="228"/>
      <c r="BO821" s="228"/>
      <c r="BP821" s="228"/>
      <c r="BQ821" s="228"/>
      <c r="BR821" s="228"/>
      <c r="BS821" s="228"/>
      <c r="BT821" s="228"/>
      <c r="BU821" s="228"/>
      <c r="BV821" s="228"/>
      <c r="BW821" s="228"/>
      <c r="BX821" s="228"/>
      <c r="BY821" s="228"/>
      <c r="BZ821" s="228"/>
      <c r="CA821" s="228"/>
      <c r="CB821" s="228"/>
      <c r="CC821" s="228"/>
      <c r="CD821" s="228"/>
      <c r="CE821" s="228"/>
      <c r="CF821" s="228"/>
      <c r="CG821" s="228"/>
      <c r="CH821" s="228"/>
      <c r="CI821" s="228"/>
      <c r="CJ821" s="228"/>
      <c r="CK821" s="228"/>
      <c r="CL821" s="228"/>
      <c r="CM821" s="228"/>
      <c r="CN821" s="228"/>
      <c r="CO821" s="228"/>
      <c r="CP821" s="228"/>
      <c r="CQ821" s="228"/>
      <c r="CR821" s="228"/>
      <c r="CS821" s="228"/>
      <c r="CT821" s="228"/>
      <c r="CU821" s="228"/>
      <c r="CV821" s="228"/>
      <c r="CW821" s="228"/>
      <c r="CX821" s="228"/>
      <c r="CY821" s="228"/>
      <c r="CZ821" s="228"/>
      <c r="DA821" s="228"/>
      <c r="DB821" s="228"/>
    </row>
    <row r="822" ht="12.0" customHeight="1">
      <c r="A822" s="228"/>
      <c r="B822" s="228"/>
      <c r="C822" s="228"/>
      <c r="D822" s="228"/>
      <c r="E822" s="228"/>
      <c r="F822" s="228"/>
      <c r="G822" s="228"/>
      <c r="H822" s="228"/>
      <c r="I822" s="228"/>
      <c r="J822" s="228"/>
      <c r="K822" s="228"/>
      <c r="L822" s="228"/>
      <c r="M822" s="228"/>
      <c r="N822" s="228"/>
      <c r="O822" s="228"/>
      <c r="P822" s="228"/>
      <c r="Q822" s="228"/>
      <c r="R822" s="228"/>
      <c r="S822" s="228"/>
      <c r="T822" s="228"/>
      <c r="U822" s="228"/>
      <c r="V822" s="228"/>
      <c r="W822" s="228"/>
      <c r="X822" s="228"/>
      <c r="Y822" s="228"/>
      <c r="Z822" s="228"/>
      <c r="AA822" s="228"/>
      <c r="AB822" s="228"/>
      <c r="AC822" s="228"/>
      <c r="AD822" s="228"/>
      <c r="AE822" s="228"/>
      <c r="AF822" s="228"/>
      <c r="AG822" s="228"/>
      <c r="AH822" s="228"/>
      <c r="AI822" s="228"/>
      <c r="AJ822" s="228"/>
      <c r="AK822" s="228"/>
      <c r="AL822" s="228"/>
      <c r="AM822" s="228"/>
      <c r="AN822" s="228"/>
      <c r="AO822" s="228"/>
      <c r="AP822" s="228"/>
      <c r="AQ822" s="228"/>
      <c r="AR822" s="228"/>
      <c r="AS822" s="228"/>
      <c r="AT822" s="228"/>
      <c r="AU822" s="228"/>
      <c r="AV822" s="228"/>
      <c r="AW822" s="228"/>
      <c r="AX822" s="228"/>
      <c r="AY822" s="228"/>
      <c r="AZ822" s="228"/>
      <c r="BA822" s="228"/>
      <c r="BB822" s="228"/>
      <c r="BC822" s="228"/>
      <c r="BD822" s="228"/>
      <c r="BE822" s="228"/>
      <c r="BF822" s="228"/>
      <c r="BG822" s="228"/>
      <c r="BH822" s="228"/>
      <c r="BI822" s="228"/>
      <c r="BJ822" s="228"/>
      <c r="BK822" s="228"/>
      <c r="BL822" s="228"/>
      <c r="BM822" s="228"/>
      <c r="BN822" s="228"/>
      <c r="BO822" s="228"/>
      <c r="BP822" s="228"/>
      <c r="BQ822" s="228"/>
      <c r="BR822" s="228"/>
      <c r="BS822" s="228"/>
      <c r="BT822" s="228"/>
      <c r="BU822" s="228"/>
      <c r="BV822" s="228"/>
      <c r="BW822" s="228"/>
      <c r="BX822" s="228"/>
      <c r="BY822" s="228"/>
      <c r="BZ822" s="228"/>
      <c r="CA822" s="228"/>
      <c r="CB822" s="228"/>
      <c r="CC822" s="228"/>
      <c r="CD822" s="228"/>
      <c r="CE822" s="228"/>
      <c r="CF822" s="228"/>
      <c r="CG822" s="228"/>
      <c r="CH822" s="228"/>
      <c r="CI822" s="228"/>
      <c r="CJ822" s="228"/>
      <c r="CK822" s="228"/>
      <c r="CL822" s="228"/>
      <c r="CM822" s="228"/>
      <c r="CN822" s="228"/>
      <c r="CO822" s="228"/>
      <c r="CP822" s="228"/>
      <c r="CQ822" s="228"/>
      <c r="CR822" s="228"/>
      <c r="CS822" s="228"/>
      <c r="CT822" s="228"/>
      <c r="CU822" s="228"/>
      <c r="CV822" s="228"/>
      <c r="CW822" s="228"/>
      <c r="CX822" s="228"/>
      <c r="CY822" s="228"/>
      <c r="CZ822" s="228"/>
      <c r="DA822" s="228"/>
      <c r="DB822" s="228"/>
    </row>
    <row r="823" ht="12.0" customHeight="1">
      <c r="A823" s="228"/>
      <c r="B823" s="228"/>
      <c r="C823" s="228"/>
      <c r="D823" s="228"/>
      <c r="E823" s="228"/>
      <c r="F823" s="228"/>
      <c r="G823" s="228"/>
      <c r="H823" s="228"/>
      <c r="I823" s="228"/>
      <c r="J823" s="228"/>
      <c r="K823" s="228"/>
      <c r="L823" s="228"/>
      <c r="M823" s="228"/>
      <c r="N823" s="228"/>
      <c r="O823" s="228"/>
      <c r="P823" s="228"/>
      <c r="Q823" s="228"/>
      <c r="R823" s="228"/>
      <c r="S823" s="228"/>
      <c r="T823" s="228"/>
      <c r="U823" s="228"/>
      <c r="V823" s="228"/>
      <c r="W823" s="228"/>
      <c r="X823" s="228"/>
      <c r="Y823" s="228"/>
      <c r="Z823" s="228"/>
      <c r="AA823" s="228"/>
      <c r="AB823" s="228"/>
      <c r="AC823" s="228"/>
      <c r="AD823" s="228"/>
      <c r="AE823" s="228"/>
      <c r="AF823" s="228"/>
      <c r="AG823" s="228"/>
      <c r="AH823" s="228"/>
      <c r="AI823" s="228"/>
      <c r="AJ823" s="228"/>
      <c r="AK823" s="228"/>
      <c r="AL823" s="228"/>
      <c r="AM823" s="228"/>
      <c r="AN823" s="228"/>
      <c r="AO823" s="228"/>
      <c r="AP823" s="228"/>
      <c r="AQ823" s="228"/>
      <c r="AR823" s="228"/>
      <c r="AS823" s="228"/>
      <c r="AT823" s="228"/>
      <c r="AU823" s="228"/>
      <c r="AV823" s="228"/>
      <c r="AW823" s="228"/>
      <c r="AX823" s="228"/>
      <c r="AY823" s="228"/>
      <c r="AZ823" s="228"/>
      <c r="BA823" s="228"/>
      <c r="BB823" s="228"/>
      <c r="BC823" s="228"/>
      <c r="BD823" s="228"/>
      <c r="BE823" s="228"/>
      <c r="BF823" s="228"/>
      <c r="BG823" s="228"/>
      <c r="BH823" s="228"/>
      <c r="BI823" s="228"/>
      <c r="BJ823" s="228"/>
      <c r="BK823" s="228"/>
      <c r="BL823" s="228"/>
      <c r="BM823" s="228"/>
      <c r="BN823" s="228"/>
      <c r="BO823" s="228"/>
      <c r="BP823" s="228"/>
      <c r="BQ823" s="228"/>
      <c r="BR823" s="228"/>
      <c r="BS823" s="228"/>
      <c r="BT823" s="228"/>
      <c r="BU823" s="228"/>
      <c r="BV823" s="228"/>
      <c r="BW823" s="228"/>
      <c r="BX823" s="228"/>
      <c r="BY823" s="228"/>
      <c r="BZ823" s="228"/>
      <c r="CA823" s="228"/>
      <c r="CB823" s="228"/>
      <c r="CC823" s="228"/>
      <c r="CD823" s="228"/>
      <c r="CE823" s="228"/>
      <c r="CF823" s="228"/>
      <c r="CG823" s="228"/>
      <c r="CH823" s="228"/>
      <c r="CI823" s="228"/>
      <c r="CJ823" s="228"/>
      <c r="CK823" s="228"/>
      <c r="CL823" s="228"/>
      <c r="CM823" s="228"/>
      <c r="CN823" s="228"/>
      <c r="CO823" s="228"/>
      <c r="CP823" s="228"/>
      <c r="CQ823" s="228"/>
      <c r="CR823" s="228"/>
      <c r="CS823" s="228"/>
      <c r="CT823" s="228"/>
      <c r="CU823" s="228"/>
      <c r="CV823" s="228"/>
      <c r="CW823" s="228"/>
      <c r="CX823" s="228"/>
      <c r="CY823" s="228"/>
      <c r="CZ823" s="228"/>
      <c r="DA823" s="228"/>
      <c r="DB823" s="228"/>
    </row>
    <row r="824" ht="12.0" customHeight="1">
      <c r="A824" s="228"/>
      <c r="B824" s="228"/>
      <c r="C824" s="228"/>
      <c r="D824" s="228"/>
      <c r="E824" s="228"/>
      <c r="F824" s="228"/>
      <c r="G824" s="228"/>
      <c r="H824" s="228"/>
      <c r="I824" s="228"/>
      <c r="J824" s="228"/>
      <c r="K824" s="228"/>
      <c r="L824" s="228"/>
      <c r="M824" s="228"/>
      <c r="N824" s="228"/>
      <c r="O824" s="228"/>
      <c r="P824" s="228"/>
      <c r="Q824" s="228"/>
      <c r="R824" s="228"/>
      <c r="S824" s="228"/>
      <c r="T824" s="228"/>
      <c r="U824" s="228"/>
      <c r="V824" s="228"/>
      <c r="W824" s="228"/>
      <c r="X824" s="228"/>
      <c r="Y824" s="228"/>
      <c r="Z824" s="228"/>
      <c r="AA824" s="228"/>
      <c r="AB824" s="228"/>
      <c r="AC824" s="228"/>
      <c r="AD824" s="228"/>
      <c r="AE824" s="228"/>
      <c r="AF824" s="228"/>
      <c r="AG824" s="228"/>
      <c r="AH824" s="228"/>
      <c r="AI824" s="228"/>
      <c r="AJ824" s="228"/>
      <c r="AK824" s="228"/>
      <c r="AL824" s="228"/>
      <c r="AM824" s="228"/>
      <c r="AN824" s="228"/>
      <c r="AO824" s="228"/>
      <c r="AP824" s="228"/>
      <c r="AQ824" s="228"/>
      <c r="AR824" s="228"/>
      <c r="AS824" s="228"/>
      <c r="AT824" s="228"/>
      <c r="AU824" s="228"/>
      <c r="AV824" s="228"/>
      <c r="AW824" s="228"/>
      <c r="AX824" s="228"/>
      <c r="AY824" s="228"/>
      <c r="AZ824" s="228"/>
      <c r="BA824" s="228"/>
      <c r="BB824" s="228"/>
      <c r="BC824" s="228"/>
      <c r="BD824" s="228"/>
      <c r="BE824" s="228"/>
      <c r="BF824" s="228"/>
      <c r="BG824" s="228"/>
      <c r="BH824" s="228"/>
      <c r="BI824" s="228"/>
      <c r="BJ824" s="228"/>
      <c r="BK824" s="228"/>
      <c r="BL824" s="228"/>
      <c r="BM824" s="228"/>
      <c r="BN824" s="228"/>
      <c r="BO824" s="228"/>
      <c r="BP824" s="228"/>
      <c r="BQ824" s="228"/>
      <c r="BR824" s="228"/>
      <c r="BS824" s="228"/>
      <c r="BT824" s="228"/>
      <c r="BU824" s="228"/>
      <c r="BV824" s="228"/>
      <c r="BW824" s="228"/>
      <c r="BX824" s="228"/>
      <c r="BY824" s="228"/>
      <c r="BZ824" s="228"/>
      <c r="CA824" s="228"/>
      <c r="CB824" s="228"/>
      <c r="CC824" s="228"/>
      <c r="CD824" s="228"/>
      <c r="CE824" s="228"/>
      <c r="CF824" s="228"/>
      <c r="CG824" s="228"/>
      <c r="CH824" s="228"/>
      <c r="CI824" s="228"/>
      <c r="CJ824" s="228"/>
      <c r="CK824" s="228"/>
      <c r="CL824" s="228"/>
      <c r="CM824" s="228"/>
      <c r="CN824" s="228"/>
      <c r="CO824" s="228"/>
      <c r="CP824" s="228"/>
      <c r="CQ824" s="228"/>
      <c r="CR824" s="228"/>
      <c r="CS824" s="228"/>
      <c r="CT824" s="228"/>
      <c r="CU824" s="228"/>
      <c r="CV824" s="228"/>
      <c r="CW824" s="228"/>
      <c r="CX824" s="228"/>
      <c r="CY824" s="228"/>
      <c r="CZ824" s="228"/>
      <c r="DA824" s="228"/>
      <c r="DB824" s="228"/>
    </row>
    <row r="825" ht="12.0" customHeight="1">
      <c r="A825" s="228"/>
      <c r="B825" s="228"/>
      <c r="C825" s="228"/>
      <c r="D825" s="228"/>
      <c r="E825" s="228"/>
      <c r="F825" s="228"/>
      <c r="G825" s="228"/>
      <c r="H825" s="228"/>
      <c r="I825" s="228"/>
      <c r="J825" s="228"/>
      <c r="K825" s="228"/>
      <c r="L825" s="228"/>
      <c r="M825" s="228"/>
      <c r="N825" s="228"/>
      <c r="O825" s="228"/>
      <c r="P825" s="228"/>
      <c r="Q825" s="228"/>
      <c r="R825" s="228"/>
      <c r="S825" s="228"/>
      <c r="T825" s="228"/>
      <c r="U825" s="228"/>
      <c r="V825" s="228"/>
      <c r="W825" s="228"/>
      <c r="X825" s="228"/>
      <c r="Y825" s="228"/>
      <c r="Z825" s="228"/>
      <c r="AA825" s="228"/>
      <c r="AB825" s="228"/>
      <c r="AC825" s="228"/>
      <c r="AD825" s="228"/>
      <c r="AE825" s="228"/>
      <c r="AF825" s="228"/>
      <c r="AG825" s="228"/>
      <c r="AH825" s="228"/>
      <c r="AI825" s="228"/>
      <c r="AJ825" s="228"/>
      <c r="AK825" s="228"/>
      <c r="AL825" s="228"/>
      <c r="AM825" s="228"/>
      <c r="AN825" s="228"/>
      <c r="AO825" s="228"/>
      <c r="AP825" s="228"/>
      <c r="AQ825" s="228"/>
      <c r="AR825" s="228"/>
      <c r="AS825" s="228"/>
      <c r="AT825" s="228"/>
      <c r="AU825" s="228"/>
      <c r="AV825" s="228"/>
      <c r="AW825" s="228"/>
      <c r="AX825" s="228"/>
      <c r="AY825" s="228"/>
      <c r="AZ825" s="228"/>
      <c r="BA825" s="228"/>
      <c r="BB825" s="228"/>
      <c r="BC825" s="228"/>
      <c r="BD825" s="228"/>
      <c r="BE825" s="228"/>
      <c r="BF825" s="228"/>
      <c r="BG825" s="228"/>
      <c r="BH825" s="228"/>
      <c r="BI825" s="228"/>
      <c r="BJ825" s="228"/>
      <c r="BK825" s="228"/>
      <c r="BL825" s="228"/>
      <c r="BM825" s="228"/>
      <c r="BN825" s="228"/>
      <c r="BO825" s="228"/>
      <c r="BP825" s="228"/>
      <c r="BQ825" s="228"/>
      <c r="BR825" s="228"/>
      <c r="BS825" s="228"/>
      <c r="BT825" s="228"/>
      <c r="BU825" s="228"/>
      <c r="BV825" s="228"/>
      <c r="BW825" s="228"/>
      <c r="BX825" s="228"/>
      <c r="BY825" s="228"/>
      <c r="BZ825" s="228"/>
      <c r="CA825" s="228"/>
      <c r="CB825" s="228"/>
      <c r="CC825" s="228"/>
      <c r="CD825" s="228"/>
      <c r="CE825" s="228"/>
      <c r="CF825" s="228"/>
      <c r="CG825" s="228"/>
      <c r="CH825" s="228"/>
      <c r="CI825" s="228"/>
      <c r="CJ825" s="228"/>
      <c r="CK825" s="228"/>
      <c r="CL825" s="228"/>
      <c r="CM825" s="228"/>
      <c r="CN825" s="228"/>
      <c r="CO825" s="228"/>
      <c r="CP825" s="228"/>
      <c r="CQ825" s="228"/>
      <c r="CR825" s="228"/>
      <c r="CS825" s="228"/>
      <c r="CT825" s="228"/>
      <c r="CU825" s="228"/>
      <c r="CV825" s="228"/>
      <c r="CW825" s="228"/>
      <c r="CX825" s="228"/>
      <c r="CY825" s="228"/>
      <c r="CZ825" s="228"/>
      <c r="DA825" s="228"/>
      <c r="DB825" s="228"/>
    </row>
    <row r="826" ht="12.0" customHeight="1">
      <c r="A826" s="228"/>
      <c r="B826" s="228"/>
      <c r="C826" s="228"/>
      <c r="D826" s="228"/>
      <c r="E826" s="228"/>
      <c r="F826" s="228"/>
      <c r="G826" s="228"/>
      <c r="H826" s="228"/>
      <c r="I826" s="228"/>
      <c r="J826" s="228"/>
      <c r="K826" s="228"/>
      <c r="L826" s="228"/>
      <c r="M826" s="228"/>
      <c r="N826" s="228"/>
      <c r="O826" s="228"/>
      <c r="P826" s="228"/>
      <c r="Q826" s="228"/>
      <c r="R826" s="228"/>
      <c r="S826" s="228"/>
      <c r="T826" s="228"/>
      <c r="U826" s="228"/>
      <c r="V826" s="228"/>
      <c r="W826" s="228"/>
      <c r="X826" s="228"/>
      <c r="Y826" s="228"/>
      <c r="Z826" s="228"/>
      <c r="AA826" s="228"/>
      <c r="AB826" s="228"/>
      <c r="AC826" s="228"/>
      <c r="AD826" s="228"/>
      <c r="AE826" s="228"/>
      <c r="AF826" s="228"/>
      <c r="AG826" s="228"/>
      <c r="AH826" s="228"/>
      <c r="AI826" s="228"/>
      <c r="AJ826" s="228"/>
      <c r="AK826" s="228"/>
      <c r="AL826" s="228"/>
      <c r="AM826" s="228"/>
      <c r="AN826" s="228"/>
      <c r="AO826" s="228"/>
      <c r="AP826" s="228"/>
      <c r="AQ826" s="228"/>
      <c r="AR826" s="228"/>
      <c r="AS826" s="228"/>
      <c r="AT826" s="228"/>
      <c r="AU826" s="228"/>
      <c r="AV826" s="228"/>
      <c r="AW826" s="228"/>
      <c r="AX826" s="228"/>
      <c r="AY826" s="228"/>
      <c r="AZ826" s="228"/>
      <c r="BA826" s="228"/>
      <c r="BB826" s="228"/>
      <c r="BC826" s="228"/>
      <c r="BD826" s="228"/>
      <c r="BE826" s="228"/>
      <c r="BF826" s="228"/>
      <c r="BG826" s="228"/>
      <c r="BH826" s="228"/>
      <c r="BI826" s="228"/>
      <c r="BJ826" s="228"/>
      <c r="BK826" s="228"/>
      <c r="BL826" s="228"/>
      <c r="BM826" s="228"/>
      <c r="BN826" s="228"/>
      <c r="BO826" s="228"/>
      <c r="BP826" s="228"/>
      <c r="BQ826" s="228"/>
      <c r="BR826" s="228"/>
      <c r="BS826" s="228"/>
      <c r="BT826" s="228"/>
      <c r="BU826" s="228"/>
      <c r="BV826" s="228"/>
      <c r="BW826" s="228"/>
      <c r="BX826" s="228"/>
      <c r="BY826" s="228"/>
      <c r="BZ826" s="228"/>
      <c r="CA826" s="228"/>
      <c r="CB826" s="228"/>
      <c r="CC826" s="228"/>
      <c r="CD826" s="228"/>
      <c r="CE826" s="228"/>
      <c r="CF826" s="228"/>
      <c r="CG826" s="228"/>
      <c r="CH826" s="228"/>
      <c r="CI826" s="228"/>
      <c r="CJ826" s="228"/>
      <c r="CK826" s="228"/>
      <c r="CL826" s="228"/>
      <c r="CM826" s="228"/>
      <c r="CN826" s="228"/>
      <c r="CO826" s="228"/>
      <c r="CP826" s="228"/>
      <c r="CQ826" s="228"/>
      <c r="CR826" s="228"/>
      <c r="CS826" s="228"/>
      <c r="CT826" s="228"/>
      <c r="CU826" s="228"/>
      <c r="CV826" s="228"/>
      <c r="CW826" s="228"/>
      <c r="CX826" s="228"/>
      <c r="CY826" s="228"/>
      <c r="CZ826" s="228"/>
      <c r="DA826" s="228"/>
      <c r="DB826" s="228"/>
    </row>
    <row r="827" ht="12.0" customHeight="1">
      <c r="A827" s="228"/>
      <c r="B827" s="228"/>
      <c r="C827" s="228"/>
      <c r="D827" s="228"/>
      <c r="E827" s="228"/>
      <c r="F827" s="228"/>
      <c r="G827" s="228"/>
      <c r="H827" s="228"/>
      <c r="I827" s="228"/>
      <c r="J827" s="228"/>
      <c r="K827" s="228"/>
      <c r="L827" s="228"/>
      <c r="M827" s="228"/>
      <c r="N827" s="228"/>
      <c r="O827" s="228"/>
      <c r="P827" s="228"/>
      <c r="Q827" s="228"/>
      <c r="R827" s="228"/>
      <c r="S827" s="228"/>
      <c r="T827" s="228"/>
      <c r="U827" s="228"/>
      <c r="V827" s="228"/>
      <c r="W827" s="228"/>
      <c r="X827" s="228"/>
      <c r="Y827" s="228"/>
      <c r="Z827" s="228"/>
      <c r="AA827" s="228"/>
      <c r="AB827" s="228"/>
      <c r="AC827" s="228"/>
      <c r="AD827" s="228"/>
      <c r="AE827" s="228"/>
      <c r="AF827" s="228"/>
      <c r="AG827" s="228"/>
      <c r="AH827" s="228"/>
      <c r="AI827" s="228"/>
      <c r="AJ827" s="228"/>
      <c r="AK827" s="228"/>
      <c r="AL827" s="228"/>
      <c r="AM827" s="228"/>
      <c r="AN827" s="228"/>
      <c r="AO827" s="228"/>
      <c r="AP827" s="228"/>
      <c r="AQ827" s="228"/>
      <c r="AR827" s="228"/>
      <c r="AS827" s="228"/>
      <c r="AT827" s="228"/>
      <c r="AU827" s="228"/>
      <c r="AV827" s="228"/>
      <c r="AW827" s="228"/>
      <c r="AX827" s="228"/>
      <c r="AY827" s="228"/>
      <c r="AZ827" s="228"/>
      <c r="BA827" s="228"/>
      <c r="BB827" s="228"/>
      <c r="BC827" s="228"/>
      <c r="BD827" s="228"/>
      <c r="BE827" s="228"/>
      <c r="BF827" s="228"/>
      <c r="BG827" s="228"/>
      <c r="BH827" s="228"/>
      <c r="BI827" s="228"/>
      <c r="BJ827" s="228"/>
      <c r="BK827" s="228"/>
      <c r="BL827" s="228"/>
      <c r="BM827" s="228"/>
      <c r="BN827" s="228"/>
      <c r="BO827" s="228"/>
      <c r="BP827" s="228"/>
      <c r="BQ827" s="228"/>
      <c r="BR827" s="228"/>
      <c r="BS827" s="228"/>
      <c r="BT827" s="228"/>
      <c r="BU827" s="228"/>
      <c r="BV827" s="228"/>
      <c r="BW827" s="228"/>
      <c r="BX827" s="228"/>
      <c r="BY827" s="228"/>
      <c r="BZ827" s="228"/>
      <c r="CA827" s="228"/>
      <c r="CB827" s="228"/>
      <c r="CC827" s="228"/>
      <c r="CD827" s="228"/>
      <c r="CE827" s="228"/>
      <c r="CF827" s="228"/>
      <c r="CG827" s="228"/>
      <c r="CH827" s="228"/>
      <c r="CI827" s="228"/>
      <c r="CJ827" s="228"/>
      <c r="CK827" s="228"/>
      <c r="CL827" s="228"/>
      <c r="CM827" s="228"/>
      <c r="CN827" s="228"/>
      <c r="CO827" s="228"/>
      <c r="CP827" s="228"/>
      <c r="CQ827" s="228"/>
      <c r="CR827" s="228"/>
      <c r="CS827" s="228"/>
      <c r="CT827" s="228"/>
      <c r="CU827" s="228"/>
      <c r="CV827" s="228"/>
      <c r="CW827" s="228"/>
      <c r="CX827" s="228"/>
      <c r="CY827" s="228"/>
      <c r="CZ827" s="228"/>
      <c r="DA827" s="228"/>
      <c r="DB827" s="228"/>
    </row>
    <row r="828" ht="12.0" customHeight="1">
      <c r="A828" s="228"/>
      <c r="B828" s="228"/>
      <c r="C828" s="228"/>
      <c r="D828" s="228"/>
      <c r="E828" s="228"/>
      <c r="F828" s="228"/>
      <c r="G828" s="228"/>
      <c r="H828" s="228"/>
      <c r="I828" s="228"/>
      <c r="J828" s="228"/>
      <c r="K828" s="228"/>
      <c r="L828" s="228"/>
      <c r="M828" s="228"/>
      <c r="N828" s="228"/>
      <c r="O828" s="228"/>
      <c r="P828" s="228"/>
      <c r="Q828" s="228"/>
      <c r="R828" s="228"/>
      <c r="S828" s="228"/>
      <c r="T828" s="228"/>
      <c r="U828" s="228"/>
      <c r="V828" s="228"/>
      <c r="W828" s="228"/>
      <c r="X828" s="228"/>
      <c r="Y828" s="228"/>
      <c r="Z828" s="228"/>
      <c r="AA828" s="228"/>
      <c r="AB828" s="228"/>
      <c r="AC828" s="228"/>
      <c r="AD828" s="228"/>
      <c r="AE828" s="228"/>
      <c r="AF828" s="228"/>
      <c r="AG828" s="228"/>
      <c r="AH828" s="228"/>
      <c r="AI828" s="228"/>
      <c r="AJ828" s="228"/>
      <c r="AK828" s="228"/>
      <c r="AL828" s="228"/>
      <c r="AM828" s="228"/>
      <c r="AN828" s="228"/>
      <c r="AO828" s="228"/>
      <c r="AP828" s="228"/>
      <c r="AQ828" s="228"/>
      <c r="AR828" s="228"/>
      <c r="AS828" s="228"/>
      <c r="AT828" s="228"/>
      <c r="AU828" s="228"/>
      <c r="AV828" s="228"/>
      <c r="AW828" s="228"/>
      <c r="AX828" s="228"/>
      <c r="AY828" s="228"/>
      <c r="AZ828" s="228"/>
      <c r="BA828" s="228"/>
      <c r="BB828" s="228"/>
      <c r="BC828" s="228"/>
      <c r="BD828" s="228"/>
      <c r="BE828" s="228"/>
      <c r="BF828" s="228"/>
      <c r="BG828" s="228"/>
      <c r="BH828" s="228"/>
      <c r="BI828" s="228"/>
      <c r="BJ828" s="228"/>
      <c r="BK828" s="228"/>
      <c r="BL828" s="228"/>
      <c r="BM828" s="228"/>
      <c r="BN828" s="228"/>
      <c r="BO828" s="228"/>
      <c r="BP828" s="228"/>
      <c r="BQ828" s="228"/>
      <c r="BR828" s="228"/>
      <c r="BS828" s="228"/>
      <c r="BT828" s="228"/>
      <c r="BU828" s="228"/>
      <c r="BV828" s="228"/>
      <c r="BW828" s="228"/>
      <c r="BX828" s="228"/>
      <c r="BY828" s="228"/>
      <c r="BZ828" s="228"/>
      <c r="CA828" s="228"/>
      <c r="CB828" s="228"/>
      <c r="CC828" s="228"/>
      <c r="CD828" s="228"/>
      <c r="CE828" s="228"/>
      <c r="CF828" s="228"/>
      <c r="CG828" s="228"/>
      <c r="CH828" s="228"/>
      <c r="CI828" s="228"/>
      <c r="CJ828" s="228"/>
      <c r="CK828" s="228"/>
      <c r="CL828" s="228"/>
      <c r="CM828" s="228"/>
      <c r="CN828" s="228"/>
      <c r="CO828" s="228"/>
      <c r="CP828" s="228"/>
      <c r="CQ828" s="228"/>
      <c r="CR828" s="228"/>
      <c r="CS828" s="228"/>
      <c r="CT828" s="228"/>
      <c r="CU828" s="228"/>
      <c r="CV828" s="228"/>
      <c r="CW828" s="228"/>
      <c r="CX828" s="228"/>
      <c r="CY828" s="228"/>
      <c r="CZ828" s="228"/>
      <c r="DA828" s="228"/>
      <c r="DB828" s="228"/>
    </row>
    <row r="829" ht="12.0" customHeight="1">
      <c r="A829" s="228"/>
      <c r="B829" s="228"/>
      <c r="C829" s="228"/>
      <c r="D829" s="228"/>
      <c r="E829" s="228"/>
      <c r="F829" s="228"/>
      <c r="G829" s="228"/>
      <c r="H829" s="228"/>
      <c r="I829" s="228"/>
      <c r="J829" s="228"/>
      <c r="K829" s="228"/>
      <c r="L829" s="228"/>
      <c r="M829" s="228"/>
      <c r="N829" s="228"/>
      <c r="O829" s="228"/>
      <c r="P829" s="228"/>
      <c r="Q829" s="228"/>
      <c r="R829" s="228"/>
      <c r="S829" s="228"/>
      <c r="T829" s="228"/>
      <c r="U829" s="228"/>
      <c r="V829" s="228"/>
      <c r="W829" s="228"/>
      <c r="X829" s="228"/>
      <c r="Y829" s="228"/>
      <c r="Z829" s="228"/>
      <c r="AA829" s="228"/>
      <c r="AB829" s="228"/>
      <c r="AC829" s="228"/>
      <c r="AD829" s="228"/>
      <c r="AE829" s="228"/>
      <c r="AF829" s="228"/>
      <c r="AG829" s="228"/>
      <c r="AH829" s="228"/>
      <c r="AI829" s="228"/>
      <c r="AJ829" s="228"/>
      <c r="AK829" s="228"/>
      <c r="AL829" s="228"/>
      <c r="AM829" s="228"/>
      <c r="AN829" s="228"/>
      <c r="AO829" s="228"/>
      <c r="AP829" s="228"/>
      <c r="AQ829" s="228"/>
      <c r="AR829" s="228"/>
      <c r="AS829" s="228"/>
      <c r="AT829" s="228"/>
      <c r="AU829" s="228"/>
      <c r="AV829" s="228"/>
      <c r="AW829" s="228"/>
      <c r="AX829" s="228"/>
      <c r="AY829" s="228"/>
      <c r="AZ829" s="228"/>
      <c r="BA829" s="228"/>
      <c r="BB829" s="228"/>
      <c r="BC829" s="228"/>
      <c r="BD829" s="228"/>
      <c r="BE829" s="228"/>
      <c r="BF829" s="228"/>
      <c r="BG829" s="228"/>
      <c r="BH829" s="228"/>
      <c r="BI829" s="228"/>
      <c r="BJ829" s="228"/>
      <c r="BK829" s="228"/>
      <c r="BL829" s="228"/>
      <c r="BM829" s="228"/>
      <c r="BN829" s="228"/>
      <c r="BO829" s="228"/>
      <c r="BP829" s="228"/>
      <c r="BQ829" s="228"/>
      <c r="BR829" s="228"/>
      <c r="BS829" s="228"/>
      <c r="BT829" s="228"/>
      <c r="BU829" s="228"/>
      <c r="BV829" s="228"/>
      <c r="BW829" s="228"/>
      <c r="BX829" s="228"/>
      <c r="BY829" s="228"/>
      <c r="BZ829" s="228"/>
      <c r="CA829" s="228"/>
      <c r="CB829" s="228"/>
      <c r="CC829" s="228"/>
      <c r="CD829" s="228"/>
      <c r="CE829" s="228"/>
      <c r="CF829" s="228"/>
      <c r="CG829" s="228"/>
      <c r="CH829" s="228"/>
      <c r="CI829" s="228"/>
      <c r="CJ829" s="228"/>
      <c r="CK829" s="228"/>
      <c r="CL829" s="228"/>
      <c r="CM829" s="228"/>
      <c r="CN829" s="228"/>
      <c r="CO829" s="228"/>
      <c r="CP829" s="228"/>
      <c r="CQ829" s="228"/>
      <c r="CR829" s="228"/>
      <c r="CS829" s="228"/>
      <c r="CT829" s="228"/>
      <c r="CU829" s="228"/>
      <c r="CV829" s="228"/>
      <c r="CW829" s="228"/>
      <c r="CX829" s="228"/>
      <c r="CY829" s="228"/>
      <c r="CZ829" s="228"/>
      <c r="DA829" s="228"/>
      <c r="DB829" s="228"/>
    </row>
    <row r="830" ht="12.0" customHeight="1">
      <c r="A830" s="228"/>
      <c r="B830" s="228"/>
      <c r="C830" s="228"/>
      <c r="D830" s="228"/>
      <c r="E830" s="228"/>
      <c r="F830" s="228"/>
      <c r="G830" s="228"/>
      <c r="H830" s="228"/>
      <c r="I830" s="228"/>
      <c r="J830" s="228"/>
      <c r="K830" s="228"/>
      <c r="L830" s="228"/>
      <c r="M830" s="228"/>
      <c r="N830" s="228"/>
      <c r="O830" s="228"/>
      <c r="P830" s="228"/>
      <c r="Q830" s="228"/>
      <c r="R830" s="228"/>
      <c r="S830" s="228"/>
      <c r="T830" s="228"/>
      <c r="U830" s="228"/>
      <c r="V830" s="228"/>
      <c r="W830" s="228"/>
      <c r="X830" s="228"/>
      <c r="Y830" s="228"/>
      <c r="Z830" s="228"/>
      <c r="AA830" s="228"/>
      <c r="AB830" s="228"/>
      <c r="AC830" s="228"/>
      <c r="AD830" s="228"/>
      <c r="AE830" s="228"/>
      <c r="AF830" s="228"/>
      <c r="AG830" s="228"/>
      <c r="AH830" s="228"/>
      <c r="AI830" s="228"/>
      <c r="AJ830" s="228"/>
      <c r="AK830" s="228"/>
      <c r="AL830" s="228"/>
      <c r="AM830" s="228"/>
      <c r="AN830" s="228"/>
      <c r="AO830" s="228"/>
      <c r="AP830" s="228"/>
      <c r="AQ830" s="228"/>
      <c r="AR830" s="228"/>
      <c r="AS830" s="228"/>
      <c r="AT830" s="228"/>
      <c r="AU830" s="228"/>
      <c r="AV830" s="228"/>
      <c r="AW830" s="228"/>
      <c r="AX830" s="228"/>
      <c r="AY830" s="228"/>
      <c r="AZ830" s="228"/>
      <c r="BA830" s="228"/>
      <c r="BB830" s="228"/>
      <c r="BC830" s="228"/>
      <c r="BD830" s="228"/>
      <c r="BE830" s="228"/>
      <c r="BF830" s="228"/>
      <c r="BG830" s="228"/>
      <c r="BH830" s="228"/>
      <c r="BI830" s="228"/>
      <c r="BJ830" s="228"/>
      <c r="BK830" s="228"/>
      <c r="BL830" s="228"/>
      <c r="BM830" s="228"/>
      <c r="BN830" s="228"/>
      <c r="BO830" s="228"/>
      <c r="BP830" s="228"/>
      <c r="BQ830" s="228"/>
      <c r="BR830" s="228"/>
      <c r="BS830" s="228"/>
      <c r="BT830" s="228"/>
      <c r="BU830" s="228"/>
      <c r="BV830" s="228"/>
      <c r="BW830" s="228"/>
      <c r="BX830" s="228"/>
      <c r="BY830" s="228"/>
      <c r="BZ830" s="228"/>
      <c r="CA830" s="228"/>
      <c r="CB830" s="228"/>
      <c r="CC830" s="228"/>
      <c r="CD830" s="228"/>
      <c r="CE830" s="228"/>
      <c r="CF830" s="228"/>
      <c r="CG830" s="228"/>
      <c r="CH830" s="228"/>
      <c r="CI830" s="228"/>
      <c r="CJ830" s="228"/>
      <c r="CK830" s="228"/>
      <c r="CL830" s="228"/>
      <c r="CM830" s="228"/>
      <c r="CN830" s="228"/>
      <c r="CO830" s="228"/>
      <c r="CP830" s="228"/>
      <c r="CQ830" s="228"/>
      <c r="CR830" s="228"/>
      <c r="CS830" s="228"/>
      <c r="CT830" s="228"/>
      <c r="CU830" s="228"/>
      <c r="CV830" s="228"/>
      <c r="CW830" s="228"/>
      <c r="CX830" s="228"/>
      <c r="CY830" s="228"/>
      <c r="CZ830" s="228"/>
      <c r="DA830" s="228"/>
      <c r="DB830" s="228"/>
    </row>
    <row r="831" ht="12.0" customHeight="1">
      <c r="A831" s="228"/>
      <c r="B831" s="228"/>
      <c r="C831" s="228"/>
      <c r="D831" s="228"/>
      <c r="E831" s="228"/>
      <c r="F831" s="228"/>
      <c r="G831" s="228"/>
      <c r="H831" s="228"/>
      <c r="I831" s="228"/>
      <c r="J831" s="228"/>
      <c r="K831" s="228"/>
      <c r="L831" s="228"/>
      <c r="M831" s="228"/>
      <c r="N831" s="228"/>
      <c r="O831" s="228"/>
      <c r="P831" s="228"/>
      <c r="Q831" s="228"/>
      <c r="R831" s="228"/>
      <c r="S831" s="228"/>
      <c r="T831" s="228"/>
      <c r="U831" s="228"/>
      <c r="V831" s="228"/>
      <c r="W831" s="228"/>
      <c r="X831" s="228"/>
      <c r="Y831" s="228"/>
      <c r="Z831" s="228"/>
      <c r="AA831" s="228"/>
      <c r="AB831" s="228"/>
      <c r="AC831" s="228"/>
      <c r="AD831" s="228"/>
      <c r="AE831" s="228"/>
      <c r="AF831" s="228"/>
      <c r="AG831" s="228"/>
      <c r="AH831" s="228"/>
      <c r="AI831" s="228"/>
      <c r="AJ831" s="228"/>
      <c r="AK831" s="228"/>
      <c r="AL831" s="228"/>
      <c r="AM831" s="228"/>
      <c r="AN831" s="228"/>
      <c r="AO831" s="228"/>
      <c r="AP831" s="228"/>
      <c r="AQ831" s="228"/>
      <c r="AR831" s="228"/>
      <c r="AS831" s="228"/>
      <c r="AT831" s="228"/>
      <c r="AU831" s="228"/>
      <c r="AV831" s="228"/>
      <c r="AW831" s="228"/>
      <c r="AX831" s="228"/>
      <c r="AY831" s="228"/>
      <c r="AZ831" s="228"/>
      <c r="BA831" s="228"/>
      <c r="BB831" s="228"/>
      <c r="BC831" s="228"/>
      <c r="BD831" s="228"/>
      <c r="BE831" s="228"/>
      <c r="BF831" s="228"/>
      <c r="BG831" s="228"/>
      <c r="BH831" s="228"/>
      <c r="BI831" s="228"/>
      <c r="BJ831" s="228"/>
      <c r="BK831" s="228"/>
      <c r="BL831" s="228"/>
      <c r="BM831" s="228"/>
      <c r="BN831" s="228"/>
      <c r="BO831" s="228"/>
      <c r="BP831" s="228"/>
      <c r="BQ831" s="228"/>
      <c r="BR831" s="228"/>
      <c r="BS831" s="228"/>
      <c r="BT831" s="228"/>
      <c r="BU831" s="228"/>
      <c r="BV831" s="228"/>
      <c r="BW831" s="228"/>
      <c r="BX831" s="228"/>
      <c r="BY831" s="228"/>
      <c r="BZ831" s="228"/>
      <c r="CA831" s="228"/>
      <c r="CB831" s="228"/>
      <c r="CC831" s="228"/>
      <c r="CD831" s="228"/>
      <c r="CE831" s="228"/>
      <c r="CF831" s="228"/>
      <c r="CG831" s="228"/>
      <c r="CH831" s="228"/>
      <c r="CI831" s="228"/>
      <c r="CJ831" s="228"/>
      <c r="CK831" s="228"/>
      <c r="CL831" s="228"/>
      <c r="CM831" s="228"/>
      <c r="CN831" s="228"/>
      <c r="CO831" s="228"/>
      <c r="CP831" s="228"/>
      <c r="CQ831" s="228"/>
      <c r="CR831" s="228"/>
      <c r="CS831" s="228"/>
      <c r="CT831" s="228"/>
      <c r="CU831" s="228"/>
      <c r="CV831" s="228"/>
      <c r="CW831" s="228"/>
      <c r="CX831" s="228"/>
      <c r="CY831" s="228"/>
      <c r="CZ831" s="228"/>
      <c r="DA831" s="228"/>
      <c r="DB831" s="228"/>
    </row>
    <row r="832" ht="12.0" customHeight="1">
      <c r="A832" s="228"/>
      <c r="B832" s="228"/>
      <c r="C832" s="228"/>
      <c r="D832" s="228"/>
      <c r="E832" s="228"/>
      <c r="F832" s="228"/>
      <c r="G832" s="228"/>
      <c r="H832" s="228"/>
      <c r="I832" s="228"/>
      <c r="J832" s="228"/>
      <c r="K832" s="228"/>
      <c r="L832" s="228"/>
      <c r="M832" s="228"/>
      <c r="N832" s="228"/>
      <c r="O832" s="228"/>
      <c r="P832" s="228"/>
      <c r="Q832" s="228"/>
      <c r="R832" s="228"/>
      <c r="S832" s="228"/>
      <c r="T832" s="228"/>
      <c r="U832" s="228"/>
      <c r="V832" s="228"/>
      <c r="W832" s="228"/>
      <c r="X832" s="228"/>
      <c r="Y832" s="228"/>
      <c r="Z832" s="228"/>
      <c r="AA832" s="228"/>
      <c r="AB832" s="228"/>
      <c r="AC832" s="228"/>
      <c r="AD832" s="228"/>
      <c r="AE832" s="228"/>
      <c r="AF832" s="228"/>
      <c r="AG832" s="228"/>
      <c r="AH832" s="228"/>
      <c r="AI832" s="228"/>
      <c r="AJ832" s="228"/>
      <c r="AK832" s="228"/>
      <c r="AL832" s="228"/>
      <c r="AM832" s="228"/>
      <c r="AN832" s="228"/>
      <c r="AO832" s="228"/>
      <c r="AP832" s="228"/>
      <c r="AQ832" s="228"/>
      <c r="AR832" s="228"/>
      <c r="AS832" s="228"/>
      <c r="AT832" s="228"/>
      <c r="AU832" s="228"/>
      <c r="AV832" s="228"/>
      <c r="AW832" s="228"/>
      <c r="AX832" s="228"/>
      <c r="AY832" s="228"/>
      <c r="AZ832" s="228"/>
      <c r="BA832" s="228"/>
      <c r="BB832" s="228"/>
      <c r="BC832" s="228"/>
      <c r="BD832" s="228"/>
      <c r="BE832" s="228"/>
      <c r="BF832" s="228"/>
      <c r="BG832" s="228"/>
      <c r="BH832" s="228"/>
      <c r="BI832" s="228"/>
      <c r="BJ832" s="228"/>
      <c r="BK832" s="228"/>
      <c r="BL832" s="228"/>
      <c r="BM832" s="228"/>
      <c r="BN832" s="228"/>
      <c r="BO832" s="228"/>
      <c r="BP832" s="228"/>
      <c r="BQ832" s="228"/>
      <c r="BR832" s="228"/>
      <c r="BS832" s="228"/>
      <c r="BT832" s="228"/>
      <c r="BU832" s="228"/>
      <c r="BV832" s="228"/>
      <c r="BW832" s="228"/>
      <c r="BX832" s="228"/>
      <c r="BY832" s="228"/>
      <c r="BZ832" s="228"/>
      <c r="CA832" s="228"/>
      <c r="CB832" s="228"/>
      <c r="CC832" s="228"/>
      <c r="CD832" s="228"/>
      <c r="CE832" s="228"/>
      <c r="CF832" s="228"/>
      <c r="CG832" s="228"/>
      <c r="CH832" s="228"/>
      <c r="CI832" s="228"/>
      <c r="CJ832" s="228"/>
      <c r="CK832" s="228"/>
      <c r="CL832" s="228"/>
      <c r="CM832" s="228"/>
      <c r="CN832" s="228"/>
      <c r="CO832" s="228"/>
      <c r="CP832" s="228"/>
      <c r="CQ832" s="228"/>
      <c r="CR832" s="228"/>
      <c r="CS832" s="228"/>
      <c r="CT832" s="228"/>
      <c r="CU832" s="228"/>
      <c r="CV832" s="228"/>
      <c r="CW832" s="228"/>
      <c r="CX832" s="228"/>
      <c r="CY832" s="228"/>
      <c r="CZ832" s="228"/>
      <c r="DA832" s="228"/>
      <c r="DB832" s="228"/>
    </row>
    <row r="833" ht="12.0" customHeight="1">
      <c r="A833" s="228"/>
      <c r="B833" s="228"/>
      <c r="C833" s="228"/>
      <c r="D833" s="228"/>
      <c r="E833" s="228"/>
      <c r="F833" s="228"/>
      <c r="G833" s="228"/>
      <c r="H833" s="228"/>
      <c r="I833" s="228"/>
      <c r="J833" s="228"/>
      <c r="K833" s="228"/>
      <c r="L833" s="228"/>
      <c r="M833" s="228"/>
      <c r="N833" s="228"/>
      <c r="O833" s="228"/>
      <c r="P833" s="228"/>
      <c r="Q833" s="228"/>
      <c r="R833" s="228"/>
      <c r="S833" s="228"/>
      <c r="T833" s="228"/>
      <c r="U833" s="228"/>
      <c r="V833" s="228"/>
      <c r="W833" s="228"/>
      <c r="X833" s="228"/>
      <c r="Y833" s="228"/>
      <c r="Z833" s="228"/>
      <c r="AA833" s="228"/>
      <c r="AB833" s="228"/>
      <c r="AC833" s="228"/>
      <c r="AD833" s="228"/>
      <c r="AE833" s="228"/>
      <c r="AF833" s="228"/>
      <c r="AG833" s="228"/>
      <c r="AH833" s="228"/>
      <c r="AI833" s="228"/>
      <c r="AJ833" s="228"/>
      <c r="AK833" s="228"/>
      <c r="AL833" s="228"/>
      <c r="AM833" s="228"/>
      <c r="AN833" s="228"/>
      <c r="AO833" s="228"/>
      <c r="AP833" s="228"/>
      <c r="AQ833" s="228"/>
      <c r="AR833" s="228"/>
      <c r="AS833" s="228"/>
      <c r="AT833" s="228"/>
      <c r="AU833" s="228"/>
      <c r="AV833" s="228"/>
      <c r="AW833" s="228"/>
      <c r="AX833" s="228"/>
      <c r="AY833" s="228"/>
      <c r="AZ833" s="228"/>
      <c r="BA833" s="228"/>
      <c r="BB833" s="228"/>
      <c r="BC833" s="228"/>
      <c r="BD833" s="228"/>
      <c r="BE833" s="228"/>
      <c r="BF833" s="228"/>
      <c r="BG833" s="228"/>
      <c r="BH833" s="228"/>
      <c r="BI833" s="228"/>
      <c r="BJ833" s="228"/>
      <c r="BK833" s="228"/>
      <c r="BL833" s="228"/>
      <c r="BM833" s="228"/>
      <c r="BN833" s="228"/>
      <c r="BO833" s="228"/>
      <c r="BP833" s="228"/>
      <c r="BQ833" s="228"/>
      <c r="BR833" s="228"/>
      <c r="BS833" s="228"/>
      <c r="BT833" s="228"/>
      <c r="BU833" s="228"/>
      <c r="BV833" s="228"/>
      <c r="BW833" s="228"/>
      <c r="BX833" s="228"/>
      <c r="BY833" s="228"/>
      <c r="BZ833" s="228"/>
      <c r="CA833" s="228"/>
      <c r="CB833" s="228"/>
      <c r="CC833" s="228"/>
      <c r="CD833" s="228"/>
      <c r="CE833" s="228"/>
      <c r="CF833" s="228"/>
      <c r="CG833" s="228"/>
      <c r="CH833" s="228"/>
      <c r="CI833" s="228"/>
      <c r="CJ833" s="228"/>
      <c r="CK833" s="228"/>
      <c r="CL833" s="228"/>
      <c r="CM833" s="228"/>
      <c r="CN833" s="228"/>
      <c r="CO833" s="228"/>
      <c r="CP833" s="228"/>
      <c r="CQ833" s="228"/>
      <c r="CR833" s="228"/>
      <c r="CS833" s="228"/>
      <c r="CT833" s="228"/>
      <c r="CU833" s="228"/>
      <c r="CV833" s="228"/>
      <c r="CW833" s="228"/>
      <c r="CX833" s="228"/>
      <c r="CY833" s="228"/>
      <c r="CZ833" s="228"/>
      <c r="DA833" s="228"/>
      <c r="DB833" s="228"/>
    </row>
    <row r="834" ht="12.0" customHeight="1">
      <c r="A834" s="228"/>
      <c r="B834" s="228"/>
      <c r="C834" s="228"/>
      <c r="D834" s="228"/>
      <c r="E834" s="228"/>
      <c r="F834" s="228"/>
      <c r="G834" s="228"/>
      <c r="H834" s="228"/>
      <c r="I834" s="228"/>
      <c r="J834" s="228"/>
      <c r="K834" s="228"/>
      <c r="L834" s="228"/>
      <c r="M834" s="228"/>
      <c r="N834" s="228"/>
      <c r="O834" s="228"/>
      <c r="P834" s="228"/>
      <c r="Q834" s="228"/>
      <c r="R834" s="228"/>
      <c r="S834" s="228"/>
      <c r="T834" s="228"/>
      <c r="U834" s="228"/>
      <c r="V834" s="228"/>
      <c r="W834" s="228"/>
      <c r="X834" s="228"/>
      <c r="Y834" s="228"/>
      <c r="Z834" s="228"/>
      <c r="AA834" s="228"/>
      <c r="AB834" s="228"/>
      <c r="AC834" s="228"/>
      <c r="AD834" s="228"/>
      <c r="AE834" s="228"/>
      <c r="AF834" s="228"/>
      <c r="AG834" s="228"/>
      <c r="AH834" s="228"/>
      <c r="AI834" s="228"/>
      <c r="AJ834" s="228"/>
      <c r="AK834" s="228"/>
      <c r="AL834" s="228"/>
      <c r="AM834" s="228"/>
      <c r="AN834" s="228"/>
      <c r="AO834" s="228"/>
      <c r="AP834" s="228"/>
      <c r="AQ834" s="228"/>
      <c r="AR834" s="228"/>
      <c r="AS834" s="228"/>
      <c r="AT834" s="228"/>
      <c r="AU834" s="228"/>
      <c r="AV834" s="228"/>
      <c r="AW834" s="228"/>
      <c r="AX834" s="228"/>
      <c r="AY834" s="228"/>
      <c r="AZ834" s="228"/>
      <c r="BA834" s="228"/>
      <c r="BB834" s="228"/>
      <c r="BC834" s="228"/>
      <c r="BD834" s="228"/>
      <c r="BE834" s="228"/>
      <c r="BF834" s="228"/>
      <c r="BG834" s="228"/>
      <c r="BH834" s="228"/>
      <c r="BI834" s="228"/>
      <c r="BJ834" s="228"/>
      <c r="BK834" s="228"/>
      <c r="BL834" s="228"/>
      <c r="BM834" s="228"/>
      <c r="BN834" s="228"/>
      <c r="BO834" s="228"/>
      <c r="BP834" s="228"/>
      <c r="BQ834" s="228"/>
      <c r="BR834" s="228"/>
      <c r="BS834" s="228"/>
      <c r="BT834" s="228"/>
      <c r="BU834" s="228"/>
      <c r="BV834" s="228"/>
      <c r="BW834" s="228"/>
      <c r="BX834" s="228"/>
      <c r="BY834" s="228"/>
      <c r="BZ834" s="228"/>
      <c r="CA834" s="228"/>
      <c r="CB834" s="228"/>
      <c r="CC834" s="228"/>
      <c r="CD834" s="228"/>
      <c r="CE834" s="228"/>
      <c r="CF834" s="228"/>
      <c r="CG834" s="228"/>
      <c r="CH834" s="228"/>
      <c r="CI834" s="228"/>
      <c r="CJ834" s="228"/>
      <c r="CK834" s="228"/>
      <c r="CL834" s="228"/>
      <c r="CM834" s="228"/>
      <c r="CN834" s="228"/>
      <c r="CO834" s="228"/>
      <c r="CP834" s="228"/>
      <c r="CQ834" s="228"/>
      <c r="CR834" s="228"/>
      <c r="CS834" s="228"/>
      <c r="CT834" s="228"/>
      <c r="CU834" s="228"/>
      <c r="CV834" s="228"/>
      <c r="CW834" s="228"/>
      <c r="CX834" s="228"/>
      <c r="CY834" s="228"/>
      <c r="CZ834" s="228"/>
      <c r="DA834" s="228"/>
      <c r="DB834" s="228"/>
    </row>
    <row r="835" ht="12.0" customHeight="1">
      <c r="A835" s="228"/>
      <c r="B835" s="228"/>
      <c r="C835" s="228"/>
      <c r="D835" s="228"/>
      <c r="E835" s="228"/>
      <c r="F835" s="228"/>
      <c r="G835" s="228"/>
      <c r="H835" s="228"/>
      <c r="I835" s="228"/>
      <c r="J835" s="228"/>
      <c r="K835" s="228"/>
      <c r="L835" s="228"/>
      <c r="M835" s="228"/>
      <c r="N835" s="228"/>
      <c r="O835" s="228"/>
      <c r="P835" s="228"/>
      <c r="Q835" s="228"/>
      <c r="R835" s="228"/>
      <c r="S835" s="228"/>
      <c r="T835" s="228"/>
      <c r="U835" s="228"/>
      <c r="V835" s="228"/>
      <c r="W835" s="228"/>
      <c r="X835" s="228"/>
      <c r="Y835" s="228"/>
      <c r="Z835" s="228"/>
      <c r="AA835" s="228"/>
      <c r="AB835" s="228"/>
      <c r="AC835" s="228"/>
      <c r="AD835" s="228"/>
      <c r="AE835" s="228"/>
      <c r="AF835" s="228"/>
      <c r="AG835" s="228"/>
      <c r="AH835" s="228"/>
      <c r="AI835" s="228"/>
      <c r="AJ835" s="228"/>
      <c r="AK835" s="228"/>
      <c r="AL835" s="228"/>
      <c r="AM835" s="228"/>
      <c r="AN835" s="228"/>
      <c r="AO835" s="228"/>
      <c r="AP835" s="228"/>
      <c r="AQ835" s="228"/>
      <c r="AR835" s="228"/>
      <c r="AS835" s="228"/>
      <c r="AT835" s="228"/>
      <c r="AU835" s="228"/>
      <c r="AV835" s="228"/>
      <c r="AW835" s="228"/>
      <c r="AX835" s="228"/>
      <c r="AY835" s="228"/>
      <c r="AZ835" s="228"/>
      <c r="BA835" s="228"/>
      <c r="BB835" s="228"/>
      <c r="BC835" s="228"/>
      <c r="BD835" s="228"/>
      <c r="BE835" s="228"/>
      <c r="BF835" s="228"/>
      <c r="BG835" s="228"/>
      <c r="BH835" s="228"/>
      <c r="BI835" s="228"/>
      <c r="BJ835" s="228"/>
      <c r="BK835" s="228"/>
      <c r="BL835" s="228"/>
      <c r="BM835" s="228"/>
      <c r="BN835" s="228"/>
      <c r="BO835" s="228"/>
      <c r="BP835" s="228"/>
      <c r="BQ835" s="228"/>
      <c r="BR835" s="228"/>
      <c r="BS835" s="228"/>
      <c r="BT835" s="228"/>
      <c r="BU835" s="228"/>
      <c r="BV835" s="228"/>
      <c r="BW835" s="228"/>
      <c r="BX835" s="228"/>
      <c r="BY835" s="228"/>
      <c r="BZ835" s="228"/>
      <c r="CA835" s="228"/>
      <c r="CB835" s="228"/>
      <c r="CC835" s="228"/>
      <c r="CD835" s="228"/>
      <c r="CE835" s="228"/>
      <c r="CF835" s="228"/>
      <c r="CG835" s="228"/>
      <c r="CH835" s="228"/>
      <c r="CI835" s="228"/>
      <c r="CJ835" s="228"/>
      <c r="CK835" s="228"/>
      <c r="CL835" s="228"/>
      <c r="CM835" s="228"/>
      <c r="CN835" s="228"/>
      <c r="CO835" s="228"/>
      <c r="CP835" s="228"/>
      <c r="CQ835" s="228"/>
      <c r="CR835" s="228"/>
      <c r="CS835" s="228"/>
      <c r="CT835" s="228"/>
      <c r="CU835" s="228"/>
      <c r="CV835" s="228"/>
      <c r="CW835" s="228"/>
      <c r="CX835" s="228"/>
      <c r="CY835" s="228"/>
      <c r="CZ835" s="228"/>
      <c r="DA835" s="228"/>
      <c r="DB835" s="228"/>
    </row>
    <row r="836" ht="12.0" customHeight="1">
      <c r="A836" s="228"/>
      <c r="B836" s="228"/>
      <c r="C836" s="228"/>
      <c r="D836" s="228"/>
      <c r="E836" s="228"/>
      <c r="F836" s="228"/>
      <c r="G836" s="228"/>
      <c r="H836" s="228"/>
      <c r="I836" s="228"/>
      <c r="J836" s="228"/>
      <c r="K836" s="228"/>
      <c r="L836" s="228"/>
      <c r="M836" s="228"/>
      <c r="N836" s="228"/>
      <c r="O836" s="228"/>
      <c r="P836" s="228"/>
      <c r="Q836" s="228"/>
      <c r="R836" s="228"/>
      <c r="S836" s="228"/>
      <c r="T836" s="228"/>
      <c r="U836" s="228"/>
      <c r="V836" s="228"/>
      <c r="W836" s="228"/>
      <c r="X836" s="228"/>
      <c r="Y836" s="228"/>
      <c r="Z836" s="228"/>
      <c r="AA836" s="228"/>
      <c r="AB836" s="228"/>
      <c r="AC836" s="228"/>
      <c r="AD836" s="228"/>
      <c r="AE836" s="228"/>
      <c r="AF836" s="228"/>
      <c r="AG836" s="228"/>
      <c r="AH836" s="228"/>
      <c r="AI836" s="228"/>
      <c r="AJ836" s="228"/>
      <c r="AK836" s="228"/>
      <c r="AL836" s="228"/>
      <c r="AM836" s="228"/>
      <c r="AN836" s="228"/>
      <c r="AO836" s="228"/>
      <c r="AP836" s="228"/>
      <c r="AQ836" s="228"/>
      <c r="AR836" s="228"/>
      <c r="AS836" s="228"/>
      <c r="AT836" s="228"/>
      <c r="AU836" s="228"/>
      <c r="AV836" s="228"/>
      <c r="AW836" s="228"/>
      <c r="AX836" s="228"/>
      <c r="AY836" s="228"/>
      <c r="AZ836" s="228"/>
      <c r="BA836" s="228"/>
      <c r="BB836" s="228"/>
      <c r="BC836" s="228"/>
      <c r="BD836" s="228"/>
      <c r="BE836" s="228"/>
      <c r="BF836" s="228"/>
      <c r="BG836" s="228"/>
      <c r="BH836" s="228"/>
      <c r="BI836" s="228"/>
      <c r="BJ836" s="228"/>
      <c r="BK836" s="228"/>
      <c r="BL836" s="228"/>
      <c r="BM836" s="228"/>
      <c r="BN836" s="228"/>
      <c r="BO836" s="228"/>
      <c r="BP836" s="228"/>
      <c r="BQ836" s="228"/>
      <c r="BR836" s="228"/>
      <c r="BS836" s="228"/>
      <c r="BT836" s="228"/>
      <c r="BU836" s="228"/>
      <c r="BV836" s="228"/>
      <c r="BW836" s="228"/>
      <c r="BX836" s="228"/>
      <c r="BY836" s="228"/>
      <c r="BZ836" s="228"/>
      <c r="CA836" s="228"/>
      <c r="CB836" s="228"/>
      <c r="CC836" s="228"/>
      <c r="CD836" s="228"/>
      <c r="CE836" s="228"/>
      <c r="CF836" s="228"/>
      <c r="CG836" s="228"/>
      <c r="CH836" s="228"/>
      <c r="CI836" s="228"/>
      <c r="CJ836" s="228"/>
      <c r="CK836" s="228"/>
      <c r="CL836" s="228"/>
      <c r="CM836" s="228"/>
      <c r="CN836" s="228"/>
      <c r="CO836" s="228"/>
      <c r="CP836" s="228"/>
      <c r="CQ836" s="228"/>
      <c r="CR836" s="228"/>
      <c r="CS836" s="228"/>
      <c r="CT836" s="228"/>
      <c r="CU836" s="228"/>
      <c r="CV836" s="228"/>
      <c r="CW836" s="228"/>
      <c r="CX836" s="228"/>
      <c r="CY836" s="228"/>
      <c r="CZ836" s="228"/>
      <c r="DA836" s="228"/>
      <c r="DB836" s="228"/>
    </row>
    <row r="837" ht="12.0" customHeight="1">
      <c r="A837" s="228"/>
      <c r="B837" s="228"/>
      <c r="C837" s="228"/>
      <c r="D837" s="228"/>
      <c r="E837" s="228"/>
      <c r="F837" s="228"/>
      <c r="G837" s="228"/>
      <c r="H837" s="228"/>
      <c r="I837" s="228"/>
      <c r="J837" s="228"/>
      <c r="K837" s="228"/>
      <c r="L837" s="228"/>
      <c r="M837" s="228"/>
      <c r="N837" s="228"/>
      <c r="O837" s="228"/>
      <c r="P837" s="228"/>
      <c r="Q837" s="228"/>
      <c r="R837" s="228"/>
      <c r="S837" s="228"/>
      <c r="T837" s="228"/>
      <c r="U837" s="228"/>
      <c r="V837" s="228"/>
      <c r="W837" s="228"/>
      <c r="X837" s="228"/>
      <c r="Y837" s="228"/>
      <c r="Z837" s="228"/>
      <c r="AA837" s="228"/>
      <c r="AB837" s="228"/>
      <c r="AC837" s="228"/>
      <c r="AD837" s="228"/>
      <c r="AE837" s="228"/>
      <c r="AF837" s="228"/>
      <c r="AG837" s="228"/>
      <c r="AH837" s="228"/>
      <c r="AI837" s="228"/>
      <c r="AJ837" s="228"/>
      <c r="AK837" s="228"/>
      <c r="AL837" s="228"/>
      <c r="AM837" s="228"/>
      <c r="AN837" s="228"/>
      <c r="AO837" s="228"/>
      <c r="AP837" s="228"/>
      <c r="AQ837" s="228"/>
      <c r="AR837" s="228"/>
      <c r="AS837" s="228"/>
      <c r="AT837" s="228"/>
      <c r="AU837" s="228"/>
      <c r="AV837" s="228"/>
      <c r="AW837" s="228"/>
      <c r="AX837" s="228"/>
      <c r="AY837" s="228"/>
      <c r="AZ837" s="228"/>
      <c r="BA837" s="228"/>
      <c r="BB837" s="228"/>
      <c r="BC837" s="228"/>
      <c r="BD837" s="228"/>
      <c r="BE837" s="228"/>
      <c r="BF837" s="228"/>
      <c r="BG837" s="228"/>
      <c r="BH837" s="228"/>
      <c r="BI837" s="228"/>
      <c r="BJ837" s="228"/>
      <c r="BK837" s="228"/>
      <c r="BL837" s="228"/>
      <c r="BM837" s="228"/>
      <c r="BN837" s="228"/>
      <c r="BO837" s="228"/>
      <c r="BP837" s="228"/>
      <c r="BQ837" s="228"/>
      <c r="BR837" s="228"/>
      <c r="BS837" s="228"/>
      <c r="BT837" s="228"/>
      <c r="BU837" s="228"/>
      <c r="BV837" s="228"/>
      <c r="BW837" s="228"/>
      <c r="BX837" s="228"/>
      <c r="BY837" s="228"/>
      <c r="BZ837" s="228"/>
      <c r="CA837" s="228"/>
      <c r="CB837" s="228"/>
      <c r="CC837" s="228"/>
      <c r="CD837" s="228"/>
      <c r="CE837" s="228"/>
      <c r="CF837" s="228"/>
      <c r="CG837" s="228"/>
      <c r="CH837" s="228"/>
      <c r="CI837" s="228"/>
      <c r="CJ837" s="228"/>
      <c r="CK837" s="228"/>
      <c r="CL837" s="228"/>
      <c r="CM837" s="228"/>
      <c r="CN837" s="228"/>
      <c r="CO837" s="228"/>
      <c r="CP837" s="228"/>
      <c r="CQ837" s="228"/>
      <c r="CR837" s="228"/>
      <c r="CS837" s="228"/>
      <c r="CT837" s="228"/>
      <c r="CU837" s="228"/>
      <c r="CV837" s="228"/>
      <c r="CW837" s="228"/>
      <c r="CX837" s="228"/>
      <c r="CY837" s="228"/>
      <c r="CZ837" s="228"/>
      <c r="DA837" s="228"/>
      <c r="DB837" s="228"/>
    </row>
    <row r="838" ht="12.0" customHeight="1">
      <c r="A838" s="228"/>
      <c r="B838" s="228"/>
      <c r="C838" s="228"/>
      <c r="D838" s="228"/>
      <c r="E838" s="228"/>
      <c r="F838" s="228"/>
      <c r="G838" s="228"/>
      <c r="H838" s="228"/>
      <c r="I838" s="228"/>
      <c r="J838" s="228"/>
      <c r="K838" s="228"/>
      <c r="L838" s="228"/>
      <c r="M838" s="228"/>
      <c r="N838" s="228"/>
      <c r="O838" s="228"/>
      <c r="P838" s="228"/>
      <c r="Q838" s="228"/>
      <c r="R838" s="228"/>
      <c r="S838" s="228"/>
      <c r="T838" s="228"/>
      <c r="U838" s="228"/>
      <c r="V838" s="228"/>
      <c r="W838" s="228"/>
      <c r="X838" s="228"/>
      <c r="Y838" s="228"/>
      <c r="Z838" s="228"/>
      <c r="AA838" s="228"/>
      <c r="AB838" s="228"/>
      <c r="AC838" s="228"/>
      <c r="AD838" s="228"/>
      <c r="AE838" s="228"/>
      <c r="AF838" s="228"/>
      <c r="AG838" s="228"/>
      <c r="AH838" s="228"/>
      <c r="AI838" s="228"/>
      <c r="AJ838" s="228"/>
      <c r="AK838" s="228"/>
      <c r="AL838" s="228"/>
      <c r="AM838" s="228"/>
      <c r="AN838" s="228"/>
      <c r="AO838" s="228"/>
      <c r="AP838" s="228"/>
      <c r="AQ838" s="228"/>
      <c r="AR838" s="228"/>
      <c r="AS838" s="228"/>
      <c r="AT838" s="228"/>
      <c r="AU838" s="228"/>
      <c r="AV838" s="228"/>
      <c r="AW838" s="228"/>
      <c r="AX838" s="228"/>
      <c r="AY838" s="228"/>
      <c r="AZ838" s="228"/>
      <c r="BA838" s="228"/>
      <c r="BB838" s="228"/>
      <c r="BC838" s="228"/>
      <c r="BD838" s="228"/>
      <c r="BE838" s="228"/>
      <c r="BF838" s="228"/>
      <c r="BG838" s="228"/>
      <c r="BH838" s="228"/>
      <c r="BI838" s="228"/>
      <c r="BJ838" s="228"/>
      <c r="BK838" s="228"/>
      <c r="BL838" s="228"/>
      <c r="BM838" s="228"/>
      <c r="BN838" s="228"/>
      <c r="BO838" s="228"/>
      <c r="BP838" s="228"/>
      <c r="BQ838" s="228"/>
      <c r="BR838" s="228"/>
      <c r="BS838" s="228"/>
      <c r="BT838" s="228"/>
      <c r="BU838" s="228"/>
      <c r="BV838" s="228"/>
      <c r="BW838" s="228"/>
      <c r="BX838" s="228"/>
      <c r="BY838" s="228"/>
      <c r="BZ838" s="228"/>
      <c r="CA838" s="228"/>
      <c r="CB838" s="228"/>
      <c r="CC838" s="228"/>
      <c r="CD838" s="228"/>
      <c r="CE838" s="228"/>
      <c r="CF838" s="228"/>
      <c r="CG838" s="228"/>
      <c r="CH838" s="228"/>
      <c r="CI838" s="228"/>
      <c r="CJ838" s="228"/>
      <c r="CK838" s="228"/>
      <c r="CL838" s="228"/>
      <c r="CM838" s="228"/>
      <c r="CN838" s="228"/>
      <c r="CO838" s="228"/>
      <c r="CP838" s="228"/>
      <c r="CQ838" s="228"/>
      <c r="CR838" s="228"/>
      <c r="CS838" s="228"/>
      <c r="CT838" s="228"/>
      <c r="CU838" s="228"/>
      <c r="CV838" s="228"/>
      <c r="CW838" s="228"/>
      <c r="CX838" s="228"/>
      <c r="CY838" s="228"/>
      <c r="CZ838" s="228"/>
      <c r="DA838" s="228"/>
      <c r="DB838" s="228"/>
    </row>
    <row r="839" ht="12.0" customHeight="1">
      <c r="A839" s="228"/>
      <c r="B839" s="228"/>
      <c r="C839" s="228"/>
      <c r="D839" s="228"/>
      <c r="E839" s="228"/>
      <c r="F839" s="228"/>
      <c r="G839" s="228"/>
      <c r="H839" s="228"/>
      <c r="I839" s="228"/>
      <c r="J839" s="228"/>
      <c r="K839" s="228"/>
      <c r="L839" s="228"/>
      <c r="M839" s="228"/>
      <c r="N839" s="228"/>
      <c r="O839" s="228"/>
      <c r="P839" s="228"/>
      <c r="Q839" s="228"/>
      <c r="R839" s="228"/>
      <c r="S839" s="228"/>
      <c r="T839" s="228"/>
      <c r="U839" s="228"/>
      <c r="V839" s="228"/>
      <c r="W839" s="228"/>
      <c r="X839" s="228"/>
      <c r="Y839" s="228"/>
      <c r="Z839" s="228"/>
      <c r="AA839" s="228"/>
      <c r="AB839" s="228"/>
      <c r="AC839" s="228"/>
      <c r="AD839" s="228"/>
      <c r="AE839" s="228"/>
      <c r="AF839" s="228"/>
      <c r="AG839" s="228"/>
      <c r="AH839" s="228"/>
      <c r="AI839" s="228"/>
      <c r="AJ839" s="228"/>
      <c r="AK839" s="228"/>
      <c r="AL839" s="228"/>
      <c r="AM839" s="228"/>
      <c r="AN839" s="228"/>
      <c r="AO839" s="228"/>
      <c r="AP839" s="228"/>
      <c r="AQ839" s="228"/>
      <c r="AR839" s="228"/>
      <c r="AS839" s="228"/>
      <c r="AT839" s="228"/>
      <c r="AU839" s="228"/>
      <c r="AV839" s="228"/>
      <c r="AW839" s="228"/>
      <c r="AX839" s="228"/>
      <c r="AY839" s="228"/>
      <c r="AZ839" s="228"/>
      <c r="BA839" s="228"/>
      <c r="BB839" s="228"/>
      <c r="BC839" s="228"/>
      <c r="BD839" s="228"/>
      <c r="BE839" s="228"/>
      <c r="BF839" s="228"/>
      <c r="BG839" s="228"/>
      <c r="BH839" s="228"/>
      <c r="BI839" s="228"/>
      <c r="BJ839" s="228"/>
      <c r="BK839" s="228"/>
      <c r="BL839" s="228"/>
      <c r="BM839" s="228"/>
      <c r="BN839" s="228"/>
      <c r="BO839" s="228"/>
      <c r="BP839" s="228"/>
      <c r="BQ839" s="228"/>
      <c r="BR839" s="228"/>
      <c r="BS839" s="228"/>
      <c r="BT839" s="228"/>
      <c r="BU839" s="228"/>
      <c r="BV839" s="228"/>
      <c r="BW839" s="228"/>
      <c r="BX839" s="228"/>
      <c r="BY839" s="228"/>
      <c r="BZ839" s="228"/>
      <c r="CA839" s="228"/>
      <c r="CB839" s="228"/>
      <c r="CC839" s="228"/>
      <c r="CD839" s="228"/>
      <c r="CE839" s="228"/>
      <c r="CF839" s="228"/>
      <c r="CG839" s="228"/>
      <c r="CH839" s="228"/>
      <c r="CI839" s="228"/>
      <c r="CJ839" s="228"/>
      <c r="CK839" s="228"/>
      <c r="CL839" s="228"/>
      <c r="CM839" s="228"/>
      <c r="CN839" s="228"/>
      <c r="CO839" s="228"/>
      <c r="CP839" s="228"/>
      <c r="CQ839" s="228"/>
      <c r="CR839" s="228"/>
      <c r="CS839" s="228"/>
      <c r="CT839" s="228"/>
      <c r="CU839" s="228"/>
      <c r="CV839" s="228"/>
      <c r="CW839" s="228"/>
      <c r="CX839" s="228"/>
      <c r="CY839" s="228"/>
      <c r="CZ839" s="228"/>
      <c r="DA839" s="228"/>
      <c r="DB839" s="228"/>
    </row>
    <row r="840" ht="12.0" customHeight="1">
      <c r="A840" s="228"/>
      <c r="B840" s="228"/>
      <c r="C840" s="228"/>
      <c r="D840" s="228"/>
      <c r="E840" s="228"/>
      <c r="F840" s="228"/>
      <c r="G840" s="228"/>
      <c r="H840" s="228"/>
      <c r="I840" s="228"/>
      <c r="J840" s="228"/>
      <c r="K840" s="228"/>
      <c r="L840" s="228"/>
      <c r="M840" s="228"/>
      <c r="N840" s="228"/>
      <c r="O840" s="228"/>
      <c r="P840" s="228"/>
      <c r="Q840" s="228"/>
      <c r="R840" s="228"/>
      <c r="S840" s="228"/>
      <c r="T840" s="228"/>
      <c r="U840" s="228"/>
      <c r="V840" s="228"/>
      <c r="W840" s="228"/>
      <c r="X840" s="228"/>
      <c r="Y840" s="228"/>
      <c r="Z840" s="228"/>
      <c r="AA840" s="228"/>
      <c r="AB840" s="228"/>
      <c r="AC840" s="228"/>
      <c r="AD840" s="228"/>
      <c r="AE840" s="228"/>
      <c r="AF840" s="228"/>
      <c r="AG840" s="228"/>
      <c r="AH840" s="228"/>
      <c r="AI840" s="228"/>
      <c r="AJ840" s="228"/>
      <c r="AK840" s="228"/>
      <c r="AL840" s="228"/>
      <c r="AM840" s="228"/>
      <c r="AN840" s="228"/>
      <c r="AO840" s="228"/>
      <c r="AP840" s="228"/>
      <c r="AQ840" s="228"/>
      <c r="AR840" s="228"/>
      <c r="AS840" s="228"/>
      <c r="AT840" s="228"/>
      <c r="AU840" s="228"/>
      <c r="AV840" s="228"/>
      <c r="AW840" s="228"/>
      <c r="AX840" s="228"/>
      <c r="AY840" s="228"/>
      <c r="AZ840" s="228"/>
      <c r="BA840" s="228"/>
      <c r="BB840" s="228"/>
      <c r="BC840" s="228"/>
      <c r="BD840" s="228"/>
      <c r="BE840" s="228"/>
      <c r="BF840" s="228"/>
      <c r="BG840" s="228"/>
      <c r="BH840" s="228"/>
      <c r="BI840" s="228"/>
      <c r="BJ840" s="228"/>
      <c r="BK840" s="228"/>
      <c r="BL840" s="228"/>
      <c r="BM840" s="228"/>
      <c r="BN840" s="228"/>
      <c r="BO840" s="228"/>
      <c r="BP840" s="228"/>
      <c r="BQ840" s="228"/>
      <c r="BR840" s="228"/>
      <c r="BS840" s="228"/>
      <c r="BT840" s="228"/>
      <c r="BU840" s="228"/>
      <c r="BV840" s="228"/>
      <c r="BW840" s="228"/>
      <c r="BX840" s="228"/>
      <c r="BY840" s="228"/>
      <c r="BZ840" s="228"/>
      <c r="CA840" s="228"/>
      <c r="CB840" s="228"/>
      <c r="CC840" s="228"/>
      <c r="CD840" s="228"/>
      <c r="CE840" s="228"/>
      <c r="CF840" s="228"/>
      <c r="CG840" s="228"/>
      <c r="CH840" s="228"/>
      <c r="CI840" s="228"/>
      <c r="CJ840" s="228"/>
      <c r="CK840" s="228"/>
      <c r="CL840" s="228"/>
      <c r="CM840" s="228"/>
      <c r="CN840" s="228"/>
      <c r="CO840" s="228"/>
      <c r="CP840" s="228"/>
      <c r="CQ840" s="228"/>
      <c r="CR840" s="228"/>
      <c r="CS840" s="228"/>
      <c r="CT840" s="228"/>
      <c r="CU840" s="228"/>
      <c r="CV840" s="228"/>
      <c r="CW840" s="228"/>
      <c r="CX840" s="228"/>
      <c r="CY840" s="228"/>
      <c r="CZ840" s="228"/>
      <c r="DA840" s="228"/>
      <c r="DB840" s="228"/>
    </row>
    <row r="841" ht="12.0" customHeight="1">
      <c r="A841" s="228"/>
      <c r="B841" s="228"/>
      <c r="C841" s="228"/>
      <c r="D841" s="228"/>
      <c r="E841" s="228"/>
      <c r="F841" s="228"/>
      <c r="G841" s="228"/>
      <c r="H841" s="228"/>
      <c r="I841" s="228"/>
      <c r="J841" s="228"/>
      <c r="K841" s="228"/>
      <c r="L841" s="228"/>
      <c r="M841" s="228"/>
      <c r="N841" s="228"/>
      <c r="O841" s="228"/>
      <c r="P841" s="228"/>
      <c r="Q841" s="228"/>
      <c r="R841" s="228"/>
      <c r="S841" s="228"/>
      <c r="T841" s="228"/>
      <c r="U841" s="228"/>
      <c r="V841" s="228"/>
      <c r="W841" s="228"/>
      <c r="X841" s="228"/>
      <c r="Y841" s="228"/>
      <c r="Z841" s="228"/>
      <c r="AA841" s="228"/>
      <c r="AB841" s="228"/>
      <c r="AC841" s="228"/>
      <c r="AD841" s="228"/>
      <c r="AE841" s="228"/>
      <c r="AF841" s="228"/>
      <c r="AG841" s="228"/>
      <c r="AH841" s="228"/>
      <c r="AI841" s="228"/>
      <c r="AJ841" s="228"/>
      <c r="AK841" s="228"/>
      <c r="AL841" s="228"/>
      <c r="AM841" s="228"/>
      <c r="AN841" s="228"/>
      <c r="AO841" s="228"/>
      <c r="AP841" s="228"/>
      <c r="AQ841" s="228"/>
      <c r="AR841" s="228"/>
      <c r="AS841" s="228"/>
      <c r="AT841" s="228"/>
      <c r="AU841" s="228"/>
      <c r="AV841" s="228"/>
      <c r="AW841" s="228"/>
      <c r="AX841" s="228"/>
      <c r="AY841" s="228"/>
      <c r="AZ841" s="228"/>
      <c r="BA841" s="228"/>
      <c r="BB841" s="228"/>
      <c r="BC841" s="228"/>
      <c r="BD841" s="228"/>
      <c r="BE841" s="228"/>
      <c r="BF841" s="228"/>
      <c r="BG841" s="228"/>
      <c r="BH841" s="228"/>
      <c r="BI841" s="228"/>
      <c r="BJ841" s="228"/>
      <c r="BK841" s="228"/>
      <c r="BL841" s="228"/>
      <c r="BM841" s="228"/>
      <c r="BN841" s="228"/>
      <c r="BO841" s="228"/>
      <c r="BP841" s="228"/>
      <c r="BQ841" s="228"/>
      <c r="BR841" s="228"/>
      <c r="BS841" s="228"/>
      <c r="BT841" s="228"/>
      <c r="BU841" s="228"/>
      <c r="BV841" s="228"/>
      <c r="BW841" s="228"/>
      <c r="BX841" s="228"/>
      <c r="BY841" s="228"/>
      <c r="BZ841" s="228"/>
      <c r="CA841" s="228"/>
      <c r="CB841" s="228"/>
      <c r="CC841" s="228"/>
      <c r="CD841" s="228"/>
      <c r="CE841" s="228"/>
      <c r="CF841" s="228"/>
      <c r="CG841" s="228"/>
      <c r="CH841" s="228"/>
      <c r="CI841" s="228"/>
      <c r="CJ841" s="228"/>
      <c r="CK841" s="228"/>
      <c r="CL841" s="228"/>
      <c r="CM841" s="228"/>
      <c r="CN841" s="228"/>
      <c r="CO841" s="228"/>
      <c r="CP841" s="228"/>
      <c r="CQ841" s="228"/>
      <c r="CR841" s="228"/>
      <c r="CS841" s="228"/>
      <c r="CT841" s="228"/>
      <c r="CU841" s="228"/>
      <c r="CV841" s="228"/>
      <c r="CW841" s="228"/>
      <c r="CX841" s="228"/>
      <c r="CY841" s="228"/>
      <c r="CZ841" s="228"/>
      <c r="DA841" s="228"/>
      <c r="DB841" s="228"/>
    </row>
    <row r="842" ht="12.0" customHeight="1">
      <c r="A842" s="228"/>
      <c r="B842" s="228"/>
      <c r="C842" s="228"/>
      <c r="D842" s="228"/>
      <c r="E842" s="228"/>
      <c r="F842" s="228"/>
      <c r="G842" s="228"/>
      <c r="H842" s="228"/>
      <c r="I842" s="228"/>
      <c r="J842" s="228"/>
      <c r="K842" s="228"/>
      <c r="L842" s="228"/>
      <c r="M842" s="228"/>
      <c r="N842" s="228"/>
      <c r="O842" s="228"/>
      <c r="P842" s="228"/>
      <c r="Q842" s="228"/>
      <c r="R842" s="228"/>
      <c r="S842" s="228"/>
      <c r="T842" s="228"/>
      <c r="U842" s="228"/>
      <c r="V842" s="228"/>
      <c r="W842" s="228"/>
      <c r="X842" s="228"/>
      <c r="Y842" s="228"/>
      <c r="Z842" s="228"/>
      <c r="AA842" s="228"/>
      <c r="AB842" s="228"/>
      <c r="AC842" s="228"/>
      <c r="AD842" s="228"/>
      <c r="AE842" s="228"/>
      <c r="AF842" s="228"/>
      <c r="AG842" s="228"/>
      <c r="AH842" s="228"/>
      <c r="AI842" s="228"/>
      <c r="AJ842" s="228"/>
      <c r="AK842" s="228"/>
      <c r="AL842" s="228"/>
      <c r="AM842" s="228"/>
      <c r="AN842" s="228"/>
      <c r="AO842" s="228"/>
      <c r="AP842" s="228"/>
      <c r="AQ842" s="228"/>
      <c r="AR842" s="228"/>
      <c r="AS842" s="228"/>
      <c r="AT842" s="228"/>
      <c r="AU842" s="228"/>
      <c r="AV842" s="228"/>
      <c r="AW842" s="228"/>
      <c r="AX842" s="228"/>
      <c r="AY842" s="228"/>
      <c r="AZ842" s="228"/>
      <c r="BA842" s="228"/>
      <c r="BB842" s="228"/>
      <c r="BC842" s="228"/>
      <c r="BD842" s="228"/>
      <c r="BE842" s="228"/>
      <c r="BF842" s="228"/>
      <c r="BG842" s="228"/>
      <c r="BH842" s="228"/>
      <c r="BI842" s="228"/>
      <c r="BJ842" s="228"/>
      <c r="BK842" s="228"/>
      <c r="BL842" s="228"/>
      <c r="BM842" s="228"/>
      <c r="BN842" s="228"/>
      <c r="BO842" s="228"/>
      <c r="BP842" s="228"/>
      <c r="BQ842" s="228"/>
      <c r="BR842" s="228"/>
      <c r="BS842" s="228"/>
      <c r="BT842" s="228"/>
      <c r="BU842" s="228"/>
      <c r="BV842" s="228"/>
      <c r="BW842" s="228"/>
      <c r="BX842" s="228"/>
      <c r="BY842" s="228"/>
      <c r="BZ842" s="228"/>
      <c r="CA842" s="228"/>
      <c r="CB842" s="228"/>
      <c r="CC842" s="228"/>
      <c r="CD842" s="228"/>
      <c r="CE842" s="228"/>
      <c r="CF842" s="228"/>
      <c r="CG842" s="228"/>
      <c r="CH842" s="228"/>
      <c r="CI842" s="228"/>
      <c r="CJ842" s="228"/>
      <c r="CK842" s="228"/>
      <c r="CL842" s="228"/>
      <c r="CM842" s="228"/>
      <c r="CN842" s="228"/>
      <c r="CO842" s="228"/>
      <c r="CP842" s="228"/>
      <c r="CQ842" s="228"/>
      <c r="CR842" s="228"/>
      <c r="CS842" s="228"/>
      <c r="CT842" s="228"/>
      <c r="CU842" s="228"/>
      <c r="CV842" s="228"/>
      <c r="CW842" s="228"/>
      <c r="CX842" s="228"/>
      <c r="CY842" s="228"/>
      <c r="CZ842" s="228"/>
      <c r="DA842" s="228"/>
      <c r="DB842" s="228"/>
    </row>
    <row r="843" ht="12.0" customHeight="1">
      <c r="A843" s="228"/>
      <c r="B843" s="228"/>
      <c r="C843" s="228"/>
      <c r="D843" s="228"/>
      <c r="E843" s="228"/>
      <c r="F843" s="228"/>
      <c r="G843" s="228"/>
      <c r="H843" s="228"/>
      <c r="I843" s="228"/>
      <c r="J843" s="228"/>
      <c r="K843" s="228"/>
      <c r="L843" s="228"/>
      <c r="M843" s="228"/>
      <c r="N843" s="228"/>
      <c r="O843" s="228"/>
      <c r="P843" s="228"/>
      <c r="Q843" s="228"/>
      <c r="R843" s="228"/>
      <c r="S843" s="228"/>
      <c r="T843" s="228"/>
      <c r="U843" s="228"/>
      <c r="V843" s="228"/>
      <c r="W843" s="228"/>
      <c r="X843" s="228"/>
      <c r="Y843" s="228"/>
      <c r="Z843" s="228"/>
      <c r="AA843" s="228"/>
      <c r="AB843" s="228"/>
      <c r="AC843" s="228"/>
      <c r="AD843" s="228"/>
      <c r="AE843" s="228"/>
      <c r="AF843" s="228"/>
      <c r="AG843" s="228"/>
      <c r="AH843" s="228"/>
      <c r="AI843" s="228"/>
      <c r="AJ843" s="228"/>
      <c r="AK843" s="228"/>
      <c r="AL843" s="228"/>
      <c r="AM843" s="228"/>
      <c r="AN843" s="228"/>
      <c r="AO843" s="228"/>
      <c r="AP843" s="228"/>
      <c r="AQ843" s="228"/>
      <c r="AR843" s="228"/>
      <c r="AS843" s="228"/>
      <c r="AT843" s="228"/>
      <c r="AU843" s="228"/>
      <c r="AV843" s="228"/>
      <c r="AW843" s="228"/>
      <c r="AX843" s="228"/>
      <c r="AY843" s="228"/>
      <c r="AZ843" s="228"/>
      <c r="BA843" s="228"/>
      <c r="BB843" s="228"/>
      <c r="BC843" s="228"/>
      <c r="BD843" s="228"/>
      <c r="BE843" s="228"/>
      <c r="BF843" s="228"/>
      <c r="BG843" s="228"/>
      <c r="BH843" s="228"/>
      <c r="BI843" s="228"/>
      <c r="BJ843" s="228"/>
      <c r="BK843" s="228"/>
      <c r="BL843" s="228"/>
      <c r="BM843" s="228"/>
      <c r="BN843" s="228"/>
      <c r="BO843" s="228"/>
      <c r="BP843" s="228"/>
      <c r="BQ843" s="228"/>
      <c r="BR843" s="228"/>
      <c r="BS843" s="228"/>
      <c r="BT843" s="228"/>
      <c r="BU843" s="228"/>
      <c r="BV843" s="228"/>
      <c r="BW843" s="228"/>
      <c r="BX843" s="228"/>
      <c r="BY843" s="228"/>
      <c r="BZ843" s="228"/>
      <c r="CA843" s="228"/>
      <c r="CB843" s="228"/>
      <c r="CC843" s="228"/>
      <c r="CD843" s="228"/>
      <c r="CE843" s="228"/>
      <c r="CF843" s="228"/>
      <c r="CG843" s="228"/>
      <c r="CH843" s="228"/>
      <c r="CI843" s="228"/>
      <c r="CJ843" s="228"/>
      <c r="CK843" s="228"/>
      <c r="CL843" s="228"/>
      <c r="CM843" s="228"/>
      <c r="CN843" s="228"/>
      <c r="CO843" s="228"/>
      <c r="CP843" s="228"/>
      <c r="CQ843" s="228"/>
      <c r="CR843" s="228"/>
      <c r="CS843" s="228"/>
      <c r="CT843" s="228"/>
      <c r="CU843" s="228"/>
      <c r="CV843" s="228"/>
      <c r="CW843" s="228"/>
      <c r="CX843" s="228"/>
      <c r="CY843" s="228"/>
      <c r="CZ843" s="228"/>
      <c r="DA843" s="228"/>
      <c r="DB843" s="228"/>
    </row>
    <row r="844" ht="12.0" customHeight="1">
      <c r="A844" s="228"/>
      <c r="B844" s="228"/>
      <c r="C844" s="228"/>
      <c r="D844" s="228"/>
      <c r="E844" s="228"/>
      <c r="F844" s="228"/>
      <c r="G844" s="228"/>
      <c r="H844" s="228"/>
      <c r="I844" s="228"/>
      <c r="J844" s="228"/>
      <c r="K844" s="228"/>
      <c r="L844" s="228"/>
      <c r="M844" s="228"/>
      <c r="N844" s="228"/>
      <c r="O844" s="228"/>
      <c r="P844" s="228"/>
      <c r="Q844" s="228"/>
      <c r="R844" s="228"/>
      <c r="S844" s="228"/>
      <c r="T844" s="228"/>
      <c r="U844" s="228"/>
      <c r="V844" s="228"/>
      <c r="W844" s="228"/>
      <c r="X844" s="228"/>
      <c r="Y844" s="228"/>
      <c r="Z844" s="228"/>
      <c r="AA844" s="228"/>
      <c r="AB844" s="228"/>
      <c r="AC844" s="228"/>
      <c r="AD844" s="228"/>
      <c r="AE844" s="228"/>
      <c r="AF844" s="228"/>
      <c r="AG844" s="228"/>
      <c r="AH844" s="228"/>
      <c r="AI844" s="228"/>
      <c r="AJ844" s="228"/>
      <c r="AK844" s="228"/>
      <c r="AL844" s="228"/>
      <c r="AM844" s="228"/>
      <c r="AN844" s="228"/>
      <c r="AO844" s="228"/>
      <c r="AP844" s="228"/>
      <c r="AQ844" s="228"/>
      <c r="AR844" s="228"/>
      <c r="AS844" s="228"/>
      <c r="AT844" s="228"/>
      <c r="AU844" s="228"/>
      <c r="AV844" s="228"/>
      <c r="AW844" s="228"/>
      <c r="AX844" s="228"/>
      <c r="AY844" s="228"/>
      <c r="AZ844" s="228"/>
      <c r="BA844" s="228"/>
      <c r="BB844" s="228"/>
      <c r="BC844" s="228"/>
      <c r="BD844" s="228"/>
      <c r="BE844" s="228"/>
      <c r="BF844" s="228"/>
      <c r="BG844" s="228"/>
      <c r="BH844" s="228"/>
      <c r="BI844" s="228"/>
      <c r="BJ844" s="228"/>
      <c r="BK844" s="228"/>
      <c r="BL844" s="228"/>
      <c r="BM844" s="228"/>
      <c r="BN844" s="228"/>
      <c r="BO844" s="228"/>
      <c r="BP844" s="228"/>
      <c r="BQ844" s="228"/>
      <c r="BR844" s="228"/>
      <c r="BS844" s="228"/>
      <c r="BT844" s="228"/>
      <c r="BU844" s="228"/>
      <c r="BV844" s="228"/>
      <c r="BW844" s="228"/>
      <c r="BX844" s="228"/>
      <c r="BY844" s="228"/>
      <c r="BZ844" s="228"/>
      <c r="CA844" s="228"/>
      <c r="CB844" s="228"/>
      <c r="CC844" s="228"/>
      <c r="CD844" s="228"/>
      <c r="CE844" s="228"/>
      <c r="CF844" s="228"/>
      <c r="CG844" s="228"/>
      <c r="CH844" s="228"/>
      <c r="CI844" s="228"/>
      <c r="CJ844" s="228"/>
      <c r="CK844" s="228"/>
      <c r="CL844" s="228"/>
      <c r="CM844" s="228"/>
      <c r="CN844" s="228"/>
      <c r="CO844" s="228"/>
      <c r="CP844" s="228"/>
      <c r="CQ844" s="228"/>
      <c r="CR844" s="228"/>
      <c r="CS844" s="228"/>
      <c r="CT844" s="228"/>
      <c r="CU844" s="228"/>
      <c r="CV844" s="228"/>
      <c r="CW844" s="228"/>
      <c r="CX844" s="228"/>
      <c r="CY844" s="228"/>
      <c r="CZ844" s="228"/>
      <c r="DA844" s="228"/>
      <c r="DB844" s="228"/>
    </row>
    <row r="845" ht="12.0" customHeight="1">
      <c r="A845" s="228"/>
      <c r="B845" s="228"/>
      <c r="C845" s="228"/>
      <c r="D845" s="228"/>
      <c r="E845" s="228"/>
      <c r="F845" s="228"/>
      <c r="G845" s="228"/>
      <c r="H845" s="228"/>
      <c r="I845" s="228"/>
      <c r="J845" s="228"/>
      <c r="K845" s="228"/>
      <c r="L845" s="228"/>
      <c r="M845" s="228"/>
      <c r="N845" s="228"/>
      <c r="O845" s="228"/>
      <c r="P845" s="228"/>
      <c r="Q845" s="228"/>
      <c r="R845" s="228"/>
      <c r="S845" s="228"/>
      <c r="T845" s="228"/>
      <c r="U845" s="228"/>
      <c r="V845" s="228"/>
      <c r="W845" s="228"/>
      <c r="X845" s="228"/>
      <c r="Y845" s="228"/>
      <c r="Z845" s="228"/>
      <c r="AA845" s="228"/>
      <c r="AB845" s="228"/>
      <c r="AC845" s="228"/>
      <c r="AD845" s="228"/>
      <c r="AE845" s="228"/>
      <c r="AF845" s="228"/>
      <c r="AG845" s="228"/>
      <c r="AH845" s="228"/>
      <c r="AI845" s="228"/>
      <c r="AJ845" s="228"/>
      <c r="AK845" s="228"/>
      <c r="AL845" s="228"/>
      <c r="AM845" s="228"/>
      <c r="AN845" s="228"/>
      <c r="AO845" s="228"/>
      <c r="AP845" s="228"/>
      <c r="AQ845" s="228"/>
      <c r="AR845" s="228"/>
      <c r="AS845" s="228"/>
      <c r="AT845" s="228"/>
      <c r="AU845" s="228"/>
      <c r="AV845" s="228"/>
      <c r="AW845" s="228"/>
      <c r="AX845" s="228"/>
      <c r="AY845" s="228"/>
      <c r="AZ845" s="228"/>
      <c r="BA845" s="228"/>
      <c r="BB845" s="228"/>
      <c r="BC845" s="228"/>
      <c r="BD845" s="228"/>
      <c r="BE845" s="228"/>
      <c r="BF845" s="228"/>
      <c r="BG845" s="228"/>
      <c r="BH845" s="228"/>
      <c r="BI845" s="228"/>
      <c r="BJ845" s="228"/>
      <c r="BK845" s="228"/>
      <c r="BL845" s="228"/>
      <c r="BM845" s="228"/>
      <c r="BN845" s="228"/>
      <c r="BO845" s="228"/>
      <c r="BP845" s="228"/>
      <c r="BQ845" s="228"/>
      <c r="BR845" s="228"/>
      <c r="BS845" s="228"/>
      <c r="BT845" s="228"/>
      <c r="BU845" s="228"/>
      <c r="BV845" s="228"/>
      <c r="BW845" s="228"/>
      <c r="BX845" s="228"/>
      <c r="BY845" s="228"/>
      <c r="BZ845" s="228"/>
      <c r="CA845" s="228"/>
      <c r="CB845" s="228"/>
      <c r="CC845" s="228"/>
      <c r="CD845" s="228"/>
      <c r="CE845" s="228"/>
      <c r="CF845" s="228"/>
      <c r="CG845" s="228"/>
      <c r="CH845" s="228"/>
      <c r="CI845" s="228"/>
      <c r="CJ845" s="228"/>
      <c r="CK845" s="228"/>
      <c r="CL845" s="228"/>
      <c r="CM845" s="228"/>
      <c r="CN845" s="228"/>
      <c r="CO845" s="228"/>
      <c r="CP845" s="228"/>
      <c r="CQ845" s="228"/>
      <c r="CR845" s="228"/>
      <c r="CS845" s="228"/>
      <c r="CT845" s="228"/>
      <c r="CU845" s="228"/>
      <c r="CV845" s="228"/>
      <c r="CW845" s="228"/>
      <c r="CX845" s="228"/>
      <c r="CY845" s="228"/>
      <c r="CZ845" s="228"/>
      <c r="DA845" s="228"/>
      <c r="DB845" s="228"/>
    </row>
    <row r="846" ht="12.0" customHeight="1">
      <c r="A846" s="228"/>
      <c r="B846" s="228"/>
      <c r="C846" s="228"/>
      <c r="D846" s="228"/>
      <c r="E846" s="228"/>
      <c r="F846" s="228"/>
      <c r="G846" s="228"/>
      <c r="H846" s="228"/>
      <c r="I846" s="228"/>
      <c r="J846" s="228"/>
      <c r="K846" s="228"/>
      <c r="L846" s="228"/>
      <c r="M846" s="228"/>
      <c r="N846" s="228"/>
      <c r="O846" s="228"/>
      <c r="P846" s="228"/>
      <c r="Q846" s="228"/>
      <c r="R846" s="228"/>
      <c r="S846" s="228"/>
      <c r="T846" s="228"/>
      <c r="U846" s="228"/>
      <c r="V846" s="228"/>
      <c r="W846" s="228"/>
      <c r="X846" s="228"/>
      <c r="Y846" s="228"/>
      <c r="Z846" s="228"/>
      <c r="AA846" s="228"/>
      <c r="AB846" s="228"/>
      <c r="AC846" s="228"/>
      <c r="AD846" s="228"/>
      <c r="AE846" s="228"/>
      <c r="AF846" s="228"/>
      <c r="AG846" s="228"/>
      <c r="AH846" s="228"/>
      <c r="AI846" s="228"/>
      <c r="AJ846" s="228"/>
      <c r="AK846" s="228"/>
      <c r="AL846" s="228"/>
      <c r="AM846" s="228"/>
      <c r="AN846" s="228"/>
      <c r="AO846" s="228"/>
      <c r="AP846" s="228"/>
      <c r="AQ846" s="228"/>
      <c r="AR846" s="228"/>
      <c r="AS846" s="228"/>
      <c r="AT846" s="228"/>
      <c r="AU846" s="228"/>
      <c r="AV846" s="228"/>
      <c r="AW846" s="228"/>
      <c r="AX846" s="228"/>
      <c r="AY846" s="228"/>
      <c r="AZ846" s="228"/>
      <c r="BA846" s="228"/>
      <c r="BB846" s="228"/>
      <c r="BC846" s="228"/>
      <c r="BD846" s="228"/>
      <c r="BE846" s="228"/>
      <c r="BF846" s="228"/>
      <c r="BG846" s="228"/>
      <c r="BH846" s="228"/>
      <c r="BI846" s="228"/>
      <c r="BJ846" s="228"/>
      <c r="BK846" s="228"/>
      <c r="BL846" s="228"/>
      <c r="BM846" s="228"/>
      <c r="BN846" s="228"/>
      <c r="BO846" s="228"/>
      <c r="BP846" s="228"/>
      <c r="BQ846" s="228"/>
      <c r="BR846" s="228"/>
      <c r="BS846" s="228"/>
      <c r="BT846" s="228"/>
      <c r="BU846" s="228"/>
      <c r="BV846" s="228"/>
      <c r="BW846" s="228"/>
      <c r="BX846" s="228"/>
      <c r="BY846" s="228"/>
      <c r="BZ846" s="228"/>
      <c r="CA846" s="228"/>
      <c r="CB846" s="228"/>
      <c r="CC846" s="228"/>
      <c r="CD846" s="228"/>
      <c r="CE846" s="228"/>
      <c r="CF846" s="228"/>
      <c r="CG846" s="228"/>
      <c r="CH846" s="228"/>
      <c r="CI846" s="228"/>
      <c r="CJ846" s="228"/>
      <c r="CK846" s="228"/>
      <c r="CL846" s="228"/>
      <c r="CM846" s="228"/>
      <c r="CN846" s="228"/>
      <c r="CO846" s="228"/>
      <c r="CP846" s="228"/>
      <c r="CQ846" s="228"/>
      <c r="CR846" s="228"/>
      <c r="CS846" s="228"/>
      <c r="CT846" s="228"/>
      <c r="CU846" s="228"/>
      <c r="CV846" s="228"/>
      <c r="CW846" s="228"/>
      <c r="CX846" s="228"/>
      <c r="CY846" s="228"/>
      <c r="CZ846" s="228"/>
      <c r="DA846" s="228"/>
      <c r="DB846" s="228"/>
    </row>
    <row r="847" ht="12.0" customHeight="1">
      <c r="A847" s="228"/>
      <c r="B847" s="228"/>
      <c r="C847" s="228"/>
      <c r="D847" s="228"/>
      <c r="E847" s="228"/>
      <c r="F847" s="228"/>
      <c r="G847" s="228"/>
      <c r="H847" s="228"/>
      <c r="I847" s="228"/>
      <c r="J847" s="228"/>
      <c r="K847" s="228"/>
      <c r="L847" s="228"/>
      <c r="M847" s="228"/>
      <c r="N847" s="228"/>
      <c r="O847" s="228"/>
      <c r="P847" s="228"/>
      <c r="Q847" s="228"/>
      <c r="R847" s="228"/>
      <c r="S847" s="228"/>
      <c r="T847" s="228"/>
      <c r="U847" s="228"/>
      <c r="V847" s="228"/>
      <c r="W847" s="228"/>
      <c r="X847" s="228"/>
      <c r="Y847" s="228"/>
      <c r="Z847" s="228"/>
      <c r="AA847" s="228"/>
      <c r="AB847" s="228"/>
      <c r="AC847" s="228"/>
      <c r="AD847" s="228"/>
      <c r="AE847" s="228"/>
      <c r="AF847" s="228"/>
      <c r="AG847" s="228"/>
      <c r="AH847" s="228"/>
      <c r="AI847" s="228"/>
      <c r="AJ847" s="228"/>
      <c r="AK847" s="228"/>
      <c r="AL847" s="228"/>
      <c r="AM847" s="228"/>
      <c r="AN847" s="228"/>
      <c r="AO847" s="228"/>
      <c r="AP847" s="228"/>
      <c r="AQ847" s="228"/>
      <c r="AR847" s="228"/>
      <c r="AS847" s="228"/>
      <c r="AT847" s="228"/>
      <c r="AU847" s="228"/>
      <c r="AV847" s="228"/>
      <c r="AW847" s="228"/>
      <c r="AX847" s="228"/>
      <c r="AY847" s="228"/>
      <c r="AZ847" s="228"/>
      <c r="BA847" s="228"/>
      <c r="BB847" s="228"/>
      <c r="BC847" s="228"/>
      <c r="BD847" s="228"/>
      <c r="BE847" s="228"/>
      <c r="BF847" s="228"/>
      <c r="BG847" s="228"/>
      <c r="BH847" s="228"/>
      <c r="BI847" s="228"/>
      <c r="BJ847" s="228"/>
      <c r="BK847" s="228"/>
      <c r="BL847" s="228"/>
      <c r="BM847" s="228"/>
      <c r="BN847" s="228"/>
      <c r="BO847" s="228"/>
      <c r="BP847" s="228"/>
      <c r="BQ847" s="228"/>
      <c r="BR847" s="228"/>
      <c r="BS847" s="228"/>
      <c r="BT847" s="228"/>
      <c r="BU847" s="228"/>
      <c r="BV847" s="228"/>
      <c r="BW847" s="228"/>
      <c r="BX847" s="228"/>
      <c r="BY847" s="228"/>
      <c r="BZ847" s="228"/>
      <c r="CA847" s="228"/>
      <c r="CB847" s="228"/>
      <c r="CC847" s="228"/>
      <c r="CD847" s="228"/>
      <c r="CE847" s="228"/>
      <c r="CF847" s="228"/>
      <c r="CG847" s="228"/>
      <c r="CH847" s="228"/>
      <c r="CI847" s="228"/>
      <c r="CJ847" s="228"/>
      <c r="CK847" s="228"/>
      <c r="CL847" s="228"/>
      <c r="CM847" s="228"/>
      <c r="CN847" s="228"/>
      <c r="CO847" s="228"/>
      <c r="CP847" s="228"/>
      <c r="CQ847" s="228"/>
      <c r="CR847" s="228"/>
      <c r="CS847" s="228"/>
      <c r="CT847" s="228"/>
      <c r="CU847" s="228"/>
      <c r="CV847" s="228"/>
      <c r="CW847" s="228"/>
      <c r="CX847" s="228"/>
      <c r="CY847" s="228"/>
      <c r="CZ847" s="228"/>
      <c r="DA847" s="228"/>
      <c r="DB847" s="228"/>
    </row>
    <row r="848" ht="12.0" customHeight="1">
      <c r="A848" s="228"/>
      <c r="B848" s="228"/>
      <c r="C848" s="228"/>
      <c r="D848" s="228"/>
      <c r="E848" s="228"/>
      <c r="F848" s="228"/>
      <c r="G848" s="228"/>
      <c r="H848" s="228"/>
      <c r="I848" s="228"/>
      <c r="J848" s="228"/>
      <c r="K848" s="228"/>
      <c r="L848" s="228"/>
      <c r="M848" s="228"/>
      <c r="N848" s="228"/>
      <c r="O848" s="228"/>
      <c r="P848" s="228"/>
      <c r="Q848" s="228"/>
      <c r="R848" s="228"/>
      <c r="S848" s="228"/>
      <c r="T848" s="228"/>
      <c r="U848" s="228"/>
      <c r="V848" s="228"/>
      <c r="W848" s="228"/>
      <c r="X848" s="228"/>
      <c r="Y848" s="228"/>
      <c r="Z848" s="228"/>
      <c r="AA848" s="228"/>
      <c r="AB848" s="228"/>
      <c r="AC848" s="228"/>
      <c r="AD848" s="228"/>
      <c r="AE848" s="228"/>
      <c r="AF848" s="228"/>
      <c r="AG848" s="228"/>
      <c r="AH848" s="228"/>
      <c r="AI848" s="228"/>
      <c r="AJ848" s="228"/>
      <c r="AK848" s="228"/>
      <c r="AL848" s="228"/>
      <c r="AM848" s="228"/>
      <c r="AN848" s="228"/>
      <c r="AO848" s="228"/>
      <c r="AP848" s="228"/>
      <c r="AQ848" s="228"/>
      <c r="AR848" s="228"/>
      <c r="AS848" s="228"/>
      <c r="AT848" s="228"/>
      <c r="AU848" s="228"/>
      <c r="AV848" s="228"/>
      <c r="AW848" s="228"/>
      <c r="AX848" s="228"/>
      <c r="AY848" s="228"/>
      <c r="AZ848" s="228"/>
      <c r="BA848" s="228"/>
      <c r="BB848" s="228"/>
      <c r="BC848" s="228"/>
      <c r="BD848" s="228"/>
      <c r="BE848" s="228"/>
      <c r="BF848" s="228"/>
      <c r="BG848" s="228"/>
      <c r="BH848" s="228"/>
      <c r="BI848" s="228"/>
      <c r="BJ848" s="228"/>
      <c r="BK848" s="228"/>
      <c r="BL848" s="228"/>
      <c r="BM848" s="228"/>
      <c r="BN848" s="228"/>
      <c r="BO848" s="228"/>
      <c r="BP848" s="228"/>
      <c r="BQ848" s="228"/>
      <c r="BR848" s="228"/>
      <c r="BS848" s="228"/>
      <c r="BT848" s="228"/>
      <c r="BU848" s="228"/>
      <c r="BV848" s="228"/>
      <c r="BW848" s="228"/>
      <c r="BX848" s="228"/>
      <c r="BY848" s="228"/>
      <c r="BZ848" s="228"/>
      <c r="CA848" s="228"/>
      <c r="CB848" s="228"/>
      <c r="CC848" s="228"/>
      <c r="CD848" s="228"/>
      <c r="CE848" s="228"/>
      <c r="CF848" s="228"/>
      <c r="CG848" s="228"/>
      <c r="CH848" s="228"/>
      <c r="CI848" s="228"/>
      <c r="CJ848" s="228"/>
      <c r="CK848" s="228"/>
      <c r="CL848" s="228"/>
      <c r="CM848" s="228"/>
      <c r="CN848" s="228"/>
      <c r="CO848" s="228"/>
      <c r="CP848" s="228"/>
      <c r="CQ848" s="228"/>
      <c r="CR848" s="228"/>
      <c r="CS848" s="228"/>
      <c r="CT848" s="228"/>
      <c r="CU848" s="228"/>
      <c r="CV848" s="228"/>
      <c r="CW848" s="228"/>
      <c r="CX848" s="228"/>
      <c r="CY848" s="228"/>
      <c r="CZ848" s="228"/>
      <c r="DA848" s="228"/>
      <c r="DB848" s="228"/>
    </row>
    <row r="849" ht="12.0" customHeight="1">
      <c r="A849" s="228"/>
      <c r="B849" s="228"/>
      <c r="C849" s="228"/>
      <c r="D849" s="228"/>
      <c r="E849" s="228"/>
      <c r="F849" s="228"/>
      <c r="G849" s="228"/>
      <c r="H849" s="228"/>
      <c r="I849" s="228"/>
      <c r="J849" s="228"/>
      <c r="K849" s="228"/>
      <c r="L849" s="228"/>
      <c r="M849" s="228"/>
      <c r="N849" s="228"/>
      <c r="O849" s="228"/>
      <c r="P849" s="228"/>
      <c r="Q849" s="228"/>
      <c r="R849" s="228"/>
      <c r="S849" s="228"/>
      <c r="T849" s="228"/>
      <c r="U849" s="228"/>
      <c r="V849" s="228"/>
      <c r="W849" s="228"/>
      <c r="X849" s="228"/>
      <c r="Y849" s="228"/>
      <c r="Z849" s="228"/>
      <c r="AA849" s="228"/>
      <c r="AB849" s="228"/>
      <c r="AC849" s="228"/>
      <c r="AD849" s="228"/>
      <c r="AE849" s="228"/>
      <c r="AF849" s="228"/>
      <c r="AG849" s="228"/>
      <c r="AH849" s="228"/>
      <c r="AI849" s="228"/>
      <c r="AJ849" s="228"/>
      <c r="AK849" s="228"/>
      <c r="AL849" s="228"/>
      <c r="AM849" s="228"/>
      <c r="AN849" s="228"/>
      <c r="AO849" s="228"/>
      <c r="AP849" s="228"/>
      <c r="AQ849" s="228"/>
      <c r="AR849" s="228"/>
      <c r="AS849" s="228"/>
      <c r="AT849" s="228"/>
      <c r="AU849" s="228"/>
      <c r="AV849" s="228"/>
      <c r="AW849" s="228"/>
      <c r="AX849" s="228"/>
      <c r="AY849" s="228"/>
      <c r="AZ849" s="228"/>
      <c r="BA849" s="228"/>
      <c r="BB849" s="228"/>
      <c r="BC849" s="228"/>
      <c r="BD849" s="228"/>
      <c r="BE849" s="228"/>
      <c r="BF849" s="228"/>
      <c r="BG849" s="228"/>
      <c r="BH849" s="228"/>
      <c r="BI849" s="228"/>
      <c r="BJ849" s="228"/>
      <c r="BK849" s="228"/>
      <c r="BL849" s="228"/>
      <c r="BM849" s="228"/>
      <c r="BN849" s="228"/>
      <c r="BO849" s="228"/>
      <c r="BP849" s="228"/>
      <c r="BQ849" s="228"/>
      <c r="BR849" s="228"/>
      <c r="BS849" s="228"/>
      <c r="BT849" s="228"/>
      <c r="BU849" s="228"/>
      <c r="BV849" s="228"/>
      <c r="BW849" s="228"/>
      <c r="BX849" s="228"/>
      <c r="BY849" s="228"/>
      <c r="BZ849" s="228"/>
      <c r="CA849" s="228"/>
      <c r="CB849" s="228"/>
      <c r="CC849" s="228"/>
      <c r="CD849" s="228"/>
      <c r="CE849" s="228"/>
      <c r="CF849" s="228"/>
      <c r="CG849" s="228"/>
      <c r="CH849" s="228"/>
      <c r="CI849" s="228"/>
      <c r="CJ849" s="228"/>
      <c r="CK849" s="228"/>
      <c r="CL849" s="228"/>
      <c r="CM849" s="228"/>
      <c r="CN849" s="228"/>
      <c r="CO849" s="228"/>
      <c r="CP849" s="228"/>
      <c r="CQ849" s="228"/>
      <c r="CR849" s="228"/>
      <c r="CS849" s="228"/>
      <c r="CT849" s="228"/>
      <c r="CU849" s="228"/>
      <c r="CV849" s="228"/>
      <c r="CW849" s="228"/>
      <c r="CX849" s="228"/>
      <c r="CY849" s="228"/>
      <c r="CZ849" s="228"/>
      <c r="DA849" s="228"/>
      <c r="DB849" s="228"/>
    </row>
    <row r="850" ht="12.0" customHeight="1">
      <c r="A850" s="228"/>
      <c r="B850" s="228"/>
      <c r="C850" s="228"/>
      <c r="D850" s="228"/>
      <c r="E850" s="228"/>
      <c r="F850" s="228"/>
      <c r="G850" s="228"/>
      <c r="H850" s="228"/>
      <c r="I850" s="228"/>
      <c r="J850" s="228"/>
      <c r="K850" s="228"/>
      <c r="L850" s="228"/>
      <c r="M850" s="228"/>
      <c r="N850" s="228"/>
      <c r="O850" s="228"/>
      <c r="P850" s="228"/>
      <c r="Q850" s="228"/>
      <c r="R850" s="228"/>
      <c r="S850" s="228"/>
      <c r="T850" s="228"/>
      <c r="U850" s="228"/>
      <c r="V850" s="228"/>
      <c r="W850" s="228"/>
      <c r="X850" s="228"/>
      <c r="Y850" s="228"/>
      <c r="Z850" s="228"/>
      <c r="AA850" s="228"/>
      <c r="AB850" s="228"/>
      <c r="AC850" s="228"/>
      <c r="AD850" s="228"/>
      <c r="AE850" s="228"/>
      <c r="AF850" s="228"/>
      <c r="AG850" s="228"/>
      <c r="AH850" s="228"/>
      <c r="AI850" s="228"/>
      <c r="AJ850" s="228"/>
      <c r="AK850" s="228"/>
      <c r="AL850" s="228"/>
      <c r="AM850" s="228"/>
      <c r="AN850" s="228"/>
      <c r="AO850" s="228"/>
      <c r="AP850" s="228"/>
      <c r="AQ850" s="228"/>
      <c r="AR850" s="228"/>
      <c r="AS850" s="228"/>
      <c r="AT850" s="228"/>
      <c r="AU850" s="228"/>
      <c r="AV850" s="228"/>
      <c r="AW850" s="228"/>
      <c r="AX850" s="228"/>
      <c r="AY850" s="228"/>
      <c r="AZ850" s="228"/>
      <c r="BA850" s="228"/>
      <c r="BB850" s="228"/>
      <c r="BC850" s="228"/>
      <c r="BD850" s="228"/>
      <c r="BE850" s="228"/>
      <c r="BF850" s="228"/>
      <c r="BG850" s="228"/>
      <c r="BH850" s="228"/>
      <c r="BI850" s="228"/>
      <c r="BJ850" s="228"/>
      <c r="BK850" s="228"/>
      <c r="BL850" s="228"/>
      <c r="BM850" s="228"/>
      <c r="BN850" s="228"/>
      <c r="BO850" s="228"/>
      <c r="BP850" s="228"/>
      <c r="BQ850" s="228"/>
      <c r="BR850" s="228"/>
      <c r="BS850" s="228"/>
      <c r="BT850" s="228"/>
      <c r="BU850" s="228"/>
      <c r="BV850" s="228"/>
      <c r="BW850" s="228"/>
      <c r="BX850" s="228"/>
      <c r="BY850" s="228"/>
      <c r="BZ850" s="228"/>
      <c r="CA850" s="228"/>
      <c r="CB850" s="228"/>
      <c r="CC850" s="228"/>
      <c r="CD850" s="228"/>
      <c r="CE850" s="228"/>
      <c r="CF850" s="228"/>
      <c r="CG850" s="228"/>
      <c r="CH850" s="228"/>
      <c r="CI850" s="228"/>
      <c r="CJ850" s="228"/>
      <c r="CK850" s="228"/>
      <c r="CL850" s="228"/>
      <c r="CM850" s="228"/>
      <c r="CN850" s="228"/>
      <c r="CO850" s="228"/>
      <c r="CP850" s="228"/>
      <c r="CQ850" s="228"/>
      <c r="CR850" s="228"/>
      <c r="CS850" s="228"/>
      <c r="CT850" s="228"/>
      <c r="CU850" s="228"/>
      <c r="CV850" s="228"/>
      <c r="CW850" s="228"/>
      <c r="CX850" s="228"/>
      <c r="CY850" s="228"/>
      <c r="CZ850" s="228"/>
      <c r="DA850" s="228"/>
      <c r="DB850" s="228"/>
    </row>
    <row r="851" ht="12.0" customHeight="1">
      <c r="A851" s="228"/>
      <c r="B851" s="228"/>
      <c r="C851" s="228"/>
      <c r="D851" s="228"/>
      <c r="E851" s="228"/>
      <c r="F851" s="228"/>
      <c r="G851" s="228"/>
      <c r="H851" s="228"/>
      <c r="I851" s="228"/>
      <c r="J851" s="228"/>
      <c r="K851" s="228"/>
      <c r="L851" s="228"/>
      <c r="M851" s="228"/>
      <c r="N851" s="228"/>
      <c r="O851" s="228"/>
      <c r="P851" s="228"/>
      <c r="Q851" s="228"/>
      <c r="R851" s="228"/>
      <c r="S851" s="228"/>
      <c r="T851" s="228"/>
      <c r="U851" s="228"/>
      <c r="V851" s="228"/>
      <c r="W851" s="228"/>
      <c r="X851" s="228"/>
      <c r="Y851" s="228"/>
      <c r="Z851" s="228"/>
      <c r="AA851" s="228"/>
      <c r="AB851" s="228"/>
      <c r="AC851" s="228"/>
      <c r="AD851" s="228"/>
      <c r="AE851" s="228"/>
      <c r="AF851" s="228"/>
      <c r="AG851" s="228"/>
      <c r="AH851" s="228"/>
      <c r="AI851" s="228"/>
      <c r="AJ851" s="228"/>
      <c r="AK851" s="228"/>
      <c r="AL851" s="228"/>
      <c r="AM851" s="228"/>
      <c r="AN851" s="228"/>
      <c r="AO851" s="228"/>
      <c r="AP851" s="228"/>
      <c r="AQ851" s="228"/>
      <c r="AR851" s="228"/>
      <c r="AS851" s="228"/>
      <c r="AT851" s="228"/>
      <c r="AU851" s="228"/>
      <c r="AV851" s="228"/>
      <c r="AW851" s="228"/>
      <c r="AX851" s="228"/>
      <c r="AY851" s="228"/>
      <c r="AZ851" s="228"/>
      <c r="BA851" s="228"/>
      <c r="BB851" s="228"/>
      <c r="BC851" s="228"/>
      <c r="BD851" s="228"/>
      <c r="BE851" s="228"/>
      <c r="BF851" s="228"/>
      <c r="BG851" s="228"/>
      <c r="BH851" s="228"/>
      <c r="BI851" s="228"/>
      <c r="BJ851" s="228"/>
      <c r="BK851" s="228"/>
      <c r="BL851" s="228"/>
      <c r="BM851" s="228"/>
      <c r="BN851" s="228"/>
      <c r="BO851" s="228"/>
      <c r="BP851" s="228"/>
      <c r="BQ851" s="228"/>
      <c r="BR851" s="228"/>
      <c r="BS851" s="228"/>
      <c r="BT851" s="228"/>
      <c r="BU851" s="228"/>
      <c r="BV851" s="228"/>
      <c r="BW851" s="228"/>
      <c r="BX851" s="228"/>
      <c r="BY851" s="228"/>
      <c r="BZ851" s="228"/>
      <c r="CA851" s="228"/>
      <c r="CB851" s="228"/>
      <c r="CC851" s="228"/>
      <c r="CD851" s="228"/>
      <c r="CE851" s="228"/>
      <c r="CF851" s="228"/>
      <c r="CG851" s="228"/>
      <c r="CH851" s="228"/>
      <c r="CI851" s="228"/>
      <c r="CJ851" s="228"/>
      <c r="CK851" s="228"/>
      <c r="CL851" s="228"/>
      <c r="CM851" s="228"/>
      <c r="CN851" s="228"/>
      <c r="CO851" s="228"/>
      <c r="CP851" s="228"/>
      <c r="CQ851" s="228"/>
      <c r="CR851" s="228"/>
      <c r="CS851" s="228"/>
      <c r="CT851" s="228"/>
      <c r="CU851" s="228"/>
      <c r="CV851" s="228"/>
      <c r="CW851" s="228"/>
      <c r="CX851" s="228"/>
      <c r="CY851" s="228"/>
      <c r="CZ851" s="228"/>
      <c r="DA851" s="228"/>
      <c r="DB851" s="228"/>
    </row>
    <row r="852" ht="12.0" customHeight="1">
      <c r="A852" s="228"/>
      <c r="B852" s="228"/>
      <c r="C852" s="228"/>
      <c r="D852" s="228"/>
      <c r="E852" s="228"/>
      <c r="F852" s="228"/>
      <c r="G852" s="228"/>
      <c r="H852" s="228"/>
      <c r="I852" s="228"/>
      <c r="J852" s="228"/>
      <c r="K852" s="228"/>
      <c r="L852" s="228"/>
      <c r="M852" s="228"/>
      <c r="N852" s="228"/>
      <c r="O852" s="228"/>
      <c r="P852" s="228"/>
      <c r="Q852" s="228"/>
      <c r="R852" s="228"/>
      <c r="S852" s="228"/>
      <c r="T852" s="228"/>
      <c r="U852" s="228"/>
      <c r="V852" s="228"/>
      <c r="W852" s="228"/>
      <c r="X852" s="228"/>
      <c r="Y852" s="228"/>
      <c r="Z852" s="228"/>
      <c r="AA852" s="228"/>
      <c r="AB852" s="228"/>
      <c r="AC852" s="228"/>
      <c r="AD852" s="228"/>
      <c r="AE852" s="228"/>
      <c r="AF852" s="228"/>
      <c r="AG852" s="228"/>
      <c r="AH852" s="228"/>
      <c r="AI852" s="228"/>
      <c r="AJ852" s="228"/>
      <c r="AK852" s="228"/>
      <c r="AL852" s="228"/>
      <c r="AM852" s="228"/>
      <c r="AN852" s="228"/>
      <c r="AO852" s="228"/>
      <c r="AP852" s="228"/>
      <c r="AQ852" s="228"/>
      <c r="AR852" s="228"/>
      <c r="AS852" s="228"/>
      <c r="AT852" s="228"/>
      <c r="AU852" s="228"/>
      <c r="AV852" s="228"/>
      <c r="AW852" s="228"/>
      <c r="AX852" s="228"/>
      <c r="AY852" s="228"/>
      <c r="AZ852" s="228"/>
      <c r="BA852" s="228"/>
      <c r="BB852" s="228"/>
      <c r="BC852" s="228"/>
      <c r="BD852" s="228"/>
      <c r="BE852" s="228"/>
      <c r="BF852" s="228"/>
      <c r="BG852" s="228"/>
      <c r="BH852" s="228"/>
      <c r="BI852" s="228"/>
      <c r="BJ852" s="228"/>
      <c r="BK852" s="228"/>
      <c r="BL852" s="228"/>
      <c r="BM852" s="228"/>
      <c r="BN852" s="228"/>
      <c r="BO852" s="228"/>
      <c r="BP852" s="228"/>
      <c r="BQ852" s="228"/>
      <c r="BR852" s="228"/>
      <c r="BS852" s="228"/>
      <c r="BT852" s="228"/>
      <c r="BU852" s="228"/>
      <c r="BV852" s="228"/>
      <c r="BW852" s="228"/>
      <c r="BX852" s="228"/>
      <c r="BY852" s="228"/>
      <c r="BZ852" s="228"/>
      <c r="CA852" s="228"/>
      <c r="CB852" s="228"/>
      <c r="CC852" s="228"/>
      <c r="CD852" s="228"/>
      <c r="CE852" s="228"/>
      <c r="CF852" s="228"/>
      <c r="CG852" s="228"/>
      <c r="CH852" s="228"/>
      <c r="CI852" s="228"/>
      <c r="CJ852" s="228"/>
      <c r="CK852" s="228"/>
      <c r="CL852" s="228"/>
      <c r="CM852" s="228"/>
      <c r="CN852" s="228"/>
      <c r="CO852" s="228"/>
      <c r="CP852" s="228"/>
      <c r="CQ852" s="228"/>
      <c r="CR852" s="228"/>
      <c r="CS852" s="228"/>
      <c r="CT852" s="228"/>
      <c r="CU852" s="228"/>
      <c r="CV852" s="228"/>
      <c r="CW852" s="228"/>
      <c r="CX852" s="228"/>
      <c r="CY852" s="228"/>
      <c r="CZ852" s="228"/>
      <c r="DA852" s="228"/>
      <c r="DB852" s="228"/>
    </row>
    <row r="853" ht="12.0" customHeight="1">
      <c r="A853" s="228"/>
      <c r="B853" s="228"/>
      <c r="C853" s="228"/>
      <c r="D853" s="228"/>
      <c r="E853" s="228"/>
      <c r="F853" s="228"/>
      <c r="G853" s="228"/>
      <c r="H853" s="228"/>
      <c r="I853" s="228"/>
      <c r="J853" s="228"/>
      <c r="K853" s="228"/>
      <c r="L853" s="228"/>
      <c r="M853" s="228"/>
      <c r="N853" s="228"/>
      <c r="O853" s="228"/>
      <c r="P853" s="228"/>
      <c r="Q853" s="228"/>
      <c r="R853" s="228"/>
      <c r="S853" s="228"/>
      <c r="T853" s="228"/>
      <c r="U853" s="228"/>
      <c r="V853" s="228"/>
      <c r="W853" s="228"/>
      <c r="X853" s="228"/>
      <c r="Y853" s="228"/>
      <c r="Z853" s="228"/>
      <c r="AA853" s="228"/>
      <c r="AB853" s="228"/>
      <c r="AC853" s="228"/>
      <c r="AD853" s="228"/>
      <c r="AE853" s="228"/>
      <c r="AF853" s="228"/>
      <c r="AG853" s="228"/>
      <c r="AH853" s="228"/>
      <c r="AI853" s="228"/>
      <c r="AJ853" s="228"/>
      <c r="AK853" s="228"/>
      <c r="AL853" s="228"/>
      <c r="AM853" s="228"/>
      <c r="AN853" s="228"/>
      <c r="AO853" s="228"/>
      <c r="AP853" s="228"/>
      <c r="AQ853" s="228"/>
      <c r="AR853" s="228"/>
      <c r="AS853" s="228"/>
      <c r="AT853" s="228"/>
      <c r="AU853" s="228"/>
      <c r="AV853" s="228"/>
      <c r="AW853" s="228"/>
      <c r="AX853" s="228"/>
      <c r="AY853" s="228"/>
      <c r="AZ853" s="228"/>
      <c r="BA853" s="228"/>
      <c r="BB853" s="228"/>
      <c r="BC853" s="228"/>
      <c r="BD853" s="228"/>
      <c r="BE853" s="228"/>
      <c r="BF853" s="228"/>
      <c r="BG853" s="228"/>
      <c r="BH853" s="228"/>
      <c r="BI853" s="228"/>
      <c r="BJ853" s="228"/>
      <c r="BK853" s="228"/>
      <c r="BL853" s="228"/>
      <c r="BM853" s="228"/>
      <c r="BN853" s="228"/>
      <c r="BO853" s="228"/>
      <c r="BP853" s="228"/>
      <c r="BQ853" s="228"/>
      <c r="BR853" s="228"/>
      <c r="BS853" s="228"/>
      <c r="BT853" s="228"/>
      <c r="BU853" s="228"/>
      <c r="BV853" s="228"/>
      <c r="BW853" s="228"/>
      <c r="BX853" s="228"/>
      <c r="BY853" s="228"/>
      <c r="BZ853" s="228"/>
      <c r="CA853" s="228"/>
      <c r="CB853" s="228"/>
      <c r="CC853" s="228"/>
      <c r="CD853" s="228"/>
      <c r="CE853" s="228"/>
      <c r="CF853" s="228"/>
      <c r="CG853" s="228"/>
      <c r="CH853" s="228"/>
      <c r="CI853" s="228"/>
      <c r="CJ853" s="228"/>
      <c r="CK853" s="228"/>
      <c r="CL853" s="228"/>
      <c r="CM853" s="228"/>
      <c r="CN853" s="228"/>
      <c r="CO853" s="228"/>
      <c r="CP853" s="228"/>
      <c r="CQ853" s="228"/>
      <c r="CR853" s="228"/>
      <c r="CS853" s="228"/>
      <c r="CT853" s="228"/>
      <c r="CU853" s="228"/>
      <c r="CV853" s="228"/>
      <c r="CW853" s="228"/>
      <c r="CX853" s="228"/>
      <c r="CY853" s="228"/>
      <c r="CZ853" s="228"/>
      <c r="DA853" s="228"/>
      <c r="DB853" s="228"/>
    </row>
    <row r="854" ht="12.0" customHeight="1">
      <c r="A854" s="228"/>
      <c r="B854" s="228"/>
      <c r="C854" s="228"/>
      <c r="D854" s="228"/>
      <c r="E854" s="228"/>
      <c r="F854" s="228"/>
      <c r="G854" s="228"/>
      <c r="H854" s="228"/>
      <c r="I854" s="228"/>
      <c r="J854" s="228"/>
      <c r="K854" s="228"/>
      <c r="L854" s="228"/>
      <c r="M854" s="228"/>
      <c r="N854" s="228"/>
      <c r="O854" s="228"/>
      <c r="P854" s="228"/>
      <c r="Q854" s="228"/>
      <c r="R854" s="228"/>
      <c r="S854" s="228"/>
      <c r="T854" s="228"/>
      <c r="U854" s="228"/>
      <c r="V854" s="228"/>
      <c r="W854" s="228"/>
      <c r="X854" s="228"/>
      <c r="Y854" s="228"/>
      <c r="Z854" s="228"/>
      <c r="AA854" s="228"/>
      <c r="AB854" s="228"/>
      <c r="AC854" s="228"/>
      <c r="AD854" s="228"/>
      <c r="AE854" s="228"/>
      <c r="AF854" s="228"/>
      <c r="AG854" s="228"/>
      <c r="AH854" s="228"/>
      <c r="AI854" s="228"/>
      <c r="AJ854" s="228"/>
      <c r="AK854" s="228"/>
      <c r="AL854" s="228"/>
      <c r="AM854" s="228"/>
      <c r="AN854" s="228"/>
      <c r="AO854" s="228"/>
      <c r="AP854" s="228"/>
      <c r="AQ854" s="228"/>
      <c r="AR854" s="228"/>
      <c r="AS854" s="228"/>
      <c r="AT854" s="228"/>
      <c r="AU854" s="228"/>
      <c r="AV854" s="228"/>
      <c r="AW854" s="228"/>
      <c r="AX854" s="228"/>
      <c r="AY854" s="228"/>
      <c r="AZ854" s="228"/>
      <c r="BA854" s="228"/>
      <c r="BB854" s="228"/>
      <c r="BC854" s="228"/>
      <c r="BD854" s="228"/>
      <c r="BE854" s="228"/>
      <c r="BF854" s="228"/>
      <c r="BG854" s="228"/>
      <c r="BH854" s="228"/>
      <c r="BI854" s="228"/>
      <c r="BJ854" s="228"/>
      <c r="BK854" s="228"/>
      <c r="BL854" s="228"/>
      <c r="BM854" s="228"/>
      <c r="BN854" s="228"/>
      <c r="BO854" s="228"/>
      <c r="BP854" s="228"/>
      <c r="BQ854" s="228"/>
      <c r="BR854" s="228"/>
      <c r="BS854" s="228"/>
      <c r="BT854" s="228"/>
      <c r="BU854" s="228"/>
      <c r="BV854" s="228"/>
      <c r="BW854" s="228"/>
      <c r="BX854" s="228"/>
      <c r="BY854" s="228"/>
      <c r="BZ854" s="228"/>
      <c r="CA854" s="228"/>
      <c r="CB854" s="228"/>
      <c r="CC854" s="228"/>
      <c r="CD854" s="228"/>
      <c r="CE854" s="228"/>
      <c r="CF854" s="228"/>
      <c r="CG854" s="228"/>
      <c r="CH854" s="228"/>
      <c r="CI854" s="228"/>
      <c r="CJ854" s="228"/>
      <c r="CK854" s="228"/>
      <c r="CL854" s="228"/>
      <c r="CM854" s="228"/>
      <c r="CN854" s="228"/>
      <c r="CO854" s="228"/>
      <c r="CP854" s="228"/>
      <c r="CQ854" s="228"/>
      <c r="CR854" s="228"/>
      <c r="CS854" s="228"/>
      <c r="CT854" s="228"/>
      <c r="CU854" s="228"/>
      <c r="CV854" s="228"/>
      <c r="CW854" s="228"/>
      <c r="CX854" s="228"/>
      <c r="CY854" s="228"/>
      <c r="CZ854" s="228"/>
      <c r="DA854" s="228"/>
      <c r="DB854" s="228"/>
    </row>
    <row r="855" ht="12.0" customHeight="1">
      <c r="A855" s="228"/>
      <c r="B855" s="228"/>
      <c r="C855" s="228"/>
      <c r="D855" s="228"/>
      <c r="E855" s="228"/>
      <c r="F855" s="228"/>
      <c r="G855" s="228"/>
      <c r="H855" s="228"/>
      <c r="I855" s="228"/>
      <c r="J855" s="228"/>
      <c r="K855" s="228"/>
      <c r="L855" s="228"/>
      <c r="M855" s="228"/>
      <c r="N855" s="228"/>
      <c r="O855" s="228"/>
      <c r="P855" s="228"/>
      <c r="Q855" s="228"/>
      <c r="R855" s="228"/>
      <c r="S855" s="228"/>
      <c r="T855" s="228"/>
      <c r="U855" s="228"/>
      <c r="V855" s="228"/>
      <c r="W855" s="228"/>
      <c r="X855" s="228"/>
      <c r="Y855" s="228"/>
      <c r="Z855" s="228"/>
      <c r="AA855" s="228"/>
      <c r="AB855" s="228"/>
      <c r="AC855" s="228"/>
      <c r="AD855" s="228"/>
      <c r="AE855" s="228"/>
      <c r="AF855" s="228"/>
      <c r="AG855" s="228"/>
      <c r="AH855" s="228"/>
      <c r="AI855" s="228"/>
      <c r="AJ855" s="228"/>
      <c r="AK855" s="228"/>
      <c r="AL855" s="228"/>
      <c r="AM855" s="228"/>
      <c r="AN855" s="228"/>
      <c r="AO855" s="228"/>
      <c r="AP855" s="228"/>
      <c r="AQ855" s="228"/>
      <c r="AR855" s="228"/>
      <c r="AS855" s="228"/>
      <c r="AT855" s="228"/>
      <c r="AU855" s="228"/>
      <c r="AV855" s="228"/>
      <c r="AW855" s="228"/>
      <c r="AX855" s="228"/>
      <c r="AY855" s="228"/>
      <c r="AZ855" s="228"/>
      <c r="BA855" s="228"/>
      <c r="BB855" s="228"/>
      <c r="BC855" s="228"/>
      <c r="BD855" s="228"/>
      <c r="BE855" s="228"/>
      <c r="BF855" s="228"/>
      <c r="BG855" s="228"/>
      <c r="BH855" s="228"/>
      <c r="BI855" s="228"/>
      <c r="BJ855" s="228"/>
      <c r="BK855" s="228"/>
      <c r="BL855" s="228"/>
      <c r="BM855" s="228"/>
      <c r="BN855" s="228"/>
      <c r="BO855" s="228"/>
      <c r="BP855" s="228"/>
      <c r="BQ855" s="228"/>
      <c r="BR855" s="228"/>
      <c r="BS855" s="228"/>
      <c r="BT855" s="228"/>
      <c r="BU855" s="228"/>
      <c r="BV855" s="228"/>
      <c r="BW855" s="228"/>
      <c r="BX855" s="228"/>
      <c r="BY855" s="228"/>
      <c r="BZ855" s="228"/>
      <c r="CA855" s="228"/>
      <c r="CB855" s="228"/>
      <c r="CC855" s="228"/>
      <c r="CD855" s="228"/>
      <c r="CE855" s="228"/>
      <c r="CF855" s="228"/>
      <c r="CG855" s="228"/>
      <c r="CH855" s="228"/>
      <c r="CI855" s="228"/>
      <c r="CJ855" s="228"/>
      <c r="CK855" s="228"/>
      <c r="CL855" s="228"/>
      <c r="CM855" s="228"/>
      <c r="CN855" s="228"/>
      <c r="CO855" s="228"/>
      <c r="CP855" s="228"/>
      <c r="CQ855" s="228"/>
      <c r="CR855" s="228"/>
      <c r="CS855" s="228"/>
      <c r="CT855" s="228"/>
      <c r="CU855" s="228"/>
      <c r="CV855" s="228"/>
      <c r="CW855" s="228"/>
      <c r="CX855" s="228"/>
      <c r="CY855" s="228"/>
      <c r="CZ855" s="228"/>
      <c r="DA855" s="228"/>
      <c r="DB855" s="228"/>
    </row>
    <row r="856" ht="12.0" customHeight="1">
      <c r="A856" s="228"/>
      <c r="B856" s="228"/>
      <c r="C856" s="228"/>
      <c r="D856" s="228"/>
      <c r="E856" s="228"/>
      <c r="F856" s="228"/>
      <c r="G856" s="228"/>
      <c r="H856" s="228"/>
      <c r="I856" s="228"/>
      <c r="J856" s="228"/>
      <c r="K856" s="228"/>
      <c r="L856" s="228"/>
      <c r="M856" s="228"/>
      <c r="N856" s="228"/>
      <c r="O856" s="228"/>
      <c r="P856" s="228"/>
      <c r="Q856" s="228"/>
      <c r="R856" s="228"/>
      <c r="S856" s="228"/>
      <c r="T856" s="228"/>
      <c r="U856" s="228"/>
      <c r="V856" s="228"/>
      <c r="W856" s="228"/>
      <c r="X856" s="228"/>
      <c r="Y856" s="228"/>
      <c r="Z856" s="228"/>
      <c r="AA856" s="228"/>
      <c r="AB856" s="228"/>
      <c r="AC856" s="228"/>
      <c r="AD856" s="228"/>
      <c r="AE856" s="228"/>
      <c r="AF856" s="228"/>
      <c r="AG856" s="228"/>
      <c r="AH856" s="228"/>
      <c r="AI856" s="228"/>
      <c r="AJ856" s="228"/>
      <c r="AK856" s="228"/>
      <c r="AL856" s="228"/>
      <c r="AM856" s="228"/>
      <c r="AN856" s="228"/>
      <c r="AO856" s="228"/>
      <c r="AP856" s="228"/>
      <c r="AQ856" s="228"/>
      <c r="AR856" s="228"/>
      <c r="AS856" s="228"/>
      <c r="AT856" s="228"/>
      <c r="AU856" s="228"/>
      <c r="AV856" s="228"/>
      <c r="AW856" s="228"/>
      <c r="AX856" s="228"/>
      <c r="AY856" s="228"/>
      <c r="AZ856" s="228"/>
      <c r="BA856" s="228"/>
      <c r="BB856" s="228"/>
      <c r="BC856" s="228"/>
      <c r="BD856" s="228"/>
      <c r="BE856" s="228"/>
      <c r="BF856" s="228"/>
      <c r="BG856" s="228"/>
      <c r="BH856" s="228"/>
      <c r="BI856" s="228"/>
      <c r="BJ856" s="228"/>
      <c r="BK856" s="228"/>
      <c r="BL856" s="228"/>
      <c r="BM856" s="228"/>
      <c r="BN856" s="228"/>
      <c r="BO856" s="228"/>
      <c r="BP856" s="228"/>
      <c r="BQ856" s="228"/>
      <c r="BR856" s="228"/>
      <c r="BS856" s="228"/>
      <c r="BT856" s="228"/>
      <c r="BU856" s="228"/>
      <c r="BV856" s="228"/>
      <c r="BW856" s="228"/>
      <c r="BX856" s="228"/>
      <c r="BY856" s="228"/>
      <c r="BZ856" s="228"/>
      <c r="CA856" s="228"/>
      <c r="CB856" s="228"/>
      <c r="CC856" s="228"/>
      <c r="CD856" s="228"/>
      <c r="CE856" s="228"/>
      <c r="CF856" s="228"/>
      <c r="CG856" s="228"/>
      <c r="CH856" s="228"/>
      <c r="CI856" s="228"/>
      <c r="CJ856" s="228"/>
      <c r="CK856" s="228"/>
      <c r="CL856" s="228"/>
      <c r="CM856" s="228"/>
      <c r="CN856" s="228"/>
      <c r="CO856" s="228"/>
      <c r="CP856" s="228"/>
      <c r="CQ856" s="228"/>
      <c r="CR856" s="228"/>
      <c r="CS856" s="228"/>
      <c r="CT856" s="228"/>
      <c r="CU856" s="228"/>
      <c r="CV856" s="228"/>
      <c r="CW856" s="228"/>
      <c r="CX856" s="228"/>
      <c r="CY856" s="228"/>
      <c r="CZ856" s="228"/>
      <c r="DA856" s="228"/>
      <c r="DB856" s="228"/>
    </row>
    <row r="857" ht="12.0" customHeight="1">
      <c r="A857" s="228"/>
      <c r="B857" s="228"/>
      <c r="C857" s="228"/>
      <c r="D857" s="228"/>
      <c r="E857" s="228"/>
      <c r="F857" s="228"/>
      <c r="G857" s="228"/>
      <c r="H857" s="228"/>
      <c r="I857" s="228"/>
      <c r="J857" s="228"/>
      <c r="K857" s="228"/>
      <c r="L857" s="228"/>
      <c r="M857" s="228"/>
      <c r="N857" s="228"/>
      <c r="O857" s="228"/>
      <c r="P857" s="228"/>
      <c r="Q857" s="228"/>
      <c r="R857" s="228"/>
      <c r="S857" s="228"/>
      <c r="T857" s="228"/>
      <c r="U857" s="228"/>
      <c r="V857" s="228"/>
      <c r="W857" s="228"/>
      <c r="X857" s="228"/>
      <c r="Y857" s="228"/>
      <c r="Z857" s="228"/>
      <c r="AA857" s="228"/>
      <c r="AB857" s="228"/>
      <c r="AC857" s="228"/>
      <c r="AD857" s="228"/>
      <c r="AE857" s="228"/>
      <c r="AF857" s="228"/>
      <c r="AG857" s="228"/>
      <c r="AH857" s="228"/>
      <c r="AI857" s="228"/>
      <c r="AJ857" s="228"/>
      <c r="AK857" s="228"/>
      <c r="AL857" s="228"/>
      <c r="AM857" s="228"/>
      <c r="AN857" s="228"/>
      <c r="AO857" s="228"/>
      <c r="AP857" s="228"/>
      <c r="AQ857" s="228"/>
      <c r="AR857" s="228"/>
      <c r="AS857" s="228"/>
      <c r="AT857" s="228"/>
      <c r="AU857" s="228"/>
      <c r="AV857" s="228"/>
      <c r="AW857" s="228"/>
      <c r="AX857" s="228"/>
      <c r="AY857" s="228"/>
      <c r="AZ857" s="228"/>
      <c r="BA857" s="228"/>
      <c r="BB857" s="228"/>
      <c r="BC857" s="228"/>
      <c r="BD857" s="228"/>
      <c r="BE857" s="228"/>
      <c r="BF857" s="228"/>
      <c r="BG857" s="228"/>
      <c r="BH857" s="228"/>
      <c r="BI857" s="228"/>
      <c r="BJ857" s="228"/>
      <c r="BK857" s="228"/>
      <c r="BL857" s="228"/>
      <c r="BM857" s="228"/>
      <c r="BN857" s="228"/>
      <c r="BO857" s="228"/>
      <c r="BP857" s="228"/>
      <c r="BQ857" s="228"/>
      <c r="BR857" s="228"/>
      <c r="BS857" s="228"/>
      <c r="BT857" s="228"/>
      <c r="BU857" s="228"/>
      <c r="BV857" s="228"/>
      <c r="BW857" s="228"/>
      <c r="BX857" s="228"/>
      <c r="BY857" s="228"/>
      <c r="BZ857" s="228"/>
      <c r="CA857" s="228"/>
      <c r="CB857" s="228"/>
      <c r="CC857" s="228"/>
      <c r="CD857" s="228"/>
      <c r="CE857" s="228"/>
      <c r="CF857" s="228"/>
      <c r="CG857" s="228"/>
      <c r="CH857" s="228"/>
      <c r="CI857" s="228"/>
      <c r="CJ857" s="228"/>
      <c r="CK857" s="228"/>
      <c r="CL857" s="228"/>
      <c r="CM857" s="228"/>
      <c r="CN857" s="228"/>
      <c r="CO857" s="228"/>
      <c r="CP857" s="228"/>
      <c r="CQ857" s="228"/>
      <c r="CR857" s="228"/>
      <c r="CS857" s="228"/>
      <c r="CT857" s="228"/>
      <c r="CU857" s="228"/>
      <c r="CV857" s="228"/>
      <c r="CW857" s="228"/>
      <c r="CX857" s="228"/>
      <c r="CY857" s="228"/>
      <c r="CZ857" s="228"/>
      <c r="DA857" s="228"/>
      <c r="DB857" s="228"/>
    </row>
    <row r="858" ht="12.0" customHeight="1">
      <c r="A858" s="228"/>
      <c r="B858" s="228"/>
      <c r="C858" s="228"/>
      <c r="D858" s="228"/>
      <c r="E858" s="228"/>
      <c r="F858" s="228"/>
      <c r="G858" s="228"/>
      <c r="H858" s="228"/>
      <c r="I858" s="228"/>
      <c r="J858" s="228"/>
      <c r="K858" s="228"/>
      <c r="L858" s="228"/>
      <c r="M858" s="228"/>
      <c r="N858" s="228"/>
      <c r="O858" s="228"/>
      <c r="P858" s="228"/>
      <c r="Q858" s="228"/>
      <c r="R858" s="228"/>
      <c r="S858" s="228"/>
      <c r="T858" s="228"/>
      <c r="U858" s="228"/>
      <c r="V858" s="228"/>
      <c r="W858" s="228"/>
      <c r="X858" s="228"/>
      <c r="Y858" s="228"/>
      <c r="Z858" s="228"/>
      <c r="AA858" s="228"/>
      <c r="AB858" s="228"/>
      <c r="AC858" s="228"/>
      <c r="AD858" s="228"/>
      <c r="AE858" s="228"/>
      <c r="AF858" s="228"/>
      <c r="AG858" s="228"/>
      <c r="AH858" s="228"/>
      <c r="AI858" s="228"/>
      <c r="AJ858" s="228"/>
      <c r="AK858" s="228"/>
      <c r="AL858" s="228"/>
      <c r="AM858" s="228"/>
      <c r="AN858" s="228"/>
      <c r="AO858" s="228"/>
      <c r="AP858" s="228"/>
      <c r="AQ858" s="228"/>
      <c r="AR858" s="228"/>
      <c r="AS858" s="228"/>
      <c r="AT858" s="228"/>
      <c r="AU858" s="228"/>
      <c r="AV858" s="228"/>
      <c r="AW858" s="228"/>
      <c r="AX858" s="228"/>
      <c r="AY858" s="228"/>
      <c r="AZ858" s="228"/>
      <c r="BA858" s="228"/>
      <c r="BB858" s="228"/>
      <c r="BC858" s="228"/>
      <c r="BD858" s="228"/>
      <c r="BE858" s="228"/>
      <c r="BF858" s="228"/>
      <c r="BG858" s="228"/>
      <c r="BH858" s="228"/>
      <c r="BI858" s="228"/>
      <c r="BJ858" s="228"/>
      <c r="BK858" s="228"/>
      <c r="BL858" s="228"/>
      <c r="BM858" s="228"/>
      <c r="BN858" s="228"/>
      <c r="BO858" s="228"/>
      <c r="BP858" s="228"/>
      <c r="BQ858" s="228"/>
      <c r="BR858" s="228"/>
      <c r="BS858" s="228"/>
      <c r="BT858" s="228"/>
      <c r="BU858" s="228"/>
      <c r="BV858" s="228"/>
      <c r="BW858" s="228"/>
      <c r="BX858" s="228"/>
      <c r="BY858" s="228"/>
      <c r="BZ858" s="228"/>
      <c r="CA858" s="228"/>
      <c r="CB858" s="228"/>
      <c r="CC858" s="228"/>
      <c r="CD858" s="228"/>
      <c r="CE858" s="228"/>
      <c r="CF858" s="228"/>
      <c r="CG858" s="228"/>
      <c r="CH858" s="228"/>
      <c r="CI858" s="228"/>
      <c r="CJ858" s="228"/>
      <c r="CK858" s="228"/>
      <c r="CL858" s="228"/>
      <c r="CM858" s="228"/>
      <c r="CN858" s="228"/>
      <c r="CO858" s="228"/>
      <c r="CP858" s="228"/>
      <c r="CQ858" s="228"/>
      <c r="CR858" s="228"/>
      <c r="CS858" s="228"/>
      <c r="CT858" s="228"/>
      <c r="CU858" s="228"/>
      <c r="CV858" s="228"/>
      <c r="CW858" s="228"/>
      <c r="CX858" s="228"/>
      <c r="CY858" s="228"/>
      <c r="CZ858" s="228"/>
      <c r="DA858" s="228"/>
      <c r="DB858" s="228"/>
    </row>
    <row r="859" ht="12.0" customHeight="1">
      <c r="A859" s="228"/>
      <c r="B859" s="228"/>
      <c r="C859" s="228"/>
      <c r="D859" s="228"/>
      <c r="E859" s="228"/>
      <c r="F859" s="228"/>
      <c r="G859" s="228"/>
      <c r="H859" s="228"/>
      <c r="I859" s="228"/>
      <c r="J859" s="228"/>
      <c r="K859" s="228"/>
      <c r="L859" s="228"/>
      <c r="M859" s="228"/>
      <c r="N859" s="228"/>
      <c r="O859" s="228"/>
      <c r="P859" s="228"/>
      <c r="Q859" s="228"/>
      <c r="R859" s="228"/>
      <c r="S859" s="228"/>
      <c r="T859" s="228"/>
      <c r="U859" s="228"/>
      <c r="V859" s="228"/>
      <c r="W859" s="228"/>
      <c r="X859" s="228"/>
      <c r="Y859" s="228"/>
      <c r="Z859" s="228"/>
      <c r="AA859" s="228"/>
      <c r="AB859" s="228"/>
      <c r="AC859" s="228"/>
      <c r="AD859" s="228"/>
      <c r="AE859" s="228"/>
      <c r="AF859" s="228"/>
      <c r="AG859" s="228"/>
      <c r="AH859" s="228"/>
      <c r="AI859" s="228"/>
      <c r="AJ859" s="228"/>
      <c r="AK859" s="228"/>
      <c r="AL859" s="228"/>
      <c r="AM859" s="228"/>
      <c r="AN859" s="228"/>
      <c r="AO859" s="228"/>
      <c r="AP859" s="228"/>
      <c r="AQ859" s="228"/>
      <c r="AR859" s="228"/>
      <c r="AS859" s="228"/>
      <c r="AT859" s="228"/>
      <c r="AU859" s="228"/>
      <c r="AV859" s="228"/>
      <c r="AW859" s="228"/>
      <c r="AX859" s="228"/>
      <c r="AY859" s="228"/>
      <c r="AZ859" s="228"/>
      <c r="BA859" s="228"/>
      <c r="BB859" s="228"/>
      <c r="BC859" s="228"/>
      <c r="BD859" s="228"/>
      <c r="BE859" s="228"/>
      <c r="BF859" s="228"/>
      <c r="BG859" s="228"/>
      <c r="BH859" s="228"/>
      <c r="BI859" s="228"/>
      <c r="BJ859" s="228"/>
      <c r="BK859" s="228"/>
      <c r="BL859" s="228"/>
      <c r="BM859" s="228"/>
      <c r="BN859" s="228"/>
      <c r="BO859" s="228"/>
      <c r="BP859" s="228"/>
      <c r="BQ859" s="228"/>
      <c r="BR859" s="228"/>
      <c r="BS859" s="228"/>
      <c r="BT859" s="228"/>
      <c r="BU859" s="228"/>
      <c r="BV859" s="228"/>
      <c r="BW859" s="228"/>
      <c r="BX859" s="228"/>
      <c r="BY859" s="228"/>
      <c r="BZ859" s="228"/>
      <c r="CA859" s="228"/>
      <c r="CB859" s="228"/>
      <c r="CC859" s="228"/>
      <c r="CD859" s="228"/>
      <c r="CE859" s="228"/>
      <c r="CF859" s="228"/>
      <c r="CG859" s="228"/>
      <c r="CH859" s="228"/>
      <c r="CI859" s="228"/>
      <c r="CJ859" s="228"/>
      <c r="CK859" s="228"/>
      <c r="CL859" s="228"/>
      <c r="CM859" s="228"/>
      <c r="CN859" s="228"/>
      <c r="CO859" s="228"/>
      <c r="CP859" s="228"/>
      <c r="CQ859" s="228"/>
      <c r="CR859" s="228"/>
      <c r="CS859" s="228"/>
      <c r="CT859" s="228"/>
      <c r="CU859" s="228"/>
      <c r="CV859" s="228"/>
      <c r="CW859" s="228"/>
      <c r="CX859" s="228"/>
      <c r="CY859" s="228"/>
      <c r="CZ859" s="228"/>
      <c r="DA859" s="228"/>
      <c r="DB859" s="228"/>
    </row>
    <row r="860" ht="12.0" customHeight="1">
      <c r="A860" s="228"/>
      <c r="B860" s="228"/>
      <c r="C860" s="228"/>
      <c r="D860" s="228"/>
      <c r="E860" s="228"/>
      <c r="F860" s="228"/>
      <c r="G860" s="228"/>
      <c r="H860" s="228"/>
      <c r="I860" s="228"/>
      <c r="J860" s="228"/>
      <c r="K860" s="228"/>
      <c r="L860" s="228"/>
      <c r="M860" s="228"/>
      <c r="N860" s="228"/>
      <c r="O860" s="228"/>
      <c r="P860" s="228"/>
      <c r="Q860" s="228"/>
      <c r="R860" s="228"/>
      <c r="S860" s="228"/>
      <c r="T860" s="228"/>
      <c r="U860" s="228"/>
      <c r="V860" s="228"/>
      <c r="W860" s="228"/>
      <c r="X860" s="228"/>
      <c r="Y860" s="228"/>
      <c r="Z860" s="228"/>
      <c r="AA860" s="228"/>
      <c r="AB860" s="228"/>
      <c r="AC860" s="228"/>
      <c r="AD860" s="228"/>
      <c r="AE860" s="228"/>
      <c r="AF860" s="228"/>
      <c r="AG860" s="228"/>
      <c r="AH860" s="228"/>
      <c r="AI860" s="228"/>
      <c r="AJ860" s="228"/>
      <c r="AK860" s="228"/>
      <c r="AL860" s="228"/>
      <c r="AM860" s="228"/>
      <c r="AN860" s="228"/>
      <c r="AO860" s="228"/>
      <c r="AP860" s="228"/>
      <c r="AQ860" s="228"/>
      <c r="AR860" s="228"/>
      <c r="AS860" s="228"/>
      <c r="AT860" s="228"/>
      <c r="AU860" s="228"/>
      <c r="AV860" s="228"/>
      <c r="AW860" s="228"/>
      <c r="AX860" s="228"/>
      <c r="AY860" s="228"/>
      <c r="AZ860" s="228"/>
      <c r="BA860" s="228"/>
      <c r="BB860" s="228"/>
      <c r="BC860" s="228"/>
      <c r="BD860" s="228"/>
      <c r="BE860" s="228"/>
      <c r="BF860" s="228"/>
      <c r="BG860" s="228"/>
      <c r="BH860" s="228"/>
      <c r="BI860" s="228"/>
      <c r="BJ860" s="228"/>
      <c r="BK860" s="228"/>
      <c r="BL860" s="228"/>
      <c r="BM860" s="228"/>
      <c r="BN860" s="228"/>
      <c r="BO860" s="228"/>
      <c r="BP860" s="228"/>
      <c r="BQ860" s="228"/>
      <c r="BR860" s="228"/>
      <c r="BS860" s="228"/>
      <c r="BT860" s="228"/>
      <c r="BU860" s="228"/>
      <c r="BV860" s="228"/>
      <c r="BW860" s="228"/>
      <c r="BX860" s="228"/>
      <c r="BY860" s="228"/>
      <c r="BZ860" s="228"/>
      <c r="CA860" s="228"/>
      <c r="CB860" s="228"/>
      <c r="CC860" s="228"/>
      <c r="CD860" s="228"/>
      <c r="CE860" s="228"/>
      <c r="CF860" s="228"/>
      <c r="CG860" s="228"/>
      <c r="CH860" s="228"/>
      <c r="CI860" s="228"/>
      <c r="CJ860" s="228"/>
      <c r="CK860" s="228"/>
      <c r="CL860" s="228"/>
      <c r="CM860" s="228"/>
      <c r="CN860" s="228"/>
      <c r="CO860" s="228"/>
      <c r="CP860" s="228"/>
      <c r="CQ860" s="228"/>
      <c r="CR860" s="228"/>
      <c r="CS860" s="228"/>
      <c r="CT860" s="228"/>
      <c r="CU860" s="228"/>
      <c r="CV860" s="228"/>
      <c r="CW860" s="228"/>
      <c r="CX860" s="228"/>
      <c r="CY860" s="228"/>
      <c r="CZ860" s="228"/>
      <c r="DA860" s="228"/>
      <c r="DB860" s="228"/>
    </row>
    <row r="861" ht="12.0" customHeight="1">
      <c r="A861" s="228"/>
      <c r="B861" s="228"/>
      <c r="C861" s="228"/>
      <c r="D861" s="228"/>
      <c r="E861" s="228"/>
      <c r="F861" s="228"/>
      <c r="G861" s="228"/>
      <c r="H861" s="228"/>
      <c r="I861" s="228"/>
      <c r="J861" s="228"/>
      <c r="K861" s="228"/>
      <c r="L861" s="228"/>
      <c r="M861" s="228"/>
      <c r="N861" s="228"/>
      <c r="O861" s="228"/>
      <c r="P861" s="228"/>
      <c r="Q861" s="228"/>
      <c r="R861" s="228"/>
      <c r="S861" s="228"/>
      <c r="T861" s="228"/>
      <c r="U861" s="228"/>
      <c r="V861" s="228"/>
      <c r="W861" s="228"/>
      <c r="X861" s="228"/>
      <c r="Y861" s="228"/>
      <c r="Z861" s="228"/>
      <c r="AA861" s="228"/>
      <c r="AB861" s="228"/>
      <c r="AC861" s="228"/>
      <c r="AD861" s="228"/>
      <c r="AE861" s="228"/>
      <c r="AF861" s="228"/>
      <c r="AG861" s="228"/>
      <c r="AH861" s="228"/>
      <c r="AI861" s="228"/>
      <c r="AJ861" s="228"/>
      <c r="AK861" s="228"/>
      <c r="AL861" s="228"/>
      <c r="AM861" s="228"/>
      <c r="AN861" s="228"/>
      <c r="AO861" s="228"/>
      <c r="AP861" s="228"/>
      <c r="AQ861" s="228"/>
      <c r="AR861" s="228"/>
      <c r="AS861" s="228"/>
      <c r="AT861" s="228"/>
      <c r="AU861" s="228"/>
      <c r="AV861" s="228"/>
      <c r="AW861" s="228"/>
      <c r="AX861" s="228"/>
      <c r="AY861" s="228"/>
      <c r="AZ861" s="228"/>
      <c r="BA861" s="228"/>
      <c r="BB861" s="228"/>
      <c r="BC861" s="228"/>
      <c r="BD861" s="228"/>
      <c r="BE861" s="228"/>
      <c r="BF861" s="228"/>
      <c r="BG861" s="228"/>
      <c r="BH861" s="228"/>
      <c r="BI861" s="228"/>
      <c r="BJ861" s="228"/>
      <c r="BK861" s="228"/>
      <c r="BL861" s="228"/>
      <c r="BM861" s="228"/>
      <c r="BN861" s="228"/>
      <c r="BO861" s="228"/>
      <c r="BP861" s="228"/>
      <c r="BQ861" s="228"/>
      <c r="BR861" s="228"/>
      <c r="BS861" s="228"/>
      <c r="BT861" s="228"/>
      <c r="BU861" s="228"/>
      <c r="BV861" s="228"/>
      <c r="BW861" s="228"/>
      <c r="BX861" s="228"/>
      <c r="BY861" s="228"/>
      <c r="BZ861" s="228"/>
      <c r="CA861" s="228"/>
      <c r="CB861" s="228"/>
      <c r="CC861" s="228"/>
      <c r="CD861" s="228"/>
      <c r="CE861" s="228"/>
      <c r="CF861" s="228"/>
      <c r="CG861" s="228"/>
      <c r="CH861" s="228"/>
      <c r="CI861" s="228"/>
      <c r="CJ861" s="228"/>
      <c r="CK861" s="228"/>
      <c r="CL861" s="228"/>
      <c r="CM861" s="228"/>
      <c r="CN861" s="228"/>
      <c r="CO861" s="228"/>
      <c r="CP861" s="228"/>
      <c r="CQ861" s="228"/>
      <c r="CR861" s="228"/>
      <c r="CS861" s="228"/>
      <c r="CT861" s="228"/>
      <c r="CU861" s="228"/>
      <c r="CV861" s="228"/>
      <c r="CW861" s="228"/>
      <c r="CX861" s="228"/>
      <c r="CY861" s="228"/>
      <c r="CZ861" s="228"/>
      <c r="DA861" s="228"/>
      <c r="DB861" s="228"/>
    </row>
    <row r="862" ht="12.0" customHeight="1">
      <c r="A862" s="228"/>
      <c r="B862" s="228"/>
      <c r="C862" s="228"/>
      <c r="D862" s="228"/>
      <c r="E862" s="228"/>
      <c r="F862" s="228"/>
      <c r="G862" s="228"/>
      <c r="H862" s="228"/>
      <c r="I862" s="228"/>
      <c r="J862" s="228"/>
      <c r="K862" s="228"/>
      <c r="L862" s="228"/>
      <c r="M862" s="228"/>
      <c r="N862" s="228"/>
      <c r="O862" s="228"/>
      <c r="P862" s="228"/>
      <c r="Q862" s="228"/>
      <c r="R862" s="228"/>
      <c r="S862" s="228"/>
      <c r="T862" s="228"/>
      <c r="U862" s="228"/>
      <c r="V862" s="228"/>
      <c r="W862" s="228"/>
      <c r="X862" s="228"/>
      <c r="Y862" s="228"/>
      <c r="Z862" s="228"/>
      <c r="AA862" s="228"/>
      <c r="AB862" s="228"/>
      <c r="AC862" s="228"/>
      <c r="AD862" s="228"/>
      <c r="AE862" s="228"/>
      <c r="AF862" s="228"/>
      <c r="AG862" s="228"/>
      <c r="AH862" s="228"/>
      <c r="AI862" s="228"/>
      <c r="AJ862" s="228"/>
      <c r="AK862" s="228"/>
      <c r="AL862" s="228"/>
      <c r="AM862" s="228"/>
      <c r="AN862" s="228"/>
      <c r="AO862" s="228"/>
      <c r="AP862" s="228"/>
      <c r="AQ862" s="228"/>
      <c r="AR862" s="228"/>
      <c r="AS862" s="228"/>
      <c r="AT862" s="228"/>
      <c r="AU862" s="228"/>
      <c r="AV862" s="228"/>
      <c r="AW862" s="228"/>
      <c r="AX862" s="228"/>
      <c r="AY862" s="228"/>
      <c r="AZ862" s="228"/>
      <c r="BA862" s="228"/>
      <c r="BB862" s="228"/>
      <c r="BC862" s="228"/>
      <c r="BD862" s="228"/>
      <c r="BE862" s="228"/>
      <c r="BF862" s="228"/>
      <c r="BG862" s="228"/>
      <c r="BH862" s="228"/>
      <c r="BI862" s="228"/>
      <c r="BJ862" s="228"/>
      <c r="BK862" s="228"/>
      <c r="BL862" s="228"/>
      <c r="BM862" s="228"/>
      <c r="BN862" s="228"/>
      <c r="BO862" s="228"/>
      <c r="BP862" s="228"/>
      <c r="BQ862" s="228"/>
      <c r="BR862" s="228"/>
      <c r="BS862" s="228"/>
      <c r="BT862" s="228"/>
      <c r="BU862" s="228"/>
      <c r="BV862" s="228"/>
      <c r="BW862" s="228"/>
      <c r="BX862" s="228"/>
      <c r="BY862" s="228"/>
      <c r="BZ862" s="228"/>
      <c r="CA862" s="228"/>
      <c r="CB862" s="228"/>
      <c r="CC862" s="228"/>
      <c r="CD862" s="228"/>
      <c r="CE862" s="228"/>
      <c r="CF862" s="228"/>
      <c r="CG862" s="228"/>
      <c r="CH862" s="228"/>
      <c r="CI862" s="228"/>
      <c r="CJ862" s="228"/>
      <c r="CK862" s="228"/>
      <c r="CL862" s="228"/>
      <c r="CM862" s="228"/>
      <c r="CN862" s="228"/>
      <c r="CO862" s="228"/>
      <c r="CP862" s="228"/>
      <c r="CQ862" s="228"/>
      <c r="CR862" s="228"/>
      <c r="CS862" s="228"/>
      <c r="CT862" s="228"/>
      <c r="CU862" s="228"/>
      <c r="CV862" s="228"/>
      <c r="CW862" s="228"/>
      <c r="CX862" s="228"/>
      <c r="CY862" s="228"/>
      <c r="CZ862" s="228"/>
      <c r="DA862" s="228"/>
      <c r="DB862" s="228"/>
    </row>
    <row r="863" ht="12.0" customHeight="1">
      <c r="A863" s="228"/>
      <c r="B863" s="228"/>
      <c r="C863" s="228"/>
      <c r="D863" s="228"/>
      <c r="E863" s="228"/>
      <c r="F863" s="228"/>
      <c r="G863" s="228"/>
      <c r="H863" s="228"/>
      <c r="I863" s="228"/>
      <c r="J863" s="228"/>
      <c r="K863" s="228"/>
      <c r="L863" s="228"/>
      <c r="M863" s="228"/>
      <c r="N863" s="228"/>
      <c r="O863" s="228"/>
      <c r="P863" s="228"/>
      <c r="Q863" s="228"/>
      <c r="R863" s="228"/>
      <c r="S863" s="228"/>
      <c r="T863" s="228"/>
      <c r="U863" s="228"/>
      <c r="V863" s="228"/>
      <c r="W863" s="228"/>
      <c r="X863" s="228"/>
      <c r="Y863" s="228"/>
      <c r="Z863" s="228"/>
      <c r="AA863" s="228"/>
      <c r="AB863" s="228"/>
      <c r="AC863" s="228"/>
      <c r="AD863" s="228"/>
      <c r="AE863" s="228"/>
      <c r="AF863" s="228"/>
      <c r="AG863" s="228"/>
      <c r="AH863" s="228"/>
      <c r="AI863" s="228"/>
      <c r="AJ863" s="228"/>
      <c r="AK863" s="228"/>
      <c r="AL863" s="228"/>
      <c r="AM863" s="228"/>
      <c r="AN863" s="228"/>
      <c r="AO863" s="228"/>
      <c r="AP863" s="228"/>
      <c r="AQ863" s="228"/>
      <c r="AR863" s="228"/>
      <c r="AS863" s="228"/>
      <c r="AT863" s="228"/>
      <c r="AU863" s="228"/>
      <c r="AV863" s="228"/>
      <c r="AW863" s="228"/>
      <c r="AX863" s="228"/>
      <c r="AY863" s="228"/>
      <c r="AZ863" s="228"/>
      <c r="BA863" s="228"/>
      <c r="BB863" s="228"/>
      <c r="BC863" s="228"/>
      <c r="BD863" s="228"/>
      <c r="BE863" s="228"/>
      <c r="BF863" s="228"/>
      <c r="BG863" s="228"/>
      <c r="BH863" s="228"/>
      <c r="BI863" s="228"/>
      <c r="BJ863" s="228"/>
      <c r="BK863" s="228"/>
      <c r="BL863" s="228"/>
      <c r="BM863" s="228"/>
      <c r="BN863" s="228"/>
      <c r="BO863" s="228"/>
      <c r="BP863" s="228"/>
      <c r="BQ863" s="228"/>
      <c r="BR863" s="228"/>
      <c r="BS863" s="228"/>
      <c r="BT863" s="228"/>
      <c r="BU863" s="228"/>
      <c r="BV863" s="228"/>
      <c r="BW863" s="228"/>
      <c r="BX863" s="228"/>
      <c r="BY863" s="228"/>
      <c r="BZ863" s="228"/>
      <c r="CA863" s="228"/>
      <c r="CB863" s="228"/>
      <c r="CC863" s="228"/>
      <c r="CD863" s="228"/>
      <c r="CE863" s="228"/>
      <c r="CF863" s="228"/>
      <c r="CG863" s="228"/>
      <c r="CH863" s="228"/>
      <c r="CI863" s="228"/>
      <c r="CJ863" s="228"/>
      <c r="CK863" s="228"/>
      <c r="CL863" s="228"/>
      <c r="CM863" s="228"/>
      <c r="CN863" s="228"/>
      <c r="CO863" s="228"/>
      <c r="CP863" s="228"/>
      <c r="CQ863" s="228"/>
      <c r="CR863" s="228"/>
      <c r="CS863" s="228"/>
      <c r="CT863" s="228"/>
      <c r="CU863" s="228"/>
      <c r="CV863" s="228"/>
      <c r="CW863" s="228"/>
      <c r="CX863" s="228"/>
      <c r="CY863" s="228"/>
      <c r="CZ863" s="228"/>
      <c r="DA863" s="228"/>
      <c r="DB863" s="228"/>
    </row>
    <row r="864" ht="12.0" customHeight="1">
      <c r="A864" s="228"/>
      <c r="B864" s="228"/>
      <c r="C864" s="228"/>
      <c r="D864" s="228"/>
      <c r="E864" s="228"/>
      <c r="F864" s="228"/>
      <c r="G864" s="228"/>
      <c r="H864" s="228"/>
      <c r="I864" s="228"/>
      <c r="J864" s="228"/>
      <c r="K864" s="228"/>
      <c r="L864" s="228"/>
      <c r="M864" s="228"/>
      <c r="N864" s="228"/>
      <c r="O864" s="228"/>
      <c r="P864" s="228"/>
      <c r="Q864" s="228"/>
      <c r="R864" s="228"/>
      <c r="S864" s="228"/>
      <c r="T864" s="228"/>
      <c r="U864" s="228"/>
      <c r="V864" s="228"/>
      <c r="W864" s="228"/>
      <c r="X864" s="228"/>
      <c r="Y864" s="228"/>
      <c r="Z864" s="228"/>
      <c r="AA864" s="228"/>
      <c r="AB864" s="228"/>
      <c r="AC864" s="228"/>
      <c r="AD864" s="228"/>
      <c r="AE864" s="228"/>
      <c r="AF864" s="228"/>
      <c r="AG864" s="228"/>
      <c r="AH864" s="228"/>
      <c r="AI864" s="228"/>
      <c r="AJ864" s="228"/>
      <c r="AK864" s="228"/>
      <c r="AL864" s="228"/>
      <c r="AM864" s="228"/>
      <c r="AN864" s="228"/>
      <c r="AO864" s="228"/>
      <c r="AP864" s="228"/>
      <c r="AQ864" s="228"/>
      <c r="AR864" s="228"/>
      <c r="AS864" s="228"/>
      <c r="AT864" s="228"/>
      <c r="AU864" s="228"/>
      <c r="AV864" s="228"/>
      <c r="AW864" s="228"/>
      <c r="AX864" s="228"/>
      <c r="AY864" s="228"/>
      <c r="AZ864" s="228"/>
      <c r="BA864" s="228"/>
      <c r="BB864" s="228"/>
      <c r="BC864" s="228"/>
      <c r="BD864" s="228"/>
      <c r="BE864" s="228"/>
      <c r="BF864" s="228"/>
      <c r="BG864" s="228"/>
      <c r="BH864" s="228"/>
      <c r="BI864" s="228"/>
      <c r="BJ864" s="228"/>
      <c r="BK864" s="228"/>
      <c r="BL864" s="228"/>
      <c r="BM864" s="228"/>
      <c r="BN864" s="228"/>
      <c r="BO864" s="228"/>
      <c r="BP864" s="228"/>
      <c r="BQ864" s="228"/>
      <c r="BR864" s="228"/>
      <c r="BS864" s="228"/>
      <c r="BT864" s="228"/>
      <c r="BU864" s="228"/>
      <c r="BV864" s="228"/>
      <c r="BW864" s="228"/>
      <c r="BX864" s="228"/>
      <c r="BY864" s="228"/>
      <c r="BZ864" s="228"/>
      <c r="CA864" s="228"/>
      <c r="CB864" s="228"/>
      <c r="CC864" s="228"/>
      <c r="CD864" s="228"/>
      <c r="CE864" s="228"/>
      <c r="CF864" s="228"/>
      <c r="CG864" s="228"/>
      <c r="CH864" s="228"/>
      <c r="CI864" s="228"/>
      <c r="CJ864" s="228"/>
      <c r="CK864" s="228"/>
      <c r="CL864" s="228"/>
      <c r="CM864" s="228"/>
      <c r="CN864" s="228"/>
      <c r="CO864" s="228"/>
      <c r="CP864" s="228"/>
      <c r="CQ864" s="228"/>
      <c r="CR864" s="228"/>
      <c r="CS864" s="228"/>
      <c r="CT864" s="228"/>
      <c r="CU864" s="228"/>
      <c r="CV864" s="228"/>
      <c r="CW864" s="228"/>
      <c r="CX864" s="228"/>
      <c r="CY864" s="228"/>
      <c r="CZ864" s="228"/>
      <c r="DA864" s="228"/>
      <c r="DB864" s="228"/>
    </row>
    <row r="865" ht="12.0" customHeight="1">
      <c r="A865" s="228"/>
      <c r="B865" s="228"/>
      <c r="C865" s="228"/>
      <c r="D865" s="228"/>
      <c r="E865" s="228"/>
      <c r="F865" s="228"/>
      <c r="G865" s="228"/>
      <c r="H865" s="228"/>
      <c r="I865" s="228"/>
      <c r="J865" s="228"/>
      <c r="K865" s="228"/>
      <c r="L865" s="228"/>
      <c r="M865" s="228"/>
      <c r="N865" s="228"/>
      <c r="O865" s="228"/>
      <c r="P865" s="228"/>
      <c r="Q865" s="228"/>
      <c r="R865" s="228"/>
      <c r="S865" s="228"/>
      <c r="T865" s="228"/>
      <c r="U865" s="228"/>
      <c r="V865" s="228"/>
      <c r="W865" s="228"/>
      <c r="X865" s="228"/>
      <c r="Y865" s="228"/>
      <c r="Z865" s="228"/>
      <c r="AA865" s="228"/>
      <c r="AB865" s="228"/>
      <c r="AC865" s="228"/>
      <c r="AD865" s="228"/>
      <c r="AE865" s="228"/>
      <c r="AF865" s="228"/>
      <c r="AG865" s="228"/>
      <c r="AH865" s="228"/>
      <c r="AI865" s="228"/>
      <c r="AJ865" s="228"/>
      <c r="AK865" s="228"/>
      <c r="AL865" s="228"/>
      <c r="AM865" s="228"/>
      <c r="AN865" s="228"/>
      <c r="AO865" s="228"/>
      <c r="AP865" s="228"/>
      <c r="AQ865" s="228"/>
      <c r="AR865" s="228"/>
      <c r="AS865" s="228"/>
      <c r="AT865" s="228"/>
      <c r="AU865" s="228"/>
      <c r="AV865" s="228"/>
      <c r="AW865" s="228"/>
      <c r="AX865" s="228"/>
      <c r="AY865" s="228"/>
      <c r="AZ865" s="228"/>
      <c r="BA865" s="228"/>
      <c r="BB865" s="228"/>
      <c r="BC865" s="228"/>
      <c r="BD865" s="228"/>
      <c r="BE865" s="228"/>
      <c r="BF865" s="228"/>
      <c r="BG865" s="228"/>
      <c r="BH865" s="228"/>
      <c r="BI865" s="228"/>
      <c r="BJ865" s="228"/>
      <c r="BK865" s="228"/>
      <c r="BL865" s="228"/>
      <c r="BM865" s="228"/>
      <c r="BN865" s="228"/>
      <c r="BO865" s="228"/>
      <c r="BP865" s="228"/>
      <c r="BQ865" s="228"/>
      <c r="BR865" s="228"/>
      <c r="BS865" s="228"/>
      <c r="BT865" s="228"/>
      <c r="BU865" s="228"/>
      <c r="BV865" s="228"/>
      <c r="BW865" s="228"/>
      <c r="BX865" s="228"/>
      <c r="BY865" s="228"/>
      <c r="BZ865" s="228"/>
      <c r="CA865" s="228"/>
      <c r="CB865" s="228"/>
      <c r="CC865" s="228"/>
      <c r="CD865" s="228"/>
      <c r="CE865" s="228"/>
      <c r="CF865" s="228"/>
      <c r="CG865" s="228"/>
      <c r="CH865" s="228"/>
      <c r="CI865" s="228"/>
      <c r="CJ865" s="228"/>
      <c r="CK865" s="228"/>
      <c r="CL865" s="228"/>
      <c r="CM865" s="228"/>
      <c r="CN865" s="228"/>
      <c r="CO865" s="228"/>
      <c r="CP865" s="228"/>
      <c r="CQ865" s="228"/>
      <c r="CR865" s="228"/>
      <c r="CS865" s="228"/>
      <c r="CT865" s="228"/>
      <c r="CU865" s="228"/>
      <c r="CV865" s="228"/>
      <c r="CW865" s="228"/>
      <c r="CX865" s="228"/>
      <c r="CY865" s="228"/>
      <c r="CZ865" s="228"/>
      <c r="DA865" s="228"/>
      <c r="DB865" s="228"/>
    </row>
    <row r="866" ht="12.0" customHeight="1">
      <c r="A866" s="228"/>
      <c r="B866" s="228"/>
      <c r="C866" s="228"/>
      <c r="D866" s="228"/>
      <c r="E866" s="228"/>
      <c r="F866" s="228"/>
      <c r="G866" s="228"/>
      <c r="H866" s="228"/>
      <c r="I866" s="228"/>
      <c r="J866" s="228"/>
      <c r="K866" s="228"/>
      <c r="L866" s="228"/>
      <c r="M866" s="228"/>
      <c r="N866" s="228"/>
      <c r="O866" s="228"/>
      <c r="P866" s="228"/>
      <c r="Q866" s="228"/>
      <c r="R866" s="228"/>
      <c r="S866" s="228"/>
      <c r="T866" s="228"/>
      <c r="U866" s="228"/>
      <c r="V866" s="228"/>
      <c r="W866" s="228"/>
      <c r="X866" s="228"/>
      <c r="Y866" s="228"/>
      <c r="Z866" s="228"/>
      <c r="AA866" s="228"/>
      <c r="AB866" s="228"/>
      <c r="AC866" s="228"/>
      <c r="AD866" s="228"/>
      <c r="AE866" s="228"/>
      <c r="AF866" s="228"/>
      <c r="AG866" s="228"/>
      <c r="AH866" s="228"/>
      <c r="AI866" s="228"/>
      <c r="AJ866" s="228"/>
      <c r="AK866" s="228"/>
      <c r="AL866" s="228"/>
      <c r="AM866" s="228"/>
      <c r="AN866" s="228"/>
      <c r="AO866" s="228"/>
      <c r="AP866" s="228"/>
      <c r="AQ866" s="228"/>
      <c r="AR866" s="228"/>
      <c r="AS866" s="228"/>
      <c r="AT866" s="228"/>
      <c r="AU866" s="228"/>
      <c r="AV866" s="228"/>
      <c r="AW866" s="228"/>
      <c r="AX866" s="228"/>
      <c r="AY866" s="228"/>
      <c r="AZ866" s="228"/>
      <c r="BA866" s="228"/>
      <c r="BB866" s="228"/>
      <c r="BC866" s="228"/>
      <c r="BD866" s="228"/>
      <c r="BE866" s="228"/>
      <c r="BF866" s="228"/>
      <c r="BG866" s="228"/>
      <c r="BH866" s="228"/>
      <c r="BI866" s="228"/>
      <c r="BJ866" s="228"/>
      <c r="BK866" s="228"/>
      <c r="BL866" s="228"/>
      <c r="BM866" s="228"/>
      <c r="BN866" s="228"/>
      <c r="BO866" s="228"/>
      <c r="BP866" s="228"/>
      <c r="BQ866" s="228"/>
      <c r="BR866" s="228"/>
      <c r="BS866" s="228"/>
      <c r="BT866" s="228"/>
      <c r="BU866" s="228"/>
      <c r="BV866" s="228"/>
      <c r="BW866" s="228"/>
      <c r="BX866" s="228"/>
      <c r="BY866" s="228"/>
      <c r="BZ866" s="228"/>
      <c r="CA866" s="228"/>
      <c r="CB866" s="228"/>
      <c r="CC866" s="228"/>
      <c r="CD866" s="228"/>
      <c r="CE866" s="228"/>
      <c r="CF866" s="228"/>
      <c r="CG866" s="228"/>
      <c r="CH866" s="228"/>
      <c r="CI866" s="228"/>
      <c r="CJ866" s="228"/>
      <c r="CK866" s="228"/>
      <c r="CL866" s="228"/>
      <c r="CM866" s="228"/>
      <c r="CN866" s="228"/>
      <c r="CO866" s="228"/>
      <c r="CP866" s="228"/>
      <c r="CQ866" s="228"/>
      <c r="CR866" s="228"/>
      <c r="CS866" s="228"/>
      <c r="CT866" s="228"/>
      <c r="CU866" s="228"/>
      <c r="CV866" s="228"/>
      <c r="CW866" s="228"/>
      <c r="CX866" s="228"/>
      <c r="CY866" s="228"/>
      <c r="CZ866" s="228"/>
      <c r="DA866" s="228"/>
      <c r="DB866" s="228"/>
    </row>
    <row r="867" ht="12.0" customHeight="1">
      <c r="A867" s="228"/>
      <c r="B867" s="228"/>
      <c r="C867" s="228"/>
      <c r="D867" s="228"/>
      <c r="E867" s="228"/>
      <c r="F867" s="228"/>
      <c r="G867" s="228"/>
      <c r="H867" s="228"/>
      <c r="I867" s="228"/>
      <c r="J867" s="228"/>
      <c r="K867" s="228"/>
      <c r="L867" s="228"/>
      <c r="M867" s="228"/>
      <c r="N867" s="228"/>
      <c r="O867" s="228"/>
      <c r="P867" s="228"/>
      <c r="Q867" s="228"/>
      <c r="R867" s="228"/>
      <c r="S867" s="228"/>
      <c r="T867" s="228"/>
      <c r="U867" s="228"/>
      <c r="V867" s="228"/>
      <c r="W867" s="228"/>
      <c r="X867" s="228"/>
      <c r="Y867" s="228"/>
      <c r="Z867" s="228"/>
      <c r="AA867" s="228"/>
      <c r="AB867" s="228"/>
      <c r="AC867" s="228"/>
      <c r="AD867" s="228"/>
      <c r="AE867" s="228"/>
      <c r="AF867" s="228"/>
      <c r="AG867" s="228"/>
      <c r="AH867" s="228"/>
      <c r="AI867" s="228"/>
      <c r="AJ867" s="228"/>
      <c r="AK867" s="228"/>
      <c r="AL867" s="228"/>
      <c r="AM867" s="228"/>
      <c r="AN867" s="228"/>
      <c r="AO867" s="228"/>
      <c r="AP867" s="228"/>
      <c r="AQ867" s="228"/>
      <c r="AR867" s="228"/>
      <c r="AS867" s="228"/>
      <c r="AT867" s="228"/>
      <c r="AU867" s="228"/>
      <c r="AV867" s="228"/>
      <c r="AW867" s="228"/>
      <c r="AX867" s="228"/>
      <c r="AY867" s="228"/>
      <c r="AZ867" s="228"/>
      <c r="BA867" s="228"/>
      <c r="BB867" s="228"/>
      <c r="BC867" s="228"/>
      <c r="BD867" s="228"/>
      <c r="BE867" s="228"/>
      <c r="BF867" s="228"/>
      <c r="BG867" s="228"/>
      <c r="BH867" s="228"/>
      <c r="BI867" s="228"/>
      <c r="BJ867" s="228"/>
      <c r="BK867" s="228"/>
      <c r="BL867" s="228"/>
      <c r="BM867" s="228"/>
      <c r="BN867" s="228"/>
      <c r="BO867" s="228"/>
      <c r="BP867" s="228"/>
      <c r="BQ867" s="228"/>
      <c r="BR867" s="228"/>
      <c r="BS867" s="228"/>
      <c r="BT867" s="228"/>
      <c r="BU867" s="228"/>
      <c r="BV867" s="228"/>
      <c r="BW867" s="228"/>
      <c r="BX867" s="228"/>
      <c r="BY867" s="228"/>
      <c r="BZ867" s="228"/>
      <c r="CA867" s="228"/>
      <c r="CB867" s="228"/>
      <c r="CC867" s="228"/>
      <c r="CD867" s="228"/>
      <c r="CE867" s="228"/>
      <c r="CF867" s="228"/>
      <c r="CG867" s="228"/>
      <c r="CH867" s="228"/>
      <c r="CI867" s="228"/>
      <c r="CJ867" s="228"/>
      <c r="CK867" s="228"/>
      <c r="CL867" s="228"/>
      <c r="CM867" s="228"/>
      <c r="CN867" s="228"/>
      <c r="CO867" s="228"/>
      <c r="CP867" s="228"/>
      <c r="CQ867" s="228"/>
      <c r="CR867" s="228"/>
      <c r="CS867" s="228"/>
      <c r="CT867" s="228"/>
      <c r="CU867" s="228"/>
      <c r="CV867" s="228"/>
      <c r="CW867" s="228"/>
      <c r="CX867" s="228"/>
      <c r="CY867" s="228"/>
      <c r="CZ867" s="228"/>
      <c r="DA867" s="228"/>
      <c r="DB867" s="228"/>
    </row>
    <row r="868" ht="12.0" customHeight="1">
      <c r="A868" s="228"/>
      <c r="B868" s="228"/>
      <c r="C868" s="228"/>
      <c r="D868" s="228"/>
      <c r="E868" s="228"/>
      <c r="F868" s="228"/>
      <c r="G868" s="228"/>
      <c r="H868" s="228"/>
      <c r="I868" s="228"/>
      <c r="J868" s="228"/>
      <c r="K868" s="228"/>
      <c r="L868" s="228"/>
      <c r="M868" s="228"/>
      <c r="N868" s="228"/>
      <c r="O868" s="228"/>
      <c r="P868" s="228"/>
      <c r="Q868" s="228"/>
      <c r="R868" s="228"/>
      <c r="S868" s="228"/>
      <c r="T868" s="228"/>
      <c r="U868" s="228"/>
      <c r="V868" s="228"/>
      <c r="W868" s="228"/>
      <c r="X868" s="228"/>
      <c r="Y868" s="228"/>
      <c r="Z868" s="228"/>
      <c r="AA868" s="228"/>
      <c r="AB868" s="228"/>
      <c r="AC868" s="228"/>
      <c r="AD868" s="228"/>
      <c r="AE868" s="228"/>
      <c r="AF868" s="228"/>
      <c r="AG868" s="228"/>
      <c r="AH868" s="228"/>
      <c r="AI868" s="228"/>
      <c r="AJ868" s="228"/>
      <c r="AK868" s="228"/>
      <c r="AL868" s="228"/>
      <c r="AM868" s="228"/>
      <c r="AN868" s="228"/>
      <c r="AO868" s="228"/>
      <c r="AP868" s="228"/>
      <c r="AQ868" s="228"/>
      <c r="AR868" s="228"/>
      <c r="AS868" s="228"/>
      <c r="AT868" s="228"/>
      <c r="AU868" s="228"/>
      <c r="AV868" s="228"/>
      <c r="AW868" s="228"/>
      <c r="AX868" s="228"/>
      <c r="AY868" s="228"/>
      <c r="AZ868" s="228"/>
      <c r="BA868" s="228"/>
      <c r="BB868" s="228"/>
      <c r="BC868" s="228"/>
      <c r="BD868" s="228"/>
      <c r="BE868" s="228"/>
      <c r="BF868" s="228"/>
      <c r="BG868" s="228"/>
      <c r="BH868" s="228"/>
      <c r="BI868" s="228"/>
      <c r="BJ868" s="228"/>
      <c r="BK868" s="228"/>
      <c r="BL868" s="228"/>
      <c r="BM868" s="228"/>
      <c r="BN868" s="228"/>
      <c r="BO868" s="228"/>
      <c r="BP868" s="228"/>
      <c r="BQ868" s="228"/>
      <c r="BR868" s="228"/>
      <c r="BS868" s="228"/>
      <c r="BT868" s="228"/>
      <c r="BU868" s="228"/>
      <c r="BV868" s="228"/>
      <c r="BW868" s="228"/>
      <c r="BX868" s="228"/>
      <c r="BY868" s="228"/>
      <c r="BZ868" s="228"/>
      <c r="CA868" s="228"/>
      <c r="CB868" s="228"/>
      <c r="CC868" s="228"/>
      <c r="CD868" s="228"/>
      <c r="CE868" s="228"/>
      <c r="CF868" s="228"/>
      <c r="CG868" s="228"/>
      <c r="CH868" s="228"/>
      <c r="CI868" s="228"/>
      <c r="CJ868" s="228"/>
      <c r="CK868" s="228"/>
      <c r="CL868" s="228"/>
      <c r="CM868" s="228"/>
      <c r="CN868" s="228"/>
      <c r="CO868" s="228"/>
      <c r="CP868" s="228"/>
      <c r="CQ868" s="228"/>
      <c r="CR868" s="228"/>
      <c r="CS868" s="228"/>
      <c r="CT868" s="228"/>
      <c r="CU868" s="228"/>
      <c r="CV868" s="228"/>
      <c r="CW868" s="228"/>
      <c r="CX868" s="228"/>
      <c r="CY868" s="228"/>
      <c r="CZ868" s="228"/>
      <c r="DA868" s="228"/>
      <c r="DB868" s="228"/>
    </row>
    <row r="869" ht="12.0" customHeight="1">
      <c r="A869" s="228"/>
      <c r="B869" s="228"/>
      <c r="C869" s="228"/>
      <c r="D869" s="228"/>
      <c r="E869" s="228"/>
      <c r="F869" s="228"/>
      <c r="G869" s="228"/>
      <c r="H869" s="228"/>
      <c r="I869" s="228"/>
      <c r="J869" s="228"/>
      <c r="K869" s="228"/>
      <c r="L869" s="228"/>
      <c r="M869" s="228"/>
      <c r="N869" s="228"/>
      <c r="O869" s="228"/>
      <c r="P869" s="228"/>
      <c r="Q869" s="228"/>
      <c r="R869" s="228"/>
      <c r="S869" s="228"/>
      <c r="T869" s="228"/>
      <c r="U869" s="228"/>
      <c r="V869" s="228"/>
      <c r="W869" s="228"/>
      <c r="X869" s="228"/>
      <c r="Y869" s="228"/>
      <c r="Z869" s="228"/>
      <c r="AA869" s="228"/>
      <c r="AB869" s="228"/>
      <c r="AC869" s="228"/>
      <c r="AD869" s="228"/>
      <c r="AE869" s="228"/>
      <c r="AF869" s="228"/>
      <c r="AG869" s="228"/>
      <c r="AH869" s="228"/>
      <c r="AI869" s="228"/>
      <c r="AJ869" s="228"/>
      <c r="AK869" s="228"/>
      <c r="AL869" s="228"/>
      <c r="AM869" s="228"/>
      <c r="AN869" s="228"/>
      <c r="AO869" s="228"/>
      <c r="AP869" s="228"/>
      <c r="AQ869" s="228"/>
      <c r="AR869" s="228"/>
      <c r="AS869" s="228"/>
      <c r="AT869" s="228"/>
      <c r="AU869" s="228"/>
      <c r="AV869" s="228"/>
      <c r="AW869" s="228"/>
      <c r="AX869" s="228"/>
      <c r="AY869" s="228"/>
      <c r="AZ869" s="228"/>
      <c r="BA869" s="228"/>
      <c r="BB869" s="228"/>
      <c r="BC869" s="228"/>
      <c r="BD869" s="228"/>
      <c r="BE869" s="228"/>
      <c r="BF869" s="228"/>
      <c r="BG869" s="228"/>
      <c r="BH869" s="228"/>
      <c r="BI869" s="228"/>
      <c r="BJ869" s="228"/>
      <c r="BK869" s="228"/>
      <c r="BL869" s="228"/>
      <c r="BM869" s="228"/>
      <c r="BN869" s="228"/>
      <c r="BO869" s="228"/>
      <c r="BP869" s="228"/>
      <c r="BQ869" s="228"/>
      <c r="BR869" s="228"/>
      <c r="BS869" s="228"/>
      <c r="BT869" s="228"/>
      <c r="BU869" s="228"/>
      <c r="BV869" s="228"/>
      <c r="BW869" s="228"/>
      <c r="BX869" s="228"/>
      <c r="BY869" s="228"/>
      <c r="BZ869" s="228"/>
      <c r="CA869" s="228"/>
      <c r="CB869" s="228"/>
      <c r="CC869" s="228"/>
      <c r="CD869" s="228"/>
      <c r="CE869" s="228"/>
      <c r="CF869" s="228"/>
      <c r="CG869" s="228"/>
      <c r="CH869" s="228"/>
      <c r="CI869" s="228"/>
      <c r="CJ869" s="228"/>
      <c r="CK869" s="228"/>
      <c r="CL869" s="228"/>
      <c r="CM869" s="228"/>
      <c r="CN869" s="228"/>
      <c r="CO869" s="228"/>
      <c r="CP869" s="228"/>
      <c r="CQ869" s="228"/>
      <c r="CR869" s="228"/>
      <c r="CS869" s="228"/>
      <c r="CT869" s="228"/>
      <c r="CU869" s="228"/>
      <c r="CV869" s="228"/>
      <c r="CW869" s="228"/>
      <c r="CX869" s="228"/>
      <c r="CY869" s="228"/>
      <c r="CZ869" s="228"/>
      <c r="DA869" s="228"/>
      <c r="DB869" s="228"/>
    </row>
    <row r="870" ht="12.0" customHeight="1">
      <c r="A870" s="228"/>
      <c r="B870" s="228"/>
      <c r="C870" s="228"/>
      <c r="D870" s="228"/>
      <c r="E870" s="228"/>
      <c r="F870" s="228"/>
      <c r="G870" s="228"/>
      <c r="H870" s="228"/>
      <c r="I870" s="228"/>
      <c r="J870" s="228"/>
      <c r="K870" s="228"/>
      <c r="L870" s="228"/>
      <c r="M870" s="228"/>
      <c r="N870" s="228"/>
      <c r="O870" s="228"/>
      <c r="P870" s="228"/>
      <c r="Q870" s="228"/>
      <c r="R870" s="228"/>
      <c r="S870" s="228"/>
      <c r="T870" s="228"/>
      <c r="U870" s="228"/>
      <c r="V870" s="228"/>
      <c r="W870" s="228"/>
      <c r="X870" s="228"/>
      <c r="Y870" s="228"/>
      <c r="Z870" s="228"/>
      <c r="AA870" s="228"/>
      <c r="AB870" s="228"/>
      <c r="AC870" s="228"/>
      <c r="AD870" s="228"/>
      <c r="AE870" s="228"/>
      <c r="AF870" s="228"/>
      <c r="AG870" s="228"/>
      <c r="AH870" s="228"/>
      <c r="AI870" s="228"/>
      <c r="AJ870" s="228"/>
      <c r="AK870" s="228"/>
      <c r="AL870" s="228"/>
      <c r="AM870" s="228"/>
      <c r="AN870" s="228"/>
      <c r="AO870" s="228"/>
      <c r="AP870" s="228"/>
      <c r="AQ870" s="228"/>
      <c r="AR870" s="228"/>
      <c r="AS870" s="228"/>
      <c r="AT870" s="228"/>
      <c r="AU870" s="228"/>
      <c r="AV870" s="228"/>
      <c r="AW870" s="228"/>
      <c r="AX870" s="228"/>
      <c r="AY870" s="228"/>
      <c r="AZ870" s="228"/>
      <c r="BA870" s="228"/>
      <c r="BB870" s="228"/>
      <c r="BC870" s="228"/>
      <c r="BD870" s="228"/>
      <c r="BE870" s="228"/>
      <c r="BF870" s="228"/>
      <c r="BG870" s="228"/>
      <c r="BH870" s="228"/>
      <c r="BI870" s="228"/>
      <c r="BJ870" s="228"/>
      <c r="BK870" s="228"/>
      <c r="BL870" s="228"/>
      <c r="BM870" s="228"/>
      <c r="BN870" s="228"/>
      <c r="BO870" s="228"/>
      <c r="BP870" s="228"/>
      <c r="BQ870" s="228"/>
      <c r="BR870" s="228"/>
      <c r="BS870" s="228"/>
      <c r="BT870" s="228"/>
      <c r="BU870" s="228"/>
      <c r="BV870" s="228"/>
      <c r="BW870" s="228"/>
      <c r="BX870" s="228"/>
      <c r="BY870" s="228"/>
      <c r="BZ870" s="228"/>
      <c r="CA870" s="228"/>
      <c r="CB870" s="228"/>
      <c r="CC870" s="228"/>
      <c r="CD870" s="228"/>
      <c r="CE870" s="228"/>
      <c r="CF870" s="228"/>
      <c r="CG870" s="228"/>
      <c r="CH870" s="228"/>
      <c r="CI870" s="228"/>
      <c r="CJ870" s="228"/>
      <c r="CK870" s="228"/>
      <c r="CL870" s="228"/>
      <c r="CM870" s="228"/>
      <c r="CN870" s="228"/>
      <c r="CO870" s="228"/>
      <c r="CP870" s="228"/>
      <c r="CQ870" s="228"/>
      <c r="CR870" s="228"/>
      <c r="CS870" s="228"/>
      <c r="CT870" s="228"/>
      <c r="CU870" s="228"/>
      <c r="CV870" s="228"/>
      <c r="CW870" s="228"/>
      <c r="CX870" s="228"/>
      <c r="CY870" s="228"/>
      <c r="CZ870" s="228"/>
      <c r="DA870" s="228"/>
      <c r="DB870" s="228"/>
    </row>
    <row r="871" ht="12.0" customHeight="1">
      <c r="A871" s="228"/>
      <c r="B871" s="228"/>
      <c r="C871" s="228"/>
      <c r="D871" s="228"/>
      <c r="E871" s="228"/>
      <c r="F871" s="228"/>
      <c r="G871" s="228"/>
      <c r="H871" s="228"/>
      <c r="I871" s="228"/>
      <c r="J871" s="228"/>
      <c r="K871" s="228"/>
      <c r="L871" s="228"/>
      <c r="M871" s="228"/>
      <c r="N871" s="228"/>
      <c r="O871" s="228"/>
      <c r="P871" s="228"/>
      <c r="Q871" s="228"/>
      <c r="R871" s="228"/>
      <c r="S871" s="228"/>
      <c r="T871" s="228"/>
      <c r="U871" s="228"/>
      <c r="V871" s="228"/>
      <c r="W871" s="228"/>
      <c r="X871" s="228"/>
      <c r="Y871" s="228"/>
      <c r="Z871" s="228"/>
      <c r="AA871" s="228"/>
      <c r="AB871" s="228"/>
      <c r="AC871" s="228"/>
      <c r="AD871" s="228"/>
      <c r="AE871" s="228"/>
      <c r="AF871" s="228"/>
      <c r="AG871" s="228"/>
      <c r="AH871" s="228"/>
      <c r="AI871" s="228"/>
      <c r="AJ871" s="228"/>
      <c r="AK871" s="228"/>
      <c r="AL871" s="228"/>
      <c r="AM871" s="228"/>
      <c r="AN871" s="228"/>
      <c r="AO871" s="228"/>
      <c r="AP871" s="228"/>
      <c r="AQ871" s="228"/>
      <c r="AR871" s="228"/>
      <c r="AS871" s="228"/>
      <c r="AT871" s="228"/>
      <c r="AU871" s="228"/>
      <c r="AV871" s="228"/>
      <c r="AW871" s="228"/>
      <c r="AX871" s="228"/>
      <c r="AY871" s="228"/>
      <c r="AZ871" s="228"/>
      <c r="BA871" s="228"/>
      <c r="BB871" s="228"/>
      <c r="BC871" s="228"/>
      <c r="BD871" s="228"/>
      <c r="BE871" s="228"/>
      <c r="BF871" s="228"/>
      <c r="BG871" s="228"/>
      <c r="BH871" s="228"/>
      <c r="BI871" s="228"/>
      <c r="BJ871" s="228"/>
      <c r="BK871" s="228"/>
      <c r="BL871" s="228"/>
      <c r="BM871" s="228"/>
      <c r="BN871" s="228"/>
      <c r="BO871" s="228"/>
      <c r="BP871" s="228"/>
      <c r="BQ871" s="228"/>
      <c r="BR871" s="228"/>
      <c r="BS871" s="228"/>
      <c r="BT871" s="228"/>
      <c r="BU871" s="228"/>
      <c r="BV871" s="228"/>
      <c r="BW871" s="228"/>
      <c r="BX871" s="228"/>
      <c r="BY871" s="228"/>
      <c r="BZ871" s="228"/>
      <c r="CA871" s="228"/>
      <c r="CB871" s="228"/>
      <c r="CC871" s="228"/>
      <c r="CD871" s="228"/>
      <c r="CE871" s="228"/>
      <c r="CF871" s="228"/>
      <c r="CG871" s="228"/>
      <c r="CH871" s="228"/>
      <c r="CI871" s="228"/>
      <c r="CJ871" s="228"/>
      <c r="CK871" s="228"/>
      <c r="CL871" s="228"/>
      <c r="CM871" s="228"/>
      <c r="CN871" s="228"/>
      <c r="CO871" s="228"/>
      <c r="CP871" s="228"/>
      <c r="CQ871" s="228"/>
      <c r="CR871" s="228"/>
      <c r="CS871" s="228"/>
      <c r="CT871" s="228"/>
      <c r="CU871" s="228"/>
      <c r="CV871" s="228"/>
      <c r="CW871" s="228"/>
      <c r="CX871" s="228"/>
      <c r="CY871" s="228"/>
      <c r="CZ871" s="228"/>
      <c r="DA871" s="228"/>
      <c r="DB871" s="228"/>
    </row>
    <row r="872" ht="12.0" customHeight="1">
      <c r="A872" s="228"/>
      <c r="B872" s="228"/>
      <c r="C872" s="228"/>
      <c r="D872" s="228"/>
      <c r="E872" s="228"/>
      <c r="F872" s="228"/>
      <c r="G872" s="228"/>
      <c r="H872" s="228"/>
      <c r="I872" s="228"/>
      <c r="J872" s="228"/>
      <c r="K872" s="228"/>
      <c r="L872" s="228"/>
      <c r="M872" s="228"/>
      <c r="N872" s="228"/>
      <c r="O872" s="228"/>
      <c r="P872" s="228"/>
      <c r="Q872" s="228"/>
      <c r="R872" s="228"/>
      <c r="S872" s="228"/>
      <c r="T872" s="228"/>
      <c r="U872" s="228"/>
      <c r="V872" s="228"/>
      <c r="W872" s="228"/>
      <c r="X872" s="228"/>
      <c r="Y872" s="228"/>
      <c r="Z872" s="228"/>
      <c r="AA872" s="228"/>
      <c r="AB872" s="228"/>
      <c r="AC872" s="228"/>
      <c r="AD872" s="228"/>
      <c r="AE872" s="228"/>
      <c r="AF872" s="228"/>
      <c r="AG872" s="228"/>
      <c r="AH872" s="228"/>
      <c r="AI872" s="228"/>
      <c r="AJ872" s="228"/>
      <c r="AK872" s="228"/>
      <c r="AL872" s="228"/>
      <c r="AM872" s="228"/>
      <c r="AN872" s="228"/>
      <c r="AO872" s="228"/>
      <c r="AP872" s="228"/>
      <c r="AQ872" s="228"/>
      <c r="AR872" s="228"/>
      <c r="AS872" s="228"/>
      <c r="AT872" s="228"/>
      <c r="AU872" s="228"/>
      <c r="AV872" s="228"/>
      <c r="AW872" s="228"/>
      <c r="AX872" s="228"/>
      <c r="AY872" s="228"/>
      <c r="AZ872" s="228"/>
      <c r="BA872" s="228"/>
      <c r="BB872" s="228"/>
      <c r="BC872" s="228"/>
      <c r="BD872" s="228"/>
      <c r="BE872" s="228"/>
      <c r="BF872" s="228"/>
      <c r="BG872" s="228"/>
      <c r="BH872" s="228"/>
      <c r="BI872" s="228"/>
      <c r="BJ872" s="228"/>
      <c r="BK872" s="228"/>
      <c r="BL872" s="228"/>
      <c r="BM872" s="228"/>
      <c r="BN872" s="228"/>
      <c r="BO872" s="228"/>
      <c r="BP872" s="228"/>
      <c r="BQ872" s="228"/>
      <c r="BR872" s="228"/>
      <c r="BS872" s="228"/>
      <c r="BT872" s="228"/>
      <c r="BU872" s="228"/>
      <c r="BV872" s="228"/>
      <c r="BW872" s="228"/>
      <c r="BX872" s="228"/>
      <c r="BY872" s="228"/>
      <c r="BZ872" s="228"/>
      <c r="CA872" s="228"/>
      <c r="CB872" s="228"/>
      <c r="CC872" s="228"/>
      <c r="CD872" s="228"/>
      <c r="CE872" s="228"/>
      <c r="CF872" s="228"/>
      <c r="CG872" s="228"/>
      <c r="CH872" s="228"/>
      <c r="CI872" s="228"/>
      <c r="CJ872" s="228"/>
      <c r="CK872" s="228"/>
      <c r="CL872" s="228"/>
      <c r="CM872" s="228"/>
      <c r="CN872" s="228"/>
      <c r="CO872" s="228"/>
      <c r="CP872" s="228"/>
      <c r="CQ872" s="228"/>
      <c r="CR872" s="228"/>
      <c r="CS872" s="228"/>
      <c r="CT872" s="228"/>
      <c r="CU872" s="228"/>
      <c r="CV872" s="228"/>
      <c r="CW872" s="228"/>
      <c r="CX872" s="228"/>
      <c r="CY872" s="228"/>
      <c r="CZ872" s="228"/>
      <c r="DA872" s="228"/>
      <c r="DB872" s="228"/>
    </row>
    <row r="873" ht="12.0" customHeight="1">
      <c r="A873" s="228"/>
      <c r="B873" s="228"/>
      <c r="C873" s="228"/>
      <c r="D873" s="228"/>
      <c r="E873" s="228"/>
      <c r="F873" s="228"/>
      <c r="G873" s="228"/>
      <c r="H873" s="228"/>
      <c r="I873" s="228"/>
      <c r="J873" s="228"/>
      <c r="K873" s="228"/>
      <c r="L873" s="228"/>
      <c r="M873" s="228"/>
      <c r="N873" s="228"/>
      <c r="O873" s="228"/>
      <c r="P873" s="228"/>
      <c r="Q873" s="228"/>
      <c r="R873" s="228"/>
      <c r="S873" s="228"/>
      <c r="T873" s="228"/>
      <c r="U873" s="228"/>
      <c r="V873" s="228"/>
      <c r="W873" s="228"/>
      <c r="X873" s="228"/>
      <c r="Y873" s="228"/>
      <c r="Z873" s="228"/>
      <c r="AA873" s="228"/>
      <c r="AB873" s="228"/>
      <c r="AC873" s="228"/>
      <c r="AD873" s="228"/>
      <c r="AE873" s="228"/>
      <c r="AF873" s="228"/>
      <c r="AG873" s="228"/>
      <c r="AH873" s="228"/>
      <c r="AI873" s="228"/>
      <c r="AJ873" s="228"/>
      <c r="AK873" s="228"/>
      <c r="AL873" s="228"/>
      <c r="AM873" s="228"/>
      <c r="AN873" s="228"/>
      <c r="AO873" s="228"/>
      <c r="AP873" s="228"/>
      <c r="AQ873" s="228"/>
      <c r="AR873" s="228"/>
      <c r="AS873" s="228"/>
      <c r="AT873" s="228"/>
      <c r="AU873" s="228"/>
      <c r="AV873" s="228"/>
      <c r="AW873" s="228"/>
      <c r="AX873" s="228"/>
      <c r="AY873" s="228"/>
      <c r="AZ873" s="228"/>
      <c r="BA873" s="228"/>
      <c r="BB873" s="228"/>
      <c r="BC873" s="228"/>
      <c r="BD873" s="228"/>
      <c r="BE873" s="228"/>
      <c r="BF873" s="228"/>
      <c r="BG873" s="228"/>
      <c r="BH873" s="228"/>
      <c r="BI873" s="228"/>
      <c r="BJ873" s="228"/>
      <c r="BK873" s="228"/>
      <c r="BL873" s="228"/>
      <c r="BM873" s="228"/>
      <c r="BN873" s="228"/>
      <c r="BO873" s="228"/>
      <c r="BP873" s="228"/>
      <c r="BQ873" s="228"/>
      <c r="BR873" s="228"/>
      <c r="BS873" s="228"/>
      <c r="BT873" s="228"/>
      <c r="BU873" s="228"/>
      <c r="BV873" s="228"/>
      <c r="BW873" s="228"/>
      <c r="BX873" s="228"/>
      <c r="BY873" s="228"/>
      <c r="BZ873" s="228"/>
      <c r="CA873" s="228"/>
      <c r="CB873" s="228"/>
      <c r="CC873" s="228"/>
      <c r="CD873" s="228"/>
      <c r="CE873" s="228"/>
      <c r="CF873" s="228"/>
      <c r="CG873" s="228"/>
      <c r="CH873" s="228"/>
      <c r="CI873" s="228"/>
      <c r="CJ873" s="228"/>
      <c r="CK873" s="228"/>
      <c r="CL873" s="228"/>
      <c r="CM873" s="228"/>
      <c r="CN873" s="228"/>
      <c r="CO873" s="228"/>
      <c r="CP873" s="228"/>
      <c r="CQ873" s="228"/>
      <c r="CR873" s="228"/>
      <c r="CS873" s="228"/>
      <c r="CT873" s="228"/>
      <c r="CU873" s="228"/>
      <c r="CV873" s="228"/>
      <c r="CW873" s="228"/>
      <c r="CX873" s="228"/>
      <c r="CY873" s="228"/>
      <c r="CZ873" s="228"/>
      <c r="DA873" s="228"/>
      <c r="DB873" s="228"/>
    </row>
    <row r="874" ht="12.0" customHeight="1">
      <c r="A874" s="228"/>
      <c r="B874" s="228"/>
      <c r="C874" s="228"/>
      <c r="D874" s="228"/>
      <c r="E874" s="228"/>
      <c r="F874" s="228"/>
      <c r="G874" s="228"/>
      <c r="H874" s="228"/>
      <c r="I874" s="228"/>
      <c r="J874" s="228"/>
      <c r="K874" s="228"/>
      <c r="L874" s="228"/>
      <c r="M874" s="228"/>
      <c r="N874" s="228"/>
      <c r="O874" s="228"/>
      <c r="P874" s="228"/>
      <c r="Q874" s="228"/>
      <c r="R874" s="228"/>
      <c r="S874" s="228"/>
      <c r="T874" s="228"/>
      <c r="U874" s="228"/>
      <c r="V874" s="228"/>
      <c r="W874" s="228"/>
      <c r="X874" s="228"/>
      <c r="Y874" s="228"/>
      <c r="Z874" s="228"/>
      <c r="AA874" s="228"/>
      <c r="AB874" s="228"/>
      <c r="AC874" s="228"/>
      <c r="AD874" s="228"/>
      <c r="AE874" s="228"/>
      <c r="AF874" s="228"/>
      <c r="AG874" s="228"/>
      <c r="AH874" s="228"/>
      <c r="AI874" s="228"/>
      <c r="AJ874" s="228"/>
      <c r="AK874" s="228"/>
      <c r="AL874" s="228"/>
      <c r="AM874" s="228"/>
      <c r="AN874" s="228"/>
      <c r="AO874" s="228"/>
      <c r="AP874" s="228"/>
      <c r="AQ874" s="228"/>
      <c r="AR874" s="228"/>
      <c r="AS874" s="228"/>
      <c r="AT874" s="228"/>
      <c r="AU874" s="228"/>
      <c r="AV874" s="228"/>
      <c r="AW874" s="228"/>
      <c r="AX874" s="228"/>
      <c r="AY874" s="228"/>
      <c r="AZ874" s="228"/>
      <c r="BA874" s="228"/>
      <c r="BB874" s="228"/>
      <c r="BC874" s="228"/>
      <c r="BD874" s="228"/>
      <c r="BE874" s="228"/>
      <c r="BF874" s="228"/>
      <c r="BG874" s="228"/>
      <c r="BH874" s="228"/>
      <c r="BI874" s="228"/>
      <c r="BJ874" s="228"/>
      <c r="BK874" s="228"/>
      <c r="BL874" s="228"/>
      <c r="BM874" s="228"/>
      <c r="BN874" s="228"/>
      <c r="BO874" s="228"/>
      <c r="BP874" s="228"/>
      <c r="BQ874" s="228"/>
      <c r="BR874" s="228"/>
      <c r="BS874" s="228"/>
      <c r="BT874" s="228"/>
      <c r="BU874" s="228"/>
      <c r="BV874" s="228"/>
      <c r="BW874" s="228"/>
      <c r="BX874" s="228"/>
      <c r="BY874" s="228"/>
      <c r="BZ874" s="228"/>
      <c r="CA874" s="228"/>
      <c r="CB874" s="228"/>
      <c r="CC874" s="228"/>
      <c r="CD874" s="228"/>
      <c r="CE874" s="228"/>
      <c r="CF874" s="228"/>
      <c r="CG874" s="228"/>
      <c r="CH874" s="228"/>
      <c r="CI874" s="228"/>
      <c r="CJ874" s="228"/>
      <c r="CK874" s="228"/>
      <c r="CL874" s="228"/>
      <c r="CM874" s="228"/>
      <c r="CN874" s="228"/>
      <c r="CO874" s="228"/>
      <c r="CP874" s="228"/>
      <c r="CQ874" s="228"/>
      <c r="CR874" s="228"/>
      <c r="CS874" s="228"/>
      <c r="CT874" s="228"/>
      <c r="CU874" s="228"/>
      <c r="CV874" s="228"/>
      <c r="CW874" s="228"/>
      <c r="CX874" s="228"/>
      <c r="CY874" s="228"/>
      <c r="CZ874" s="228"/>
      <c r="DA874" s="228"/>
      <c r="DB874" s="228"/>
    </row>
    <row r="875" ht="12.0" customHeight="1">
      <c r="A875" s="228"/>
      <c r="B875" s="228"/>
      <c r="C875" s="228"/>
      <c r="D875" s="228"/>
      <c r="E875" s="228"/>
      <c r="F875" s="228"/>
      <c r="G875" s="228"/>
      <c r="H875" s="228"/>
      <c r="I875" s="228"/>
      <c r="J875" s="228"/>
      <c r="K875" s="228"/>
      <c r="L875" s="228"/>
      <c r="M875" s="228"/>
      <c r="N875" s="228"/>
      <c r="O875" s="228"/>
      <c r="P875" s="228"/>
      <c r="Q875" s="228"/>
      <c r="R875" s="228"/>
      <c r="S875" s="228"/>
      <c r="T875" s="228"/>
      <c r="U875" s="228"/>
      <c r="V875" s="228"/>
      <c r="W875" s="228"/>
      <c r="X875" s="228"/>
      <c r="Y875" s="228"/>
      <c r="Z875" s="228"/>
      <c r="AA875" s="228"/>
      <c r="AB875" s="228"/>
      <c r="AC875" s="228"/>
      <c r="AD875" s="228"/>
      <c r="AE875" s="228"/>
      <c r="AF875" s="228"/>
      <c r="AG875" s="228"/>
      <c r="AH875" s="228"/>
      <c r="AI875" s="228"/>
      <c r="AJ875" s="228"/>
      <c r="AK875" s="228"/>
      <c r="AL875" s="228"/>
      <c r="AM875" s="228"/>
      <c r="AN875" s="228"/>
      <c r="AO875" s="228"/>
      <c r="AP875" s="228"/>
      <c r="AQ875" s="228"/>
      <c r="AR875" s="228"/>
      <c r="AS875" s="228"/>
      <c r="AT875" s="228"/>
      <c r="AU875" s="228"/>
      <c r="AV875" s="228"/>
      <c r="AW875" s="228"/>
      <c r="AX875" s="228"/>
      <c r="AY875" s="228"/>
      <c r="AZ875" s="228"/>
      <c r="BA875" s="228"/>
      <c r="BB875" s="228"/>
      <c r="BC875" s="228"/>
      <c r="BD875" s="228"/>
      <c r="BE875" s="228"/>
      <c r="BF875" s="228"/>
      <c r="BG875" s="228"/>
      <c r="BH875" s="228"/>
      <c r="BI875" s="228"/>
      <c r="BJ875" s="228"/>
      <c r="BK875" s="228"/>
      <c r="BL875" s="228"/>
      <c r="BM875" s="228"/>
      <c r="BN875" s="228"/>
      <c r="BO875" s="228"/>
      <c r="BP875" s="228"/>
      <c r="BQ875" s="228"/>
      <c r="BR875" s="228"/>
      <c r="BS875" s="228"/>
      <c r="BT875" s="228"/>
      <c r="BU875" s="228"/>
      <c r="BV875" s="228"/>
      <c r="BW875" s="228"/>
      <c r="BX875" s="228"/>
      <c r="BY875" s="228"/>
      <c r="BZ875" s="228"/>
      <c r="CA875" s="228"/>
      <c r="CB875" s="228"/>
      <c r="CC875" s="228"/>
      <c r="CD875" s="228"/>
      <c r="CE875" s="228"/>
      <c r="CF875" s="228"/>
      <c r="CG875" s="228"/>
      <c r="CH875" s="228"/>
      <c r="CI875" s="228"/>
      <c r="CJ875" s="228"/>
      <c r="CK875" s="228"/>
      <c r="CL875" s="228"/>
      <c r="CM875" s="228"/>
      <c r="CN875" s="228"/>
      <c r="CO875" s="228"/>
      <c r="CP875" s="228"/>
      <c r="CQ875" s="228"/>
      <c r="CR875" s="228"/>
      <c r="CS875" s="228"/>
      <c r="CT875" s="228"/>
      <c r="CU875" s="228"/>
      <c r="CV875" s="228"/>
      <c r="CW875" s="228"/>
      <c r="CX875" s="228"/>
      <c r="CY875" s="228"/>
      <c r="CZ875" s="228"/>
      <c r="DA875" s="228"/>
      <c r="DB875" s="228"/>
    </row>
    <row r="876" ht="12.0" customHeight="1">
      <c r="A876" s="228"/>
      <c r="B876" s="228"/>
      <c r="C876" s="228"/>
      <c r="D876" s="228"/>
      <c r="E876" s="228"/>
      <c r="F876" s="228"/>
      <c r="G876" s="228"/>
      <c r="H876" s="228"/>
      <c r="I876" s="228"/>
      <c r="J876" s="228"/>
      <c r="K876" s="228"/>
      <c r="L876" s="228"/>
      <c r="M876" s="228"/>
      <c r="N876" s="228"/>
      <c r="O876" s="228"/>
      <c r="P876" s="228"/>
      <c r="Q876" s="228"/>
      <c r="R876" s="228"/>
      <c r="S876" s="228"/>
      <c r="T876" s="228"/>
      <c r="U876" s="228"/>
      <c r="V876" s="228"/>
      <c r="W876" s="228"/>
      <c r="X876" s="228"/>
      <c r="Y876" s="228"/>
      <c r="Z876" s="228"/>
      <c r="AA876" s="228"/>
      <c r="AB876" s="228"/>
      <c r="AC876" s="228"/>
      <c r="AD876" s="228"/>
      <c r="AE876" s="228"/>
      <c r="AF876" s="228"/>
      <c r="AG876" s="228"/>
      <c r="AH876" s="228"/>
      <c r="AI876" s="228"/>
      <c r="AJ876" s="228"/>
      <c r="AK876" s="228"/>
      <c r="AL876" s="228"/>
      <c r="AM876" s="228"/>
      <c r="AN876" s="228"/>
      <c r="AO876" s="228"/>
      <c r="AP876" s="228"/>
      <c r="AQ876" s="228"/>
      <c r="AR876" s="228"/>
      <c r="AS876" s="228"/>
      <c r="AT876" s="228"/>
      <c r="AU876" s="228"/>
      <c r="AV876" s="228"/>
      <c r="AW876" s="228"/>
      <c r="AX876" s="228"/>
      <c r="AY876" s="228"/>
      <c r="AZ876" s="228"/>
      <c r="BA876" s="228"/>
      <c r="BB876" s="228"/>
      <c r="BC876" s="228"/>
      <c r="BD876" s="228"/>
      <c r="BE876" s="228"/>
      <c r="BF876" s="228"/>
      <c r="BG876" s="228"/>
      <c r="BH876" s="228"/>
      <c r="BI876" s="228"/>
      <c r="BJ876" s="228"/>
      <c r="BK876" s="228"/>
      <c r="BL876" s="228"/>
      <c r="BM876" s="228"/>
      <c r="BN876" s="228"/>
      <c r="BO876" s="228"/>
      <c r="BP876" s="228"/>
      <c r="BQ876" s="228"/>
      <c r="BR876" s="228"/>
      <c r="BS876" s="228"/>
      <c r="BT876" s="228"/>
      <c r="BU876" s="228"/>
      <c r="BV876" s="228"/>
      <c r="BW876" s="228"/>
      <c r="BX876" s="228"/>
      <c r="BY876" s="228"/>
      <c r="BZ876" s="228"/>
      <c r="CA876" s="228"/>
      <c r="CB876" s="228"/>
      <c r="CC876" s="228"/>
      <c r="CD876" s="228"/>
      <c r="CE876" s="228"/>
      <c r="CF876" s="228"/>
      <c r="CG876" s="228"/>
      <c r="CH876" s="228"/>
      <c r="CI876" s="228"/>
      <c r="CJ876" s="228"/>
      <c r="CK876" s="228"/>
      <c r="CL876" s="228"/>
      <c r="CM876" s="228"/>
      <c r="CN876" s="228"/>
      <c r="CO876" s="228"/>
      <c r="CP876" s="228"/>
      <c r="CQ876" s="228"/>
      <c r="CR876" s="228"/>
      <c r="CS876" s="228"/>
      <c r="CT876" s="228"/>
      <c r="CU876" s="228"/>
      <c r="CV876" s="228"/>
      <c r="CW876" s="228"/>
      <c r="CX876" s="228"/>
      <c r="CY876" s="228"/>
      <c r="CZ876" s="228"/>
      <c r="DA876" s="228"/>
      <c r="DB876" s="228"/>
    </row>
    <row r="877" ht="12.0" customHeight="1">
      <c r="A877" s="228"/>
      <c r="B877" s="228"/>
      <c r="C877" s="228"/>
      <c r="D877" s="228"/>
      <c r="E877" s="228"/>
      <c r="F877" s="228"/>
      <c r="G877" s="228"/>
      <c r="H877" s="228"/>
      <c r="I877" s="228"/>
      <c r="J877" s="228"/>
      <c r="K877" s="228"/>
      <c r="L877" s="228"/>
      <c r="M877" s="228"/>
      <c r="N877" s="228"/>
      <c r="O877" s="228"/>
      <c r="P877" s="228"/>
      <c r="Q877" s="228"/>
      <c r="R877" s="228"/>
      <c r="S877" s="228"/>
      <c r="T877" s="228"/>
      <c r="U877" s="228"/>
      <c r="V877" s="228"/>
      <c r="W877" s="228"/>
      <c r="X877" s="228"/>
      <c r="Y877" s="228"/>
      <c r="Z877" s="228"/>
      <c r="AA877" s="228"/>
      <c r="AB877" s="228"/>
      <c r="AC877" s="228"/>
      <c r="AD877" s="228"/>
      <c r="AE877" s="228"/>
      <c r="AF877" s="228"/>
      <c r="AG877" s="228"/>
      <c r="AH877" s="228"/>
      <c r="AI877" s="228"/>
      <c r="AJ877" s="228"/>
      <c r="AK877" s="228"/>
      <c r="AL877" s="228"/>
      <c r="AM877" s="228"/>
      <c r="AN877" s="228"/>
      <c r="AO877" s="228"/>
      <c r="AP877" s="228"/>
      <c r="AQ877" s="228"/>
      <c r="AR877" s="228"/>
      <c r="AS877" s="228"/>
      <c r="AT877" s="228"/>
      <c r="AU877" s="228"/>
      <c r="AV877" s="228"/>
      <c r="AW877" s="228"/>
      <c r="AX877" s="228"/>
      <c r="AY877" s="228"/>
      <c r="AZ877" s="228"/>
      <c r="BA877" s="228"/>
      <c r="BB877" s="228"/>
      <c r="BC877" s="228"/>
      <c r="BD877" s="228"/>
      <c r="BE877" s="228"/>
      <c r="BF877" s="228"/>
      <c r="BG877" s="228"/>
      <c r="BH877" s="228"/>
      <c r="BI877" s="228"/>
      <c r="BJ877" s="228"/>
      <c r="BK877" s="228"/>
      <c r="BL877" s="228"/>
      <c r="BM877" s="228"/>
      <c r="BN877" s="228"/>
      <c r="BO877" s="228"/>
      <c r="BP877" s="228"/>
      <c r="BQ877" s="228"/>
      <c r="BR877" s="228"/>
      <c r="BS877" s="228"/>
      <c r="BT877" s="228"/>
      <c r="BU877" s="228"/>
      <c r="BV877" s="228"/>
      <c r="BW877" s="228"/>
      <c r="BX877" s="228"/>
      <c r="BY877" s="228"/>
      <c r="BZ877" s="228"/>
      <c r="CA877" s="228"/>
      <c r="CB877" s="228"/>
      <c r="CC877" s="228"/>
      <c r="CD877" s="228"/>
      <c r="CE877" s="228"/>
      <c r="CF877" s="228"/>
      <c r="CG877" s="228"/>
      <c r="CH877" s="228"/>
      <c r="CI877" s="228"/>
      <c r="CJ877" s="228"/>
      <c r="CK877" s="228"/>
      <c r="CL877" s="228"/>
      <c r="CM877" s="228"/>
      <c r="CN877" s="228"/>
      <c r="CO877" s="228"/>
      <c r="CP877" s="228"/>
      <c r="CQ877" s="228"/>
      <c r="CR877" s="228"/>
      <c r="CS877" s="228"/>
      <c r="CT877" s="228"/>
      <c r="CU877" s="228"/>
      <c r="CV877" s="228"/>
      <c r="CW877" s="228"/>
      <c r="CX877" s="228"/>
      <c r="CY877" s="228"/>
      <c r="CZ877" s="228"/>
      <c r="DA877" s="228"/>
      <c r="DB877" s="228"/>
    </row>
    <row r="878" ht="12.0" customHeight="1">
      <c r="A878" s="228"/>
      <c r="B878" s="228"/>
      <c r="C878" s="228"/>
      <c r="D878" s="228"/>
      <c r="E878" s="228"/>
      <c r="F878" s="228"/>
      <c r="G878" s="228"/>
      <c r="H878" s="228"/>
      <c r="I878" s="228"/>
      <c r="J878" s="228"/>
      <c r="K878" s="228"/>
      <c r="L878" s="228"/>
      <c r="M878" s="228"/>
      <c r="N878" s="228"/>
      <c r="O878" s="228"/>
      <c r="P878" s="228"/>
      <c r="Q878" s="228"/>
      <c r="R878" s="228"/>
      <c r="S878" s="228"/>
      <c r="T878" s="228"/>
      <c r="U878" s="228"/>
      <c r="V878" s="228"/>
      <c r="W878" s="228"/>
      <c r="X878" s="228"/>
      <c r="Y878" s="228"/>
      <c r="Z878" s="228"/>
      <c r="AA878" s="228"/>
      <c r="AB878" s="228"/>
      <c r="AC878" s="228"/>
      <c r="AD878" s="228"/>
      <c r="AE878" s="228"/>
      <c r="AF878" s="228"/>
      <c r="AG878" s="228"/>
      <c r="AH878" s="228"/>
      <c r="AI878" s="228"/>
      <c r="AJ878" s="228"/>
      <c r="AK878" s="228"/>
      <c r="AL878" s="228"/>
      <c r="AM878" s="228"/>
      <c r="AN878" s="228"/>
      <c r="AO878" s="228"/>
      <c r="AP878" s="228"/>
      <c r="AQ878" s="228"/>
      <c r="AR878" s="228"/>
      <c r="AS878" s="228"/>
      <c r="AT878" s="228"/>
      <c r="AU878" s="228"/>
      <c r="AV878" s="228"/>
      <c r="AW878" s="228"/>
      <c r="AX878" s="228"/>
      <c r="AY878" s="228"/>
      <c r="AZ878" s="228"/>
      <c r="BA878" s="228"/>
      <c r="BB878" s="228"/>
      <c r="BC878" s="228"/>
      <c r="BD878" s="228"/>
      <c r="BE878" s="228"/>
      <c r="BF878" s="228"/>
      <c r="BG878" s="228"/>
      <c r="BH878" s="228"/>
      <c r="BI878" s="228"/>
      <c r="BJ878" s="228"/>
      <c r="BK878" s="228"/>
      <c r="BL878" s="228"/>
      <c r="BM878" s="228"/>
      <c r="BN878" s="228"/>
      <c r="BO878" s="228"/>
      <c r="BP878" s="228"/>
      <c r="BQ878" s="228"/>
      <c r="BR878" s="228"/>
      <c r="BS878" s="228"/>
      <c r="BT878" s="228"/>
      <c r="BU878" s="228"/>
      <c r="BV878" s="228"/>
      <c r="BW878" s="228"/>
      <c r="BX878" s="228"/>
      <c r="BY878" s="228"/>
      <c r="BZ878" s="228"/>
      <c r="CA878" s="228"/>
      <c r="CB878" s="228"/>
      <c r="CC878" s="228"/>
      <c r="CD878" s="228"/>
      <c r="CE878" s="228"/>
      <c r="CF878" s="228"/>
      <c r="CG878" s="228"/>
      <c r="CH878" s="228"/>
      <c r="CI878" s="228"/>
      <c r="CJ878" s="228"/>
      <c r="CK878" s="228"/>
      <c r="CL878" s="228"/>
      <c r="CM878" s="228"/>
      <c r="CN878" s="228"/>
      <c r="CO878" s="228"/>
      <c r="CP878" s="228"/>
      <c r="CQ878" s="228"/>
      <c r="CR878" s="228"/>
      <c r="CS878" s="228"/>
      <c r="CT878" s="228"/>
      <c r="CU878" s="228"/>
      <c r="CV878" s="228"/>
      <c r="CW878" s="228"/>
      <c r="CX878" s="228"/>
      <c r="CY878" s="228"/>
      <c r="CZ878" s="228"/>
      <c r="DA878" s="228"/>
      <c r="DB878" s="228"/>
    </row>
    <row r="879" ht="12.0" customHeight="1">
      <c r="A879" s="228"/>
      <c r="B879" s="228"/>
      <c r="C879" s="228"/>
      <c r="D879" s="228"/>
      <c r="E879" s="228"/>
      <c r="F879" s="228"/>
      <c r="G879" s="228"/>
      <c r="H879" s="228"/>
      <c r="I879" s="228"/>
      <c r="J879" s="228"/>
      <c r="K879" s="228"/>
      <c r="L879" s="228"/>
      <c r="M879" s="228"/>
      <c r="N879" s="228"/>
      <c r="O879" s="228"/>
      <c r="P879" s="228"/>
      <c r="Q879" s="228"/>
      <c r="R879" s="228"/>
      <c r="S879" s="228"/>
      <c r="T879" s="228"/>
      <c r="U879" s="228"/>
      <c r="V879" s="228"/>
      <c r="W879" s="228"/>
      <c r="X879" s="228"/>
      <c r="Y879" s="228"/>
      <c r="Z879" s="228"/>
      <c r="AA879" s="228"/>
      <c r="AB879" s="228"/>
      <c r="AC879" s="228"/>
      <c r="AD879" s="228"/>
      <c r="AE879" s="228"/>
      <c r="AF879" s="228"/>
      <c r="AG879" s="228"/>
      <c r="AH879" s="228"/>
      <c r="AI879" s="228"/>
      <c r="AJ879" s="228"/>
      <c r="AK879" s="228"/>
      <c r="AL879" s="228"/>
      <c r="AM879" s="228"/>
      <c r="AN879" s="228"/>
      <c r="AO879" s="228"/>
      <c r="AP879" s="228"/>
      <c r="AQ879" s="228"/>
      <c r="AR879" s="228"/>
      <c r="AS879" s="228"/>
      <c r="AT879" s="228"/>
      <c r="AU879" s="228"/>
      <c r="AV879" s="228"/>
      <c r="AW879" s="228"/>
      <c r="AX879" s="228"/>
      <c r="AY879" s="228"/>
      <c r="AZ879" s="228"/>
      <c r="BA879" s="228"/>
      <c r="BB879" s="228"/>
      <c r="BC879" s="228"/>
      <c r="BD879" s="228"/>
      <c r="BE879" s="228"/>
      <c r="BF879" s="228"/>
      <c r="BG879" s="228"/>
      <c r="BH879" s="228"/>
      <c r="BI879" s="228"/>
      <c r="BJ879" s="228"/>
      <c r="BK879" s="228"/>
      <c r="BL879" s="228"/>
      <c r="BM879" s="228"/>
      <c r="BN879" s="228"/>
      <c r="BO879" s="228"/>
      <c r="BP879" s="228"/>
      <c r="BQ879" s="228"/>
      <c r="BR879" s="228"/>
      <c r="BS879" s="228"/>
      <c r="BT879" s="228"/>
      <c r="BU879" s="228"/>
      <c r="BV879" s="228"/>
      <c r="BW879" s="228"/>
      <c r="BX879" s="228"/>
      <c r="BY879" s="228"/>
      <c r="BZ879" s="228"/>
      <c r="CA879" s="228"/>
      <c r="CB879" s="228"/>
      <c r="CC879" s="228"/>
      <c r="CD879" s="228"/>
      <c r="CE879" s="228"/>
      <c r="CF879" s="228"/>
      <c r="CG879" s="228"/>
      <c r="CH879" s="228"/>
      <c r="CI879" s="228"/>
      <c r="CJ879" s="228"/>
      <c r="CK879" s="228"/>
      <c r="CL879" s="228"/>
      <c r="CM879" s="228"/>
      <c r="CN879" s="228"/>
      <c r="CO879" s="228"/>
      <c r="CP879" s="228"/>
      <c r="CQ879" s="228"/>
      <c r="CR879" s="228"/>
      <c r="CS879" s="228"/>
      <c r="CT879" s="228"/>
      <c r="CU879" s="228"/>
      <c r="CV879" s="228"/>
      <c r="CW879" s="228"/>
      <c r="CX879" s="228"/>
      <c r="CY879" s="228"/>
      <c r="CZ879" s="228"/>
      <c r="DA879" s="228"/>
      <c r="DB879" s="228"/>
    </row>
    <row r="880" ht="12.0" customHeight="1">
      <c r="A880" s="228"/>
      <c r="B880" s="228"/>
      <c r="C880" s="228"/>
      <c r="D880" s="228"/>
      <c r="E880" s="228"/>
      <c r="F880" s="228"/>
      <c r="G880" s="228"/>
      <c r="H880" s="228"/>
      <c r="I880" s="228"/>
      <c r="J880" s="228"/>
      <c r="K880" s="228"/>
      <c r="L880" s="228"/>
      <c r="M880" s="228"/>
      <c r="N880" s="228"/>
      <c r="O880" s="228"/>
      <c r="P880" s="228"/>
      <c r="Q880" s="228"/>
      <c r="R880" s="228"/>
      <c r="S880" s="228"/>
      <c r="T880" s="228"/>
      <c r="U880" s="228"/>
      <c r="V880" s="228"/>
      <c r="W880" s="228"/>
      <c r="X880" s="228"/>
      <c r="Y880" s="228"/>
      <c r="Z880" s="228"/>
      <c r="AA880" s="228"/>
      <c r="AB880" s="228"/>
      <c r="AC880" s="228"/>
      <c r="AD880" s="228"/>
      <c r="AE880" s="228"/>
      <c r="AF880" s="228"/>
      <c r="AG880" s="228"/>
      <c r="AH880" s="228"/>
      <c r="AI880" s="228"/>
      <c r="AJ880" s="228"/>
      <c r="AK880" s="228"/>
      <c r="AL880" s="228"/>
      <c r="AM880" s="228"/>
      <c r="AN880" s="228"/>
      <c r="AO880" s="228"/>
      <c r="AP880" s="228"/>
      <c r="AQ880" s="228"/>
      <c r="AR880" s="228"/>
      <c r="AS880" s="228"/>
      <c r="AT880" s="228"/>
      <c r="AU880" s="228"/>
      <c r="AV880" s="228"/>
      <c r="AW880" s="228"/>
      <c r="AX880" s="228"/>
      <c r="AY880" s="228"/>
      <c r="AZ880" s="228"/>
      <c r="BA880" s="228"/>
      <c r="BB880" s="228"/>
      <c r="BC880" s="228"/>
      <c r="BD880" s="228"/>
      <c r="BE880" s="228"/>
      <c r="BF880" s="228"/>
      <c r="BG880" s="228"/>
      <c r="BH880" s="228"/>
      <c r="BI880" s="228"/>
      <c r="BJ880" s="228"/>
      <c r="BK880" s="228"/>
      <c r="BL880" s="228"/>
      <c r="BM880" s="228"/>
      <c r="BN880" s="228"/>
      <c r="BO880" s="228"/>
      <c r="BP880" s="228"/>
      <c r="BQ880" s="228"/>
      <c r="BR880" s="228"/>
      <c r="BS880" s="228"/>
      <c r="BT880" s="228"/>
      <c r="BU880" s="228"/>
      <c r="BV880" s="228"/>
      <c r="BW880" s="228"/>
      <c r="BX880" s="228"/>
      <c r="BY880" s="228"/>
      <c r="BZ880" s="228"/>
      <c r="CA880" s="228"/>
      <c r="CB880" s="228"/>
      <c r="CC880" s="228"/>
      <c r="CD880" s="228"/>
      <c r="CE880" s="228"/>
      <c r="CF880" s="228"/>
      <c r="CG880" s="228"/>
      <c r="CH880" s="228"/>
      <c r="CI880" s="228"/>
      <c r="CJ880" s="228"/>
      <c r="CK880" s="228"/>
      <c r="CL880" s="228"/>
      <c r="CM880" s="228"/>
      <c r="CN880" s="228"/>
      <c r="CO880" s="228"/>
      <c r="CP880" s="228"/>
      <c r="CQ880" s="228"/>
      <c r="CR880" s="228"/>
      <c r="CS880" s="228"/>
      <c r="CT880" s="228"/>
      <c r="CU880" s="228"/>
      <c r="CV880" s="228"/>
      <c r="CW880" s="228"/>
      <c r="CX880" s="228"/>
      <c r="CY880" s="228"/>
      <c r="CZ880" s="228"/>
      <c r="DA880" s="228"/>
      <c r="DB880" s="228"/>
    </row>
    <row r="881" ht="12.0" customHeight="1">
      <c r="A881" s="228"/>
      <c r="B881" s="228"/>
      <c r="C881" s="228"/>
      <c r="D881" s="228"/>
      <c r="E881" s="228"/>
      <c r="F881" s="228"/>
      <c r="G881" s="228"/>
      <c r="H881" s="228"/>
      <c r="I881" s="228"/>
      <c r="J881" s="228"/>
      <c r="K881" s="228"/>
      <c r="L881" s="228"/>
      <c r="M881" s="228"/>
      <c r="N881" s="228"/>
      <c r="O881" s="228"/>
      <c r="P881" s="228"/>
      <c r="Q881" s="228"/>
      <c r="R881" s="228"/>
      <c r="S881" s="228"/>
      <c r="T881" s="228"/>
      <c r="U881" s="228"/>
      <c r="V881" s="228"/>
      <c r="W881" s="228"/>
      <c r="X881" s="228"/>
      <c r="Y881" s="228"/>
      <c r="Z881" s="228"/>
      <c r="AA881" s="228"/>
      <c r="AB881" s="228"/>
      <c r="AC881" s="228"/>
      <c r="AD881" s="228"/>
      <c r="AE881" s="228"/>
      <c r="AF881" s="228"/>
      <c r="AG881" s="228"/>
      <c r="AH881" s="228"/>
      <c r="AI881" s="228"/>
      <c r="AJ881" s="228"/>
      <c r="AK881" s="228"/>
      <c r="AL881" s="228"/>
      <c r="AM881" s="228"/>
      <c r="AN881" s="228"/>
      <c r="AO881" s="228"/>
      <c r="AP881" s="228"/>
      <c r="AQ881" s="228"/>
      <c r="AR881" s="228"/>
      <c r="AS881" s="228"/>
      <c r="AT881" s="228"/>
      <c r="AU881" s="228"/>
      <c r="AV881" s="228"/>
      <c r="AW881" s="228"/>
      <c r="AX881" s="228"/>
      <c r="AY881" s="228"/>
      <c r="AZ881" s="228"/>
      <c r="BA881" s="228"/>
      <c r="BB881" s="228"/>
      <c r="BC881" s="228"/>
      <c r="BD881" s="228"/>
      <c r="BE881" s="228"/>
      <c r="BF881" s="228"/>
      <c r="BG881" s="228"/>
      <c r="BH881" s="228"/>
      <c r="BI881" s="228"/>
      <c r="BJ881" s="228"/>
      <c r="BK881" s="228"/>
      <c r="BL881" s="228"/>
      <c r="BM881" s="228"/>
      <c r="BN881" s="228"/>
      <c r="BO881" s="228"/>
      <c r="BP881" s="228"/>
      <c r="BQ881" s="228"/>
      <c r="BR881" s="228"/>
      <c r="BS881" s="228"/>
      <c r="BT881" s="228"/>
      <c r="BU881" s="228"/>
      <c r="BV881" s="228"/>
      <c r="BW881" s="228"/>
      <c r="BX881" s="228"/>
      <c r="BY881" s="228"/>
      <c r="BZ881" s="228"/>
      <c r="CA881" s="228"/>
      <c r="CB881" s="228"/>
      <c r="CC881" s="228"/>
      <c r="CD881" s="228"/>
      <c r="CE881" s="228"/>
      <c r="CF881" s="228"/>
      <c r="CG881" s="228"/>
      <c r="CH881" s="228"/>
      <c r="CI881" s="228"/>
      <c r="CJ881" s="228"/>
      <c r="CK881" s="228"/>
      <c r="CL881" s="228"/>
      <c r="CM881" s="228"/>
      <c r="CN881" s="228"/>
      <c r="CO881" s="228"/>
      <c r="CP881" s="228"/>
      <c r="CQ881" s="228"/>
      <c r="CR881" s="228"/>
      <c r="CS881" s="228"/>
      <c r="CT881" s="228"/>
      <c r="CU881" s="228"/>
      <c r="CV881" s="228"/>
      <c r="CW881" s="228"/>
      <c r="CX881" s="228"/>
      <c r="CY881" s="228"/>
      <c r="CZ881" s="228"/>
      <c r="DA881" s="228"/>
      <c r="DB881" s="228"/>
    </row>
    <row r="882" ht="12.0" customHeight="1">
      <c r="A882" s="228"/>
      <c r="B882" s="228"/>
      <c r="C882" s="228"/>
      <c r="D882" s="228"/>
      <c r="E882" s="228"/>
      <c r="F882" s="228"/>
      <c r="G882" s="228"/>
      <c r="H882" s="228"/>
      <c r="I882" s="228"/>
      <c r="J882" s="228"/>
      <c r="K882" s="228"/>
      <c r="L882" s="228"/>
      <c r="M882" s="228"/>
      <c r="N882" s="228"/>
      <c r="O882" s="228"/>
      <c r="P882" s="228"/>
      <c r="Q882" s="228"/>
      <c r="R882" s="228"/>
      <c r="S882" s="228"/>
      <c r="T882" s="228"/>
      <c r="U882" s="228"/>
      <c r="V882" s="228"/>
      <c r="W882" s="228"/>
      <c r="X882" s="228"/>
      <c r="Y882" s="228"/>
      <c r="Z882" s="228"/>
      <c r="AA882" s="228"/>
      <c r="AB882" s="228"/>
      <c r="AC882" s="228"/>
      <c r="AD882" s="228"/>
      <c r="AE882" s="228"/>
      <c r="AF882" s="228"/>
      <c r="AG882" s="228"/>
      <c r="AH882" s="228"/>
      <c r="AI882" s="228"/>
      <c r="AJ882" s="228"/>
      <c r="AK882" s="228"/>
      <c r="AL882" s="228"/>
      <c r="AM882" s="228"/>
      <c r="AN882" s="228"/>
      <c r="AO882" s="228"/>
      <c r="AP882" s="228"/>
      <c r="AQ882" s="228"/>
      <c r="AR882" s="228"/>
      <c r="AS882" s="228"/>
      <c r="AT882" s="228"/>
      <c r="AU882" s="228"/>
      <c r="AV882" s="228"/>
      <c r="AW882" s="228"/>
      <c r="AX882" s="228"/>
      <c r="AY882" s="228"/>
      <c r="AZ882" s="228"/>
      <c r="BA882" s="228"/>
      <c r="BB882" s="228"/>
      <c r="BC882" s="228"/>
      <c r="BD882" s="228"/>
      <c r="BE882" s="228"/>
      <c r="BF882" s="228"/>
      <c r="BG882" s="228"/>
      <c r="BH882" s="228"/>
      <c r="BI882" s="228"/>
      <c r="BJ882" s="228"/>
      <c r="BK882" s="228"/>
      <c r="BL882" s="228"/>
      <c r="BM882" s="228"/>
      <c r="BN882" s="228"/>
      <c r="BO882" s="228"/>
      <c r="BP882" s="228"/>
      <c r="BQ882" s="228"/>
      <c r="BR882" s="228"/>
      <c r="BS882" s="228"/>
      <c r="BT882" s="228"/>
      <c r="BU882" s="228"/>
      <c r="BV882" s="228"/>
      <c r="BW882" s="228"/>
      <c r="BX882" s="228"/>
      <c r="BY882" s="228"/>
      <c r="BZ882" s="228"/>
      <c r="CA882" s="228"/>
      <c r="CB882" s="228"/>
      <c r="CC882" s="228"/>
      <c r="CD882" s="228"/>
      <c r="CE882" s="228"/>
      <c r="CF882" s="228"/>
      <c r="CG882" s="228"/>
      <c r="CH882" s="228"/>
      <c r="CI882" s="228"/>
      <c r="CJ882" s="228"/>
      <c r="CK882" s="228"/>
      <c r="CL882" s="228"/>
      <c r="CM882" s="228"/>
      <c r="CN882" s="228"/>
      <c r="CO882" s="228"/>
      <c r="CP882" s="228"/>
      <c r="CQ882" s="228"/>
      <c r="CR882" s="228"/>
      <c r="CS882" s="228"/>
      <c r="CT882" s="228"/>
      <c r="CU882" s="228"/>
      <c r="CV882" s="228"/>
      <c r="CW882" s="228"/>
      <c r="CX882" s="228"/>
      <c r="CY882" s="228"/>
      <c r="CZ882" s="228"/>
      <c r="DA882" s="228"/>
      <c r="DB882" s="228"/>
    </row>
    <row r="883" ht="12.0" customHeight="1">
      <c r="A883" s="228"/>
      <c r="B883" s="228"/>
      <c r="C883" s="228"/>
      <c r="D883" s="228"/>
      <c r="E883" s="228"/>
      <c r="F883" s="228"/>
      <c r="G883" s="228"/>
      <c r="H883" s="228"/>
      <c r="I883" s="228"/>
      <c r="J883" s="228"/>
      <c r="K883" s="228"/>
      <c r="L883" s="228"/>
      <c r="M883" s="228"/>
      <c r="N883" s="228"/>
      <c r="O883" s="228"/>
      <c r="P883" s="228"/>
      <c r="Q883" s="228"/>
      <c r="R883" s="228"/>
      <c r="S883" s="228"/>
      <c r="T883" s="228"/>
      <c r="U883" s="228"/>
      <c r="V883" s="228"/>
      <c r="W883" s="228"/>
      <c r="X883" s="228"/>
      <c r="Y883" s="228"/>
      <c r="Z883" s="228"/>
      <c r="AA883" s="228"/>
      <c r="AB883" s="228"/>
      <c r="AC883" s="228"/>
      <c r="AD883" s="228"/>
      <c r="AE883" s="228"/>
      <c r="AF883" s="228"/>
      <c r="AG883" s="228"/>
      <c r="AH883" s="228"/>
      <c r="AI883" s="228"/>
      <c r="AJ883" s="228"/>
      <c r="AK883" s="228"/>
      <c r="AL883" s="228"/>
      <c r="AM883" s="228"/>
      <c r="AN883" s="228"/>
      <c r="AO883" s="228"/>
      <c r="AP883" s="228"/>
      <c r="AQ883" s="228"/>
      <c r="AR883" s="228"/>
      <c r="AS883" s="228"/>
      <c r="AT883" s="228"/>
      <c r="AU883" s="228"/>
      <c r="AV883" s="228"/>
      <c r="AW883" s="228"/>
      <c r="AX883" s="228"/>
      <c r="AY883" s="228"/>
      <c r="AZ883" s="228"/>
      <c r="BA883" s="228"/>
      <c r="BB883" s="228"/>
      <c r="BC883" s="228"/>
      <c r="BD883" s="228"/>
      <c r="BE883" s="228"/>
      <c r="BF883" s="228"/>
      <c r="BG883" s="228"/>
      <c r="BH883" s="228"/>
      <c r="BI883" s="228"/>
      <c r="BJ883" s="228"/>
      <c r="BK883" s="228"/>
      <c r="BL883" s="228"/>
      <c r="BM883" s="228"/>
      <c r="BN883" s="228"/>
      <c r="BO883" s="228"/>
      <c r="BP883" s="228"/>
      <c r="BQ883" s="228"/>
      <c r="BR883" s="228"/>
      <c r="BS883" s="228"/>
      <c r="BT883" s="228"/>
      <c r="BU883" s="228"/>
      <c r="BV883" s="228"/>
      <c r="BW883" s="228"/>
      <c r="BX883" s="228"/>
      <c r="BY883" s="228"/>
      <c r="BZ883" s="228"/>
      <c r="CA883" s="228"/>
      <c r="CB883" s="228"/>
      <c r="CC883" s="228"/>
      <c r="CD883" s="228"/>
      <c r="CE883" s="228"/>
      <c r="CF883" s="228"/>
      <c r="CG883" s="228"/>
      <c r="CH883" s="228"/>
      <c r="CI883" s="228"/>
      <c r="CJ883" s="228"/>
      <c r="CK883" s="228"/>
      <c r="CL883" s="228"/>
      <c r="CM883" s="228"/>
      <c r="CN883" s="228"/>
      <c r="CO883" s="228"/>
      <c r="CP883" s="228"/>
      <c r="CQ883" s="228"/>
      <c r="CR883" s="228"/>
      <c r="CS883" s="228"/>
      <c r="CT883" s="228"/>
      <c r="CU883" s="228"/>
      <c r="CV883" s="228"/>
      <c r="CW883" s="228"/>
      <c r="CX883" s="228"/>
      <c r="CY883" s="228"/>
      <c r="CZ883" s="228"/>
      <c r="DA883" s="228"/>
      <c r="DB883" s="228"/>
    </row>
    <row r="884" ht="12.0" customHeight="1">
      <c r="A884" s="228"/>
      <c r="B884" s="228"/>
      <c r="C884" s="228"/>
      <c r="D884" s="228"/>
      <c r="E884" s="228"/>
      <c r="F884" s="228"/>
      <c r="G884" s="228"/>
      <c r="H884" s="228"/>
      <c r="I884" s="228"/>
      <c r="J884" s="228"/>
      <c r="K884" s="228"/>
      <c r="L884" s="228"/>
      <c r="M884" s="228"/>
      <c r="N884" s="228"/>
      <c r="O884" s="228"/>
      <c r="P884" s="228"/>
      <c r="Q884" s="228"/>
      <c r="R884" s="228"/>
      <c r="S884" s="228"/>
      <c r="T884" s="228"/>
      <c r="U884" s="228"/>
      <c r="V884" s="228"/>
      <c r="W884" s="228"/>
      <c r="X884" s="228"/>
      <c r="Y884" s="228"/>
      <c r="Z884" s="228"/>
      <c r="AA884" s="228"/>
      <c r="AB884" s="228"/>
      <c r="AC884" s="228"/>
      <c r="AD884" s="228"/>
      <c r="AE884" s="228"/>
      <c r="AF884" s="228"/>
      <c r="AG884" s="228"/>
      <c r="AH884" s="228"/>
      <c r="AI884" s="228"/>
      <c r="AJ884" s="228"/>
      <c r="AK884" s="228"/>
      <c r="AL884" s="228"/>
      <c r="AM884" s="228"/>
      <c r="AN884" s="228"/>
      <c r="AO884" s="228"/>
      <c r="AP884" s="228"/>
      <c r="AQ884" s="228"/>
      <c r="AR884" s="228"/>
      <c r="AS884" s="228"/>
      <c r="AT884" s="228"/>
      <c r="AU884" s="228"/>
      <c r="AV884" s="228"/>
      <c r="AW884" s="228"/>
      <c r="AX884" s="228"/>
      <c r="AY884" s="228"/>
      <c r="AZ884" s="228"/>
      <c r="BA884" s="228"/>
      <c r="BB884" s="228"/>
      <c r="BC884" s="228"/>
      <c r="BD884" s="228"/>
      <c r="BE884" s="228"/>
      <c r="BF884" s="228"/>
      <c r="BG884" s="228"/>
      <c r="BH884" s="228"/>
      <c r="BI884" s="228"/>
      <c r="BJ884" s="228"/>
      <c r="BK884" s="228"/>
      <c r="BL884" s="228"/>
      <c r="BM884" s="228"/>
      <c r="BN884" s="228"/>
      <c r="BO884" s="228"/>
      <c r="BP884" s="228"/>
      <c r="BQ884" s="228"/>
      <c r="BR884" s="228"/>
      <c r="BS884" s="228"/>
      <c r="BT884" s="228"/>
      <c r="BU884" s="228"/>
      <c r="BV884" s="228"/>
      <c r="BW884" s="228"/>
      <c r="BX884" s="228"/>
      <c r="BY884" s="228"/>
      <c r="BZ884" s="228"/>
      <c r="CA884" s="228"/>
      <c r="CB884" s="228"/>
      <c r="CC884" s="228"/>
      <c r="CD884" s="228"/>
      <c r="CE884" s="228"/>
      <c r="CF884" s="228"/>
      <c r="CG884" s="228"/>
      <c r="CH884" s="228"/>
      <c r="CI884" s="228"/>
      <c r="CJ884" s="228"/>
      <c r="CK884" s="228"/>
      <c r="CL884" s="228"/>
      <c r="CM884" s="228"/>
      <c r="CN884" s="228"/>
      <c r="CO884" s="228"/>
      <c r="CP884" s="228"/>
      <c r="CQ884" s="228"/>
      <c r="CR884" s="228"/>
      <c r="CS884" s="228"/>
      <c r="CT884" s="228"/>
      <c r="CU884" s="228"/>
      <c r="CV884" s="228"/>
      <c r="CW884" s="228"/>
      <c r="CX884" s="228"/>
      <c r="CY884" s="228"/>
      <c r="CZ884" s="228"/>
      <c r="DA884" s="228"/>
      <c r="DB884" s="228"/>
    </row>
    <row r="885" ht="12.0" customHeight="1">
      <c r="A885" s="228"/>
      <c r="B885" s="228"/>
      <c r="C885" s="228"/>
      <c r="D885" s="228"/>
      <c r="E885" s="228"/>
      <c r="F885" s="228"/>
      <c r="G885" s="228"/>
      <c r="H885" s="228"/>
      <c r="I885" s="228"/>
      <c r="J885" s="228"/>
      <c r="K885" s="228"/>
      <c r="L885" s="228"/>
      <c r="M885" s="228"/>
      <c r="N885" s="228"/>
      <c r="O885" s="228"/>
      <c r="P885" s="228"/>
      <c r="Q885" s="228"/>
      <c r="R885" s="228"/>
      <c r="S885" s="228"/>
      <c r="T885" s="228"/>
      <c r="U885" s="228"/>
      <c r="V885" s="228"/>
      <c r="W885" s="228"/>
      <c r="X885" s="228"/>
      <c r="Y885" s="228"/>
      <c r="Z885" s="228"/>
      <c r="AA885" s="228"/>
      <c r="AB885" s="228"/>
      <c r="AC885" s="228"/>
      <c r="AD885" s="228"/>
      <c r="AE885" s="228"/>
      <c r="AF885" s="228"/>
      <c r="AG885" s="228"/>
      <c r="AH885" s="228"/>
      <c r="AI885" s="228"/>
      <c r="AJ885" s="228"/>
      <c r="AK885" s="228"/>
      <c r="AL885" s="228"/>
      <c r="AM885" s="228"/>
      <c r="AN885" s="228"/>
      <c r="AO885" s="228"/>
      <c r="AP885" s="228"/>
      <c r="AQ885" s="228"/>
      <c r="AR885" s="228"/>
      <c r="AS885" s="228"/>
      <c r="AT885" s="228"/>
      <c r="AU885" s="228"/>
      <c r="AV885" s="228"/>
      <c r="AW885" s="228"/>
      <c r="AX885" s="228"/>
      <c r="AY885" s="228"/>
      <c r="AZ885" s="228"/>
      <c r="BA885" s="228"/>
      <c r="BB885" s="228"/>
      <c r="BC885" s="228"/>
      <c r="BD885" s="228"/>
      <c r="BE885" s="228"/>
      <c r="BF885" s="228"/>
      <c r="BG885" s="228"/>
      <c r="BH885" s="228"/>
      <c r="BI885" s="228"/>
      <c r="BJ885" s="228"/>
      <c r="BK885" s="228"/>
      <c r="BL885" s="228"/>
      <c r="BM885" s="228"/>
      <c r="BN885" s="228"/>
      <c r="BO885" s="228"/>
      <c r="BP885" s="228"/>
      <c r="BQ885" s="228"/>
      <c r="BR885" s="228"/>
      <c r="BS885" s="228"/>
      <c r="BT885" s="228"/>
      <c r="BU885" s="228"/>
      <c r="BV885" s="228"/>
      <c r="BW885" s="228"/>
      <c r="BX885" s="228"/>
      <c r="BY885" s="228"/>
      <c r="BZ885" s="228"/>
      <c r="CA885" s="228"/>
      <c r="CB885" s="228"/>
      <c r="CC885" s="228"/>
      <c r="CD885" s="228"/>
      <c r="CE885" s="228"/>
      <c r="CF885" s="228"/>
      <c r="CG885" s="228"/>
      <c r="CH885" s="228"/>
      <c r="CI885" s="228"/>
      <c r="CJ885" s="228"/>
      <c r="CK885" s="228"/>
      <c r="CL885" s="228"/>
      <c r="CM885" s="228"/>
      <c r="CN885" s="228"/>
      <c r="CO885" s="228"/>
      <c r="CP885" s="228"/>
      <c r="CQ885" s="228"/>
      <c r="CR885" s="228"/>
      <c r="CS885" s="228"/>
      <c r="CT885" s="228"/>
      <c r="CU885" s="228"/>
      <c r="CV885" s="228"/>
      <c r="CW885" s="228"/>
      <c r="CX885" s="228"/>
      <c r="CY885" s="228"/>
      <c r="CZ885" s="228"/>
      <c r="DA885" s="228"/>
      <c r="DB885" s="228"/>
    </row>
    <row r="886" ht="12.0" customHeight="1">
      <c r="A886" s="228"/>
      <c r="B886" s="228"/>
      <c r="C886" s="228"/>
      <c r="D886" s="228"/>
      <c r="E886" s="228"/>
      <c r="F886" s="228"/>
      <c r="G886" s="228"/>
      <c r="H886" s="228"/>
      <c r="I886" s="228"/>
      <c r="J886" s="228"/>
      <c r="K886" s="228"/>
      <c r="L886" s="228"/>
      <c r="M886" s="228"/>
      <c r="N886" s="228"/>
      <c r="O886" s="228"/>
      <c r="P886" s="228"/>
      <c r="Q886" s="228"/>
      <c r="R886" s="228"/>
      <c r="S886" s="228"/>
      <c r="T886" s="228"/>
      <c r="U886" s="228"/>
      <c r="V886" s="228"/>
      <c r="W886" s="228"/>
      <c r="X886" s="228"/>
      <c r="Y886" s="228"/>
      <c r="Z886" s="228"/>
      <c r="AA886" s="228"/>
      <c r="AB886" s="228"/>
      <c r="AC886" s="228"/>
      <c r="AD886" s="228"/>
      <c r="AE886" s="228"/>
      <c r="AF886" s="228"/>
      <c r="AG886" s="228"/>
      <c r="AH886" s="228"/>
      <c r="AI886" s="228"/>
      <c r="AJ886" s="228"/>
      <c r="AK886" s="228"/>
      <c r="AL886" s="228"/>
      <c r="AM886" s="228"/>
      <c r="AN886" s="228"/>
      <c r="AO886" s="228"/>
      <c r="AP886" s="228"/>
      <c r="AQ886" s="228"/>
      <c r="AR886" s="228"/>
      <c r="AS886" s="228"/>
      <c r="AT886" s="228"/>
      <c r="AU886" s="228"/>
      <c r="AV886" s="228"/>
      <c r="AW886" s="228"/>
      <c r="AX886" s="228"/>
      <c r="AY886" s="228"/>
      <c r="AZ886" s="228"/>
      <c r="BA886" s="228"/>
      <c r="BB886" s="228"/>
      <c r="BC886" s="228"/>
      <c r="BD886" s="228"/>
      <c r="BE886" s="228"/>
      <c r="BF886" s="228"/>
      <c r="BG886" s="228"/>
      <c r="BH886" s="228"/>
      <c r="BI886" s="228"/>
      <c r="BJ886" s="228"/>
      <c r="BK886" s="228"/>
      <c r="BL886" s="228"/>
      <c r="BM886" s="228"/>
      <c r="BN886" s="228"/>
      <c r="BO886" s="228"/>
      <c r="BP886" s="228"/>
      <c r="BQ886" s="228"/>
      <c r="BR886" s="228"/>
      <c r="BS886" s="228"/>
      <c r="BT886" s="228"/>
      <c r="BU886" s="228"/>
      <c r="BV886" s="228"/>
      <c r="BW886" s="228"/>
      <c r="BX886" s="228"/>
      <c r="BY886" s="228"/>
      <c r="BZ886" s="228"/>
      <c r="CA886" s="228"/>
      <c r="CB886" s="228"/>
      <c r="CC886" s="228"/>
      <c r="CD886" s="228"/>
      <c r="CE886" s="228"/>
      <c r="CF886" s="228"/>
      <c r="CG886" s="228"/>
      <c r="CH886" s="228"/>
      <c r="CI886" s="228"/>
      <c r="CJ886" s="228"/>
      <c r="CK886" s="228"/>
      <c r="CL886" s="228"/>
      <c r="CM886" s="228"/>
      <c r="CN886" s="228"/>
      <c r="CO886" s="228"/>
      <c r="CP886" s="228"/>
      <c r="CQ886" s="228"/>
      <c r="CR886" s="228"/>
      <c r="CS886" s="228"/>
      <c r="CT886" s="228"/>
      <c r="CU886" s="228"/>
      <c r="CV886" s="228"/>
      <c r="CW886" s="228"/>
      <c r="CX886" s="228"/>
      <c r="CY886" s="228"/>
      <c r="CZ886" s="228"/>
      <c r="DA886" s="228"/>
      <c r="DB886" s="228"/>
    </row>
    <row r="887" ht="12.0" customHeight="1">
      <c r="A887" s="228"/>
      <c r="B887" s="228"/>
      <c r="C887" s="228"/>
      <c r="D887" s="228"/>
      <c r="E887" s="228"/>
      <c r="F887" s="228"/>
      <c r="G887" s="228"/>
      <c r="H887" s="228"/>
      <c r="I887" s="228"/>
      <c r="J887" s="228"/>
      <c r="K887" s="228"/>
      <c r="L887" s="228"/>
      <c r="M887" s="228"/>
      <c r="N887" s="228"/>
      <c r="O887" s="228"/>
      <c r="P887" s="228"/>
      <c r="Q887" s="228"/>
      <c r="R887" s="228"/>
      <c r="S887" s="228"/>
      <c r="T887" s="228"/>
      <c r="U887" s="228"/>
      <c r="V887" s="228"/>
      <c r="W887" s="228"/>
      <c r="X887" s="228"/>
      <c r="Y887" s="228"/>
      <c r="Z887" s="228"/>
      <c r="AA887" s="228"/>
      <c r="AB887" s="228"/>
      <c r="AC887" s="228"/>
      <c r="AD887" s="228"/>
      <c r="AE887" s="228"/>
      <c r="AF887" s="228"/>
      <c r="AG887" s="228"/>
      <c r="AH887" s="228"/>
      <c r="AI887" s="228"/>
      <c r="AJ887" s="228"/>
      <c r="AK887" s="228"/>
      <c r="AL887" s="228"/>
      <c r="AM887" s="228"/>
      <c r="AN887" s="228"/>
      <c r="AO887" s="228"/>
      <c r="AP887" s="228"/>
      <c r="AQ887" s="228"/>
      <c r="AR887" s="228"/>
      <c r="AS887" s="228"/>
      <c r="AT887" s="228"/>
      <c r="AU887" s="228"/>
      <c r="AV887" s="228"/>
      <c r="AW887" s="228"/>
      <c r="AX887" s="228"/>
      <c r="AY887" s="228"/>
      <c r="AZ887" s="228"/>
      <c r="BA887" s="228"/>
      <c r="BB887" s="228"/>
      <c r="BC887" s="228"/>
      <c r="BD887" s="228"/>
      <c r="BE887" s="228"/>
      <c r="BF887" s="228"/>
      <c r="BG887" s="228"/>
      <c r="BH887" s="228"/>
      <c r="BI887" s="228"/>
      <c r="BJ887" s="228"/>
      <c r="BK887" s="228"/>
      <c r="BL887" s="228"/>
      <c r="BM887" s="228"/>
      <c r="BN887" s="228"/>
      <c r="BO887" s="228"/>
      <c r="BP887" s="228"/>
      <c r="BQ887" s="228"/>
      <c r="BR887" s="228"/>
      <c r="BS887" s="228"/>
      <c r="BT887" s="228"/>
      <c r="BU887" s="228"/>
      <c r="BV887" s="228"/>
      <c r="BW887" s="228"/>
      <c r="BX887" s="228"/>
      <c r="BY887" s="228"/>
      <c r="BZ887" s="228"/>
      <c r="CA887" s="228"/>
      <c r="CB887" s="228"/>
      <c r="CC887" s="228"/>
      <c r="CD887" s="228"/>
      <c r="CE887" s="228"/>
      <c r="CF887" s="228"/>
      <c r="CG887" s="228"/>
      <c r="CH887" s="228"/>
      <c r="CI887" s="228"/>
      <c r="CJ887" s="228"/>
      <c r="CK887" s="228"/>
      <c r="CL887" s="228"/>
      <c r="CM887" s="228"/>
      <c r="CN887" s="228"/>
      <c r="CO887" s="228"/>
      <c r="CP887" s="228"/>
      <c r="CQ887" s="228"/>
      <c r="CR887" s="228"/>
      <c r="CS887" s="228"/>
      <c r="CT887" s="228"/>
      <c r="CU887" s="228"/>
      <c r="CV887" s="228"/>
      <c r="CW887" s="228"/>
      <c r="CX887" s="228"/>
      <c r="CY887" s="228"/>
      <c r="CZ887" s="228"/>
      <c r="DA887" s="228"/>
      <c r="DB887" s="228"/>
    </row>
    <row r="888" ht="12.0" customHeight="1">
      <c r="A888" s="228"/>
      <c r="B888" s="228"/>
      <c r="C888" s="228"/>
      <c r="D888" s="228"/>
      <c r="E888" s="228"/>
      <c r="F888" s="228"/>
      <c r="G888" s="228"/>
      <c r="H888" s="228"/>
      <c r="I888" s="228"/>
      <c r="J888" s="228"/>
      <c r="K888" s="228"/>
      <c r="L888" s="228"/>
      <c r="M888" s="228"/>
      <c r="N888" s="228"/>
      <c r="O888" s="228"/>
      <c r="P888" s="228"/>
      <c r="Q888" s="228"/>
      <c r="R888" s="228"/>
      <c r="S888" s="228"/>
      <c r="T888" s="228"/>
      <c r="U888" s="228"/>
      <c r="V888" s="228"/>
      <c r="W888" s="228"/>
      <c r="X888" s="228"/>
      <c r="Y888" s="228"/>
      <c r="Z888" s="228"/>
      <c r="AA888" s="228"/>
      <c r="AB888" s="228"/>
      <c r="AC888" s="228"/>
      <c r="AD888" s="228"/>
      <c r="AE888" s="228"/>
      <c r="AF888" s="228"/>
      <c r="AG888" s="228"/>
      <c r="AH888" s="228"/>
      <c r="AI888" s="228"/>
      <c r="AJ888" s="228"/>
      <c r="AK888" s="228"/>
      <c r="AL888" s="228"/>
      <c r="AM888" s="228"/>
      <c r="AN888" s="228"/>
      <c r="AO888" s="228"/>
      <c r="AP888" s="228"/>
      <c r="AQ888" s="228"/>
      <c r="AR888" s="228"/>
      <c r="AS888" s="228"/>
      <c r="AT888" s="228"/>
      <c r="AU888" s="228"/>
      <c r="AV888" s="228"/>
      <c r="AW888" s="228"/>
      <c r="AX888" s="228"/>
      <c r="AY888" s="228"/>
      <c r="AZ888" s="228"/>
      <c r="BA888" s="228"/>
      <c r="BB888" s="228"/>
      <c r="BC888" s="228"/>
      <c r="BD888" s="228"/>
      <c r="BE888" s="228"/>
      <c r="BF888" s="228"/>
      <c r="BG888" s="228"/>
      <c r="BH888" s="228"/>
      <c r="BI888" s="228"/>
      <c r="BJ888" s="228"/>
      <c r="BK888" s="228"/>
      <c r="BL888" s="228"/>
      <c r="BM888" s="228"/>
      <c r="BN888" s="228"/>
      <c r="BO888" s="228"/>
      <c r="BP888" s="228"/>
      <c r="BQ888" s="228"/>
      <c r="BR888" s="228"/>
      <c r="BS888" s="228"/>
      <c r="BT888" s="228"/>
      <c r="BU888" s="228"/>
      <c r="BV888" s="228"/>
      <c r="BW888" s="228"/>
      <c r="BX888" s="228"/>
      <c r="BY888" s="228"/>
      <c r="BZ888" s="228"/>
      <c r="CA888" s="228"/>
      <c r="CB888" s="228"/>
      <c r="CC888" s="228"/>
      <c r="CD888" s="228"/>
      <c r="CE888" s="228"/>
      <c r="CF888" s="228"/>
      <c r="CG888" s="228"/>
      <c r="CH888" s="228"/>
      <c r="CI888" s="228"/>
      <c r="CJ888" s="228"/>
      <c r="CK888" s="228"/>
      <c r="CL888" s="228"/>
      <c r="CM888" s="228"/>
      <c r="CN888" s="228"/>
      <c r="CO888" s="228"/>
      <c r="CP888" s="228"/>
      <c r="CQ888" s="228"/>
      <c r="CR888" s="228"/>
      <c r="CS888" s="228"/>
      <c r="CT888" s="228"/>
      <c r="CU888" s="228"/>
      <c r="CV888" s="228"/>
      <c r="CW888" s="228"/>
      <c r="CX888" s="228"/>
      <c r="CY888" s="228"/>
      <c r="CZ888" s="228"/>
      <c r="DA888" s="228"/>
      <c r="DB888" s="228"/>
    </row>
    <row r="889" ht="12.0" customHeight="1">
      <c r="A889" s="228"/>
      <c r="B889" s="228"/>
      <c r="C889" s="228"/>
      <c r="D889" s="228"/>
      <c r="E889" s="228"/>
      <c r="F889" s="228"/>
      <c r="G889" s="228"/>
      <c r="H889" s="228"/>
      <c r="I889" s="228"/>
      <c r="J889" s="228"/>
      <c r="K889" s="228"/>
      <c r="L889" s="228"/>
      <c r="M889" s="228"/>
      <c r="N889" s="228"/>
      <c r="O889" s="228"/>
      <c r="P889" s="228"/>
      <c r="Q889" s="228"/>
      <c r="R889" s="228"/>
      <c r="S889" s="228"/>
      <c r="T889" s="228"/>
      <c r="U889" s="228"/>
      <c r="V889" s="228"/>
      <c r="W889" s="228"/>
      <c r="X889" s="228"/>
      <c r="Y889" s="228"/>
      <c r="Z889" s="228"/>
      <c r="AA889" s="228"/>
      <c r="AB889" s="228"/>
      <c r="AC889" s="228"/>
      <c r="AD889" s="228"/>
      <c r="AE889" s="228"/>
      <c r="AF889" s="228"/>
      <c r="AG889" s="228"/>
      <c r="AH889" s="228"/>
      <c r="AI889" s="228"/>
      <c r="AJ889" s="228"/>
      <c r="AK889" s="228"/>
      <c r="AL889" s="228"/>
      <c r="AM889" s="228"/>
      <c r="AN889" s="228"/>
      <c r="AO889" s="228"/>
      <c r="AP889" s="228"/>
      <c r="AQ889" s="228"/>
      <c r="AR889" s="228"/>
      <c r="AS889" s="228"/>
      <c r="AT889" s="228"/>
      <c r="AU889" s="228"/>
      <c r="AV889" s="228"/>
      <c r="AW889" s="228"/>
      <c r="AX889" s="228"/>
      <c r="AY889" s="228"/>
      <c r="AZ889" s="228"/>
      <c r="BA889" s="228"/>
      <c r="BB889" s="228"/>
      <c r="BC889" s="228"/>
      <c r="BD889" s="228"/>
      <c r="BE889" s="228"/>
      <c r="BF889" s="228"/>
      <c r="BG889" s="228"/>
      <c r="BH889" s="228"/>
      <c r="BI889" s="228"/>
      <c r="BJ889" s="228"/>
      <c r="BK889" s="228"/>
      <c r="BL889" s="228"/>
      <c r="BM889" s="228"/>
      <c r="BN889" s="228"/>
      <c r="BO889" s="228"/>
      <c r="BP889" s="228"/>
      <c r="BQ889" s="228"/>
      <c r="BR889" s="228"/>
      <c r="BS889" s="228"/>
      <c r="BT889" s="228"/>
      <c r="BU889" s="228"/>
      <c r="BV889" s="228"/>
      <c r="BW889" s="228"/>
      <c r="BX889" s="228"/>
      <c r="BY889" s="228"/>
      <c r="BZ889" s="228"/>
      <c r="CA889" s="228"/>
      <c r="CB889" s="228"/>
      <c r="CC889" s="228"/>
      <c r="CD889" s="228"/>
      <c r="CE889" s="228"/>
      <c r="CF889" s="228"/>
      <c r="CG889" s="228"/>
      <c r="CH889" s="228"/>
      <c r="CI889" s="228"/>
      <c r="CJ889" s="228"/>
      <c r="CK889" s="228"/>
      <c r="CL889" s="228"/>
      <c r="CM889" s="228"/>
      <c r="CN889" s="228"/>
      <c r="CO889" s="228"/>
      <c r="CP889" s="228"/>
      <c r="CQ889" s="228"/>
      <c r="CR889" s="228"/>
      <c r="CS889" s="228"/>
      <c r="CT889" s="228"/>
      <c r="CU889" s="228"/>
      <c r="CV889" s="228"/>
      <c r="CW889" s="228"/>
      <c r="CX889" s="228"/>
      <c r="CY889" s="228"/>
      <c r="CZ889" s="228"/>
      <c r="DA889" s="228"/>
      <c r="DB889" s="228"/>
    </row>
    <row r="890" ht="12.0" customHeight="1">
      <c r="A890" s="228"/>
      <c r="B890" s="228"/>
      <c r="C890" s="228"/>
      <c r="D890" s="228"/>
      <c r="E890" s="228"/>
      <c r="F890" s="228"/>
      <c r="G890" s="228"/>
      <c r="H890" s="228"/>
      <c r="I890" s="228"/>
      <c r="J890" s="228"/>
      <c r="K890" s="228"/>
      <c r="L890" s="228"/>
      <c r="M890" s="228"/>
      <c r="N890" s="228"/>
      <c r="O890" s="228"/>
      <c r="P890" s="228"/>
      <c r="Q890" s="228"/>
      <c r="R890" s="228"/>
      <c r="S890" s="228"/>
      <c r="T890" s="228"/>
      <c r="U890" s="228"/>
      <c r="V890" s="228"/>
      <c r="W890" s="228"/>
      <c r="X890" s="228"/>
      <c r="Y890" s="228"/>
      <c r="Z890" s="228"/>
      <c r="AA890" s="228"/>
      <c r="AB890" s="228"/>
      <c r="AC890" s="228"/>
      <c r="AD890" s="228"/>
      <c r="AE890" s="228"/>
      <c r="AF890" s="228"/>
      <c r="AG890" s="228"/>
      <c r="AH890" s="228"/>
      <c r="AI890" s="228"/>
      <c r="AJ890" s="228"/>
      <c r="AK890" s="228"/>
      <c r="AL890" s="228"/>
      <c r="AM890" s="228"/>
      <c r="AN890" s="228"/>
      <c r="AO890" s="228"/>
      <c r="AP890" s="228"/>
      <c r="AQ890" s="228"/>
      <c r="AR890" s="228"/>
      <c r="AS890" s="228"/>
      <c r="AT890" s="228"/>
      <c r="AU890" s="228"/>
      <c r="AV890" s="228"/>
      <c r="AW890" s="228"/>
      <c r="AX890" s="228"/>
      <c r="AY890" s="228"/>
      <c r="AZ890" s="228"/>
      <c r="BA890" s="228"/>
      <c r="BB890" s="228"/>
      <c r="BC890" s="228"/>
      <c r="BD890" s="228"/>
      <c r="BE890" s="228"/>
      <c r="BF890" s="228"/>
      <c r="BG890" s="228"/>
      <c r="BH890" s="228"/>
      <c r="BI890" s="228"/>
      <c r="BJ890" s="228"/>
      <c r="BK890" s="228"/>
      <c r="BL890" s="228"/>
      <c r="BM890" s="228"/>
      <c r="BN890" s="228"/>
      <c r="BO890" s="228"/>
      <c r="BP890" s="228"/>
      <c r="BQ890" s="228"/>
      <c r="BR890" s="228"/>
      <c r="BS890" s="228"/>
      <c r="BT890" s="228"/>
      <c r="BU890" s="228"/>
      <c r="BV890" s="228"/>
      <c r="BW890" s="228"/>
      <c r="BX890" s="228"/>
      <c r="BY890" s="228"/>
      <c r="BZ890" s="228"/>
      <c r="CA890" s="228"/>
      <c r="CB890" s="228"/>
      <c r="CC890" s="228"/>
      <c r="CD890" s="228"/>
      <c r="CE890" s="228"/>
      <c r="CF890" s="228"/>
      <c r="CG890" s="228"/>
      <c r="CH890" s="228"/>
      <c r="CI890" s="228"/>
      <c r="CJ890" s="228"/>
      <c r="CK890" s="228"/>
      <c r="CL890" s="228"/>
      <c r="CM890" s="228"/>
      <c r="CN890" s="228"/>
      <c r="CO890" s="228"/>
      <c r="CP890" s="228"/>
      <c r="CQ890" s="228"/>
      <c r="CR890" s="228"/>
      <c r="CS890" s="228"/>
      <c r="CT890" s="228"/>
      <c r="CU890" s="228"/>
      <c r="CV890" s="228"/>
      <c r="CW890" s="228"/>
      <c r="CX890" s="228"/>
      <c r="CY890" s="228"/>
      <c r="CZ890" s="228"/>
      <c r="DA890" s="228"/>
      <c r="DB890" s="228"/>
    </row>
    <row r="891" ht="12.0" customHeight="1">
      <c r="A891" s="228"/>
      <c r="B891" s="228"/>
      <c r="C891" s="228"/>
      <c r="D891" s="228"/>
      <c r="E891" s="228"/>
      <c r="F891" s="228"/>
      <c r="G891" s="228"/>
      <c r="H891" s="228"/>
      <c r="I891" s="228"/>
      <c r="J891" s="228"/>
      <c r="K891" s="228"/>
      <c r="L891" s="228"/>
      <c r="M891" s="228"/>
      <c r="N891" s="228"/>
      <c r="O891" s="228"/>
      <c r="P891" s="228"/>
      <c r="Q891" s="228"/>
      <c r="R891" s="228"/>
      <c r="S891" s="228"/>
      <c r="T891" s="228"/>
      <c r="U891" s="228"/>
      <c r="V891" s="228"/>
      <c r="W891" s="228"/>
      <c r="X891" s="228"/>
      <c r="Y891" s="228"/>
      <c r="Z891" s="228"/>
      <c r="AA891" s="228"/>
      <c r="AB891" s="228"/>
      <c r="AC891" s="228"/>
      <c r="AD891" s="228"/>
      <c r="AE891" s="228"/>
      <c r="AF891" s="228"/>
      <c r="AG891" s="228"/>
      <c r="AH891" s="228"/>
      <c r="AI891" s="228"/>
      <c r="AJ891" s="228"/>
      <c r="AK891" s="228"/>
      <c r="AL891" s="228"/>
      <c r="AM891" s="228"/>
      <c r="AN891" s="228"/>
      <c r="AO891" s="228"/>
      <c r="AP891" s="228"/>
      <c r="AQ891" s="228"/>
      <c r="AR891" s="228"/>
      <c r="AS891" s="228"/>
      <c r="AT891" s="228"/>
      <c r="AU891" s="228"/>
      <c r="AV891" s="228"/>
      <c r="AW891" s="228"/>
      <c r="AX891" s="228"/>
      <c r="AY891" s="228"/>
      <c r="AZ891" s="228"/>
      <c r="BA891" s="228"/>
      <c r="BB891" s="228"/>
      <c r="BC891" s="228"/>
      <c r="BD891" s="228"/>
      <c r="BE891" s="228"/>
      <c r="BF891" s="228"/>
      <c r="BG891" s="228"/>
      <c r="BH891" s="228"/>
      <c r="BI891" s="228"/>
      <c r="BJ891" s="228"/>
      <c r="BK891" s="228"/>
      <c r="BL891" s="228"/>
      <c r="BM891" s="228"/>
      <c r="BN891" s="228"/>
      <c r="BO891" s="228"/>
      <c r="BP891" s="228"/>
      <c r="BQ891" s="228"/>
      <c r="BR891" s="228"/>
      <c r="BS891" s="228"/>
      <c r="BT891" s="228"/>
      <c r="BU891" s="228"/>
      <c r="BV891" s="228"/>
      <c r="BW891" s="228"/>
      <c r="BX891" s="228"/>
      <c r="BY891" s="228"/>
      <c r="BZ891" s="228"/>
      <c r="CA891" s="228"/>
      <c r="CB891" s="228"/>
      <c r="CC891" s="228"/>
      <c r="CD891" s="228"/>
      <c r="CE891" s="228"/>
      <c r="CF891" s="228"/>
      <c r="CG891" s="228"/>
      <c r="CH891" s="228"/>
      <c r="CI891" s="228"/>
      <c r="CJ891" s="228"/>
      <c r="CK891" s="228"/>
      <c r="CL891" s="228"/>
      <c r="CM891" s="228"/>
      <c r="CN891" s="228"/>
      <c r="CO891" s="228"/>
      <c r="CP891" s="228"/>
      <c r="CQ891" s="228"/>
      <c r="CR891" s="228"/>
      <c r="CS891" s="228"/>
      <c r="CT891" s="228"/>
      <c r="CU891" s="228"/>
      <c r="CV891" s="228"/>
      <c r="CW891" s="228"/>
      <c r="CX891" s="228"/>
      <c r="CY891" s="228"/>
      <c r="CZ891" s="228"/>
      <c r="DA891" s="228"/>
      <c r="DB891" s="228"/>
    </row>
    <row r="892" ht="12.0" customHeight="1">
      <c r="A892" s="228"/>
      <c r="B892" s="228"/>
      <c r="C892" s="228"/>
      <c r="D892" s="228"/>
      <c r="E892" s="228"/>
      <c r="F892" s="228"/>
      <c r="G892" s="228"/>
      <c r="H892" s="228"/>
      <c r="I892" s="228"/>
      <c r="J892" s="228"/>
      <c r="K892" s="228"/>
      <c r="L892" s="228"/>
      <c r="M892" s="228"/>
      <c r="N892" s="228"/>
      <c r="O892" s="228"/>
      <c r="P892" s="228"/>
      <c r="Q892" s="228"/>
      <c r="R892" s="228"/>
      <c r="S892" s="228"/>
      <c r="T892" s="228"/>
      <c r="U892" s="228"/>
      <c r="V892" s="228"/>
      <c r="W892" s="228"/>
      <c r="X892" s="228"/>
      <c r="Y892" s="228"/>
      <c r="Z892" s="228"/>
      <c r="AA892" s="228"/>
      <c r="AB892" s="228"/>
      <c r="AC892" s="228"/>
      <c r="AD892" s="228"/>
      <c r="AE892" s="228"/>
      <c r="AF892" s="228"/>
      <c r="AG892" s="228"/>
      <c r="AH892" s="228"/>
      <c r="AI892" s="228"/>
      <c r="AJ892" s="228"/>
      <c r="AK892" s="228"/>
      <c r="AL892" s="228"/>
      <c r="AM892" s="228"/>
      <c r="AN892" s="228"/>
      <c r="AO892" s="228"/>
      <c r="AP892" s="228"/>
      <c r="AQ892" s="228"/>
      <c r="AR892" s="228"/>
      <c r="AS892" s="228"/>
      <c r="AT892" s="228"/>
      <c r="AU892" s="228"/>
      <c r="AV892" s="228"/>
      <c r="AW892" s="228"/>
      <c r="AX892" s="228"/>
      <c r="AY892" s="228"/>
      <c r="AZ892" s="228"/>
      <c r="BA892" s="228"/>
      <c r="BB892" s="228"/>
      <c r="BC892" s="228"/>
      <c r="BD892" s="228"/>
      <c r="BE892" s="228"/>
      <c r="BF892" s="228"/>
      <c r="BG892" s="228"/>
      <c r="BH892" s="228"/>
      <c r="BI892" s="228"/>
      <c r="BJ892" s="228"/>
      <c r="BK892" s="228"/>
      <c r="BL892" s="228"/>
      <c r="BM892" s="228"/>
      <c r="BN892" s="228"/>
      <c r="BO892" s="228"/>
      <c r="BP892" s="228"/>
      <c r="BQ892" s="228"/>
      <c r="BR892" s="228"/>
      <c r="BS892" s="228"/>
      <c r="BT892" s="228"/>
      <c r="BU892" s="228"/>
      <c r="BV892" s="228"/>
      <c r="BW892" s="228"/>
      <c r="BX892" s="228"/>
      <c r="BY892" s="228"/>
      <c r="BZ892" s="228"/>
      <c r="CA892" s="228"/>
      <c r="CB892" s="228"/>
      <c r="CC892" s="228"/>
      <c r="CD892" s="228"/>
      <c r="CE892" s="228"/>
      <c r="CF892" s="228"/>
      <c r="CG892" s="228"/>
      <c r="CH892" s="228"/>
      <c r="CI892" s="228"/>
      <c r="CJ892" s="228"/>
      <c r="CK892" s="228"/>
      <c r="CL892" s="228"/>
      <c r="CM892" s="228"/>
      <c r="CN892" s="228"/>
      <c r="CO892" s="228"/>
      <c r="CP892" s="228"/>
      <c r="CQ892" s="228"/>
      <c r="CR892" s="228"/>
      <c r="CS892" s="228"/>
      <c r="CT892" s="228"/>
      <c r="CU892" s="228"/>
      <c r="CV892" s="228"/>
      <c r="CW892" s="228"/>
      <c r="CX892" s="228"/>
      <c r="CY892" s="228"/>
      <c r="CZ892" s="228"/>
      <c r="DA892" s="228"/>
      <c r="DB892" s="228"/>
    </row>
    <row r="893" ht="12.0" customHeight="1">
      <c r="A893" s="228"/>
      <c r="B893" s="228"/>
      <c r="C893" s="228"/>
      <c r="D893" s="228"/>
      <c r="E893" s="228"/>
      <c r="F893" s="228"/>
      <c r="G893" s="228"/>
      <c r="H893" s="228"/>
      <c r="I893" s="228"/>
      <c r="J893" s="228"/>
      <c r="K893" s="228"/>
      <c r="L893" s="228"/>
      <c r="M893" s="228"/>
      <c r="N893" s="228"/>
      <c r="O893" s="228"/>
      <c r="P893" s="228"/>
      <c r="Q893" s="228"/>
      <c r="R893" s="228"/>
      <c r="S893" s="228"/>
      <c r="T893" s="228"/>
      <c r="U893" s="228"/>
      <c r="V893" s="228"/>
      <c r="W893" s="228"/>
      <c r="X893" s="228"/>
      <c r="Y893" s="228"/>
      <c r="Z893" s="228"/>
      <c r="AA893" s="228"/>
      <c r="AB893" s="228"/>
      <c r="AC893" s="228"/>
      <c r="AD893" s="228"/>
      <c r="AE893" s="228"/>
      <c r="AF893" s="228"/>
      <c r="AG893" s="228"/>
      <c r="AH893" s="228"/>
      <c r="AI893" s="228"/>
      <c r="AJ893" s="228"/>
      <c r="AK893" s="228"/>
      <c r="AL893" s="228"/>
      <c r="AM893" s="228"/>
      <c r="AN893" s="228"/>
      <c r="AO893" s="228"/>
      <c r="AP893" s="228"/>
      <c r="AQ893" s="228"/>
      <c r="AR893" s="228"/>
      <c r="AS893" s="228"/>
      <c r="AT893" s="228"/>
      <c r="AU893" s="228"/>
      <c r="AV893" s="228"/>
      <c r="AW893" s="228"/>
      <c r="AX893" s="228"/>
      <c r="AY893" s="228"/>
      <c r="AZ893" s="228"/>
      <c r="BA893" s="228"/>
      <c r="BB893" s="228"/>
      <c r="BC893" s="228"/>
      <c r="BD893" s="228"/>
      <c r="BE893" s="228"/>
      <c r="BF893" s="228"/>
      <c r="BG893" s="228"/>
      <c r="BH893" s="228"/>
      <c r="BI893" s="228"/>
      <c r="BJ893" s="228"/>
      <c r="BK893" s="228"/>
      <c r="BL893" s="228"/>
      <c r="BM893" s="228"/>
      <c r="BN893" s="228"/>
      <c r="BO893" s="228"/>
      <c r="BP893" s="228"/>
      <c r="BQ893" s="228"/>
      <c r="BR893" s="228"/>
      <c r="BS893" s="228"/>
      <c r="BT893" s="228"/>
      <c r="BU893" s="228"/>
      <c r="BV893" s="228"/>
      <c r="BW893" s="228"/>
      <c r="BX893" s="228"/>
      <c r="BY893" s="228"/>
      <c r="BZ893" s="228"/>
      <c r="CA893" s="228"/>
      <c r="CB893" s="228"/>
      <c r="CC893" s="228"/>
      <c r="CD893" s="228"/>
      <c r="CE893" s="228"/>
      <c r="CF893" s="228"/>
      <c r="CG893" s="228"/>
      <c r="CH893" s="228"/>
      <c r="CI893" s="228"/>
      <c r="CJ893" s="228"/>
      <c r="CK893" s="228"/>
      <c r="CL893" s="228"/>
      <c r="CM893" s="228"/>
      <c r="CN893" s="228"/>
      <c r="CO893" s="228"/>
      <c r="CP893" s="228"/>
      <c r="CQ893" s="228"/>
      <c r="CR893" s="228"/>
      <c r="CS893" s="228"/>
      <c r="CT893" s="228"/>
      <c r="CU893" s="228"/>
      <c r="CV893" s="228"/>
      <c r="CW893" s="228"/>
      <c r="CX893" s="228"/>
      <c r="CY893" s="228"/>
      <c r="CZ893" s="228"/>
      <c r="DA893" s="228"/>
      <c r="DB893" s="228"/>
    </row>
    <row r="894" ht="12.0" customHeight="1">
      <c r="A894" s="228"/>
      <c r="B894" s="228"/>
      <c r="C894" s="228"/>
      <c r="D894" s="228"/>
      <c r="E894" s="228"/>
      <c r="F894" s="228"/>
      <c r="G894" s="228"/>
      <c r="H894" s="228"/>
      <c r="I894" s="228"/>
      <c r="J894" s="228"/>
      <c r="K894" s="228"/>
      <c r="L894" s="228"/>
      <c r="M894" s="228"/>
      <c r="N894" s="228"/>
      <c r="O894" s="228"/>
      <c r="P894" s="228"/>
      <c r="Q894" s="228"/>
      <c r="R894" s="228"/>
      <c r="S894" s="228"/>
      <c r="T894" s="228"/>
      <c r="U894" s="228"/>
      <c r="V894" s="228"/>
      <c r="W894" s="228"/>
      <c r="X894" s="228"/>
      <c r="Y894" s="228"/>
      <c r="Z894" s="228"/>
      <c r="AA894" s="228"/>
      <c r="AB894" s="228"/>
      <c r="AC894" s="228"/>
      <c r="AD894" s="228"/>
      <c r="AE894" s="228"/>
      <c r="AF894" s="228"/>
      <c r="AG894" s="228"/>
      <c r="AH894" s="228"/>
      <c r="AI894" s="228"/>
      <c r="AJ894" s="228"/>
      <c r="AK894" s="228"/>
      <c r="AL894" s="228"/>
      <c r="AM894" s="228"/>
      <c r="AN894" s="228"/>
      <c r="AO894" s="228"/>
      <c r="AP894" s="228"/>
      <c r="AQ894" s="228"/>
      <c r="AR894" s="228"/>
      <c r="AS894" s="228"/>
      <c r="AT894" s="228"/>
      <c r="AU894" s="228"/>
      <c r="AV894" s="228"/>
      <c r="AW894" s="228"/>
      <c r="AX894" s="228"/>
      <c r="AY894" s="228"/>
      <c r="AZ894" s="228"/>
      <c r="BA894" s="228"/>
      <c r="BB894" s="228"/>
      <c r="BC894" s="228"/>
      <c r="BD894" s="228"/>
      <c r="BE894" s="228"/>
      <c r="BF894" s="228"/>
      <c r="BG894" s="228"/>
      <c r="BH894" s="228"/>
      <c r="BI894" s="228"/>
      <c r="BJ894" s="228"/>
      <c r="BK894" s="228"/>
      <c r="BL894" s="228"/>
      <c r="BM894" s="228"/>
      <c r="BN894" s="228"/>
      <c r="BO894" s="228"/>
      <c r="BP894" s="228"/>
      <c r="BQ894" s="228"/>
      <c r="BR894" s="228"/>
      <c r="BS894" s="228"/>
      <c r="BT894" s="228"/>
      <c r="BU894" s="228"/>
      <c r="BV894" s="228"/>
      <c r="BW894" s="228"/>
      <c r="BX894" s="228"/>
      <c r="BY894" s="228"/>
      <c r="BZ894" s="228"/>
      <c r="CA894" s="228"/>
      <c r="CB894" s="228"/>
      <c r="CC894" s="228"/>
      <c r="CD894" s="228"/>
      <c r="CE894" s="228"/>
      <c r="CF894" s="228"/>
      <c r="CG894" s="228"/>
      <c r="CH894" s="228"/>
      <c r="CI894" s="228"/>
      <c r="CJ894" s="228"/>
      <c r="CK894" s="228"/>
      <c r="CL894" s="228"/>
      <c r="CM894" s="228"/>
      <c r="CN894" s="228"/>
      <c r="CO894" s="228"/>
      <c r="CP894" s="228"/>
      <c r="CQ894" s="228"/>
      <c r="CR894" s="228"/>
      <c r="CS894" s="228"/>
      <c r="CT894" s="228"/>
      <c r="CU894" s="228"/>
      <c r="CV894" s="228"/>
      <c r="CW894" s="228"/>
      <c r="CX894" s="228"/>
      <c r="CY894" s="228"/>
      <c r="CZ894" s="228"/>
      <c r="DA894" s="228"/>
      <c r="DB894" s="228"/>
    </row>
    <row r="895" ht="12.0" customHeight="1">
      <c r="A895" s="228"/>
      <c r="B895" s="228"/>
      <c r="C895" s="228"/>
      <c r="D895" s="228"/>
      <c r="E895" s="228"/>
      <c r="F895" s="228"/>
      <c r="G895" s="228"/>
      <c r="H895" s="228"/>
      <c r="I895" s="228"/>
      <c r="J895" s="228"/>
      <c r="K895" s="228"/>
      <c r="L895" s="228"/>
      <c r="M895" s="228"/>
      <c r="N895" s="228"/>
      <c r="O895" s="228"/>
      <c r="P895" s="228"/>
      <c r="Q895" s="228"/>
      <c r="R895" s="228"/>
      <c r="S895" s="228"/>
      <c r="T895" s="228"/>
      <c r="U895" s="228"/>
      <c r="V895" s="228"/>
      <c r="W895" s="228"/>
      <c r="X895" s="228"/>
      <c r="Y895" s="228"/>
      <c r="Z895" s="228"/>
      <c r="AA895" s="228"/>
      <c r="AB895" s="228"/>
      <c r="AC895" s="228"/>
      <c r="AD895" s="228"/>
      <c r="AE895" s="228"/>
      <c r="AF895" s="228"/>
      <c r="AG895" s="228"/>
      <c r="AH895" s="228"/>
      <c r="AI895" s="228"/>
      <c r="AJ895" s="228"/>
      <c r="AK895" s="228"/>
      <c r="AL895" s="228"/>
      <c r="AM895" s="228"/>
      <c r="AN895" s="228"/>
      <c r="AO895" s="228"/>
      <c r="AP895" s="228"/>
      <c r="AQ895" s="228"/>
      <c r="AR895" s="228"/>
      <c r="AS895" s="228"/>
      <c r="AT895" s="228"/>
      <c r="AU895" s="228"/>
      <c r="AV895" s="228"/>
      <c r="AW895" s="228"/>
      <c r="AX895" s="228"/>
      <c r="AY895" s="228"/>
      <c r="AZ895" s="228"/>
      <c r="BA895" s="228"/>
      <c r="BB895" s="228"/>
      <c r="BC895" s="228"/>
      <c r="BD895" s="228"/>
      <c r="BE895" s="228"/>
      <c r="BF895" s="228"/>
      <c r="BG895" s="228"/>
      <c r="BH895" s="228"/>
      <c r="BI895" s="228"/>
      <c r="BJ895" s="228"/>
      <c r="BK895" s="228"/>
      <c r="BL895" s="228"/>
      <c r="BM895" s="228"/>
      <c r="BN895" s="228"/>
      <c r="BO895" s="228"/>
      <c r="BP895" s="228"/>
      <c r="BQ895" s="228"/>
      <c r="BR895" s="228"/>
      <c r="BS895" s="228"/>
      <c r="BT895" s="228"/>
      <c r="BU895" s="228"/>
      <c r="BV895" s="228"/>
      <c r="BW895" s="228"/>
      <c r="BX895" s="228"/>
      <c r="BY895" s="228"/>
      <c r="BZ895" s="228"/>
      <c r="CA895" s="228"/>
      <c r="CB895" s="228"/>
      <c r="CC895" s="228"/>
      <c r="CD895" s="228"/>
      <c r="CE895" s="228"/>
      <c r="CF895" s="228"/>
      <c r="CG895" s="228"/>
      <c r="CH895" s="228"/>
      <c r="CI895" s="228"/>
      <c r="CJ895" s="228"/>
      <c r="CK895" s="228"/>
      <c r="CL895" s="228"/>
      <c r="CM895" s="228"/>
      <c r="CN895" s="228"/>
      <c r="CO895" s="228"/>
      <c r="CP895" s="228"/>
      <c r="CQ895" s="228"/>
      <c r="CR895" s="228"/>
      <c r="CS895" s="228"/>
      <c r="CT895" s="228"/>
      <c r="CU895" s="228"/>
      <c r="CV895" s="228"/>
      <c r="CW895" s="228"/>
      <c r="CX895" s="228"/>
      <c r="CY895" s="228"/>
      <c r="CZ895" s="228"/>
      <c r="DA895" s="228"/>
      <c r="DB895" s="228"/>
    </row>
    <row r="896" ht="12.0" customHeight="1">
      <c r="A896" s="228"/>
      <c r="B896" s="228"/>
      <c r="C896" s="228"/>
      <c r="D896" s="228"/>
      <c r="E896" s="228"/>
      <c r="F896" s="228"/>
      <c r="G896" s="228"/>
      <c r="H896" s="228"/>
      <c r="I896" s="228"/>
      <c r="J896" s="228"/>
      <c r="K896" s="228"/>
      <c r="L896" s="228"/>
      <c r="M896" s="228"/>
      <c r="N896" s="228"/>
      <c r="O896" s="228"/>
      <c r="P896" s="228"/>
      <c r="Q896" s="228"/>
      <c r="R896" s="228"/>
      <c r="S896" s="228"/>
      <c r="T896" s="228"/>
      <c r="U896" s="228"/>
      <c r="V896" s="228"/>
      <c r="W896" s="228"/>
      <c r="X896" s="228"/>
      <c r="Y896" s="228"/>
      <c r="Z896" s="228"/>
      <c r="AA896" s="228"/>
      <c r="AB896" s="228"/>
      <c r="AC896" s="228"/>
      <c r="AD896" s="228"/>
      <c r="AE896" s="228"/>
      <c r="AF896" s="228"/>
      <c r="AG896" s="228"/>
      <c r="AH896" s="228"/>
      <c r="AI896" s="228"/>
      <c r="AJ896" s="228"/>
      <c r="AK896" s="228"/>
      <c r="AL896" s="228"/>
      <c r="AM896" s="228"/>
      <c r="AN896" s="228"/>
      <c r="AO896" s="228"/>
      <c r="AP896" s="228"/>
      <c r="AQ896" s="228"/>
      <c r="AR896" s="228"/>
      <c r="AS896" s="228"/>
      <c r="AT896" s="228"/>
      <c r="AU896" s="228"/>
      <c r="AV896" s="228"/>
      <c r="AW896" s="228"/>
      <c r="AX896" s="228"/>
      <c r="AY896" s="228"/>
      <c r="AZ896" s="228"/>
      <c r="BA896" s="228"/>
      <c r="BB896" s="228"/>
      <c r="BC896" s="228"/>
      <c r="BD896" s="228"/>
      <c r="BE896" s="228"/>
      <c r="BF896" s="228"/>
      <c r="BG896" s="228"/>
      <c r="BH896" s="228"/>
      <c r="BI896" s="228"/>
      <c r="BJ896" s="228"/>
      <c r="BK896" s="228"/>
      <c r="BL896" s="228"/>
      <c r="BM896" s="228"/>
      <c r="BN896" s="228"/>
      <c r="BO896" s="228"/>
      <c r="BP896" s="228"/>
      <c r="BQ896" s="228"/>
      <c r="BR896" s="228"/>
      <c r="BS896" s="228"/>
      <c r="BT896" s="228"/>
      <c r="BU896" s="228"/>
      <c r="BV896" s="228"/>
      <c r="BW896" s="228"/>
      <c r="BX896" s="228"/>
      <c r="BY896" s="228"/>
      <c r="BZ896" s="228"/>
      <c r="CA896" s="228"/>
      <c r="CB896" s="228"/>
      <c r="CC896" s="228"/>
      <c r="CD896" s="228"/>
      <c r="CE896" s="228"/>
      <c r="CF896" s="228"/>
      <c r="CG896" s="228"/>
      <c r="CH896" s="228"/>
      <c r="CI896" s="228"/>
      <c r="CJ896" s="228"/>
      <c r="CK896" s="228"/>
      <c r="CL896" s="228"/>
      <c r="CM896" s="228"/>
      <c r="CN896" s="228"/>
      <c r="CO896" s="228"/>
      <c r="CP896" s="228"/>
      <c r="CQ896" s="228"/>
      <c r="CR896" s="228"/>
      <c r="CS896" s="228"/>
      <c r="CT896" s="228"/>
      <c r="CU896" s="228"/>
      <c r="CV896" s="228"/>
      <c r="CW896" s="228"/>
      <c r="CX896" s="228"/>
      <c r="CY896" s="228"/>
      <c r="CZ896" s="228"/>
      <c r="DA896" s="228"/>
      <c r="DB896" s="228"/>
    </row>
    <row r="897" ht="12.0" customHeight="1">
      <c r="A897" s="228"/>
      <c r="B897" s="228"/>
      <c r="C897" s="228"/>
      <c r="D897" s="228"/>
      <c r="E897" s="228"/>
      <c r="F897" s="228"/>
      <c r="G897" s="228"/>
      <c r="H897" s="228"/>
      <c r="I897" s="228"/>
      <c r="J897" s="228"/>
      <c r="K897" s="228"/>
      <c r="L897" s="228"/>
      <c r="M897" s="228"/>
      <c r="N897" s="228"/>
      <c r="O897" s="228"/>
      <c r="P897" s="228"/>
      <c r="Q897" s="228"/>
      <c r="R897" s="228"/>
      <c r="S897" s="228"/>
      <c r="T897" s="228"/>
      <c r="U897" s="228"/>
      <c r="V897" s="228"/>
      <c r="W897" s="228"/>
      <c r="X897" s="228"/>
      <c r="Y897" s="228"/>
      <c r="Z897" s="228"/>
      <c r="AA897" s="228"/>
      <c r="AB897" s="228"/>
      <c r="AC897" s="228"/>
      <c r="AD897" s="228"/>
      <c r="AE897" s="228"/>
      <c r="AF897" s="228"/>
      <c r="AG897" s="228"/>
      <c r="AH897" s="228"/>
      <c r="AI897" s="228"/>
      <c r="AJ897" s="228"/>
      <c r="AK897" s="228"/>
      <c r="AL897" s="228"/>
      <c r="AM897" s="228"/>
      <c r="AN897" s="228"/>
      <c r="AO897" s="228"/>
      <c r="AP897" s="228"/>
      <c r="AQ897" s="228"/>
      <c r="AR897" s="228"/>
      <c r="AS897" s="228"/>
      <c r="AT897" s="228"/>
      <c r="AU897" s="228"/>
      <c r="AV897" s="228"/>
      <c r="AW897" s="228"/>
      <c r="AX897" s="228"/>
      <c r="AY897" s="228"/>
      <c r="AZ897" s="228"/>
      <c r="BA897" s="228"/>
      <c r="BB897" s="228"/>
      <c r="BC897" s="228"/>
      <c r="BD897" s="228"/>
      <c r="BE897" s="228"/>
      <c r="BF897" s="228"/>
      <c r="BG897" s="228"/>
      <c r="BH897" s="228"/>
      <c r="BI897" s="228"/>
      <c r="BJ897" s="228"/>
      <c r="BK897" s="228"/>
      <c r="BL897" s="228"/>
      <c r="BM897" s="228"/>
      <c r="BN897" s="228"/>
      <c r="BO897" s="228"/>
      <c r="BP897" s="228"/>
      <c r="BQ897" s="228"/>
      <c r="BR897" s="228"/>
      <c r="BS897" s="228"/>
      <c r="BT897" s="228"/>
      <c r="BU897" s="228"/>
      <c r="BV897" s="228"/>
      <c r="BW897" s="228"/>
      <c r="BX897" s="228"/>
      <c r="BY897" s="228"/>
      <c r="BZ897" s="228"/>
      <c r="CA897" s="228"/>
      <c r="CB897" s="228"/>
      <c r="CC897" s="228"/>
      <c r="CD897" s="228"/>
      <c r="CE897" s="228"/>
      <c r="CF897" s="228"/>
      <c r="CG897" s="228"/>
      <c r="CH897" s="228"/>
      <c r="CI897" s="228"/>
      <c r="CJ897" s="228"/>
      <c r="CK897" s="228"/>
      <c r="CL897" s="228"/>
      <c r="CM897" s="228"/>
      <c r="CN897" s="228"/>
      <c r="CO897" s="228"/>
      <c r="CP897" s="228"/>
      <c r="CQ897" s="228"/>
      <c r="CR897" s="228"/>
      <c r="CS897" s="228"/>
      <c r="CT897" s="228"/>
      <c r="CU897" s="228"/>
      <c r="CV897" s="228"/>
      <c r="CW897" s="228"/>
      <c r="CX897" s="228"/>
      <c r="CY897" s="228"/>
      <c r="CZ897" s="228"/>
      <c r="DA897" s="228"/>
      <c r="DB897" s="228"/>
    </row>
    <row r="898" ht="12.0" customHeight="1">
      <c r="A898" s="228"/>
      <c r="B898" s="228"/>
      <c r="C898" s="228"/>
      <c r="D898" s="228"/>
      <c r="E898" s="228"/>
      <c r="F898" s="228"/>
      <c r="G898" s="228"/>
      <c r="H898" s="228"/>
      <c r="I898" s="228"/>
      <c r="J898" s="228"/>
      <c r="K898" s="228"/>
      <c r="L898" s="228"/>
      <c r="M898" s="228"/>
      <c r="N898" s="228"/>
      <c r="O898" s="228"/>
      <c r="P898" s="228"/>
      <c r="Q898" s="228"/>
      <c r="R898" s="228"/>
      <c r="S898" s="228"/>
      <c r="T898" s="228"/>
      <c r="U898" s="228"/>
      <c r="V898" s="228"/>
      <c r="W898" s="228"/>
      <c r="X898" s="228"/>
      <c r="Y898" s="228"/>
      <c r="Z898" s="228"/>
      <c r="AA898" s="228"/>
      <c r="AB898" s="228"/>
      <c r="AC898" s="228"/>
      <c r="AD898" s="228"/>
      <c r="AE898" s="228"/>
      <c r="AF898" s="228"/>
      <c r="AG898" s="228"/>
      <c r="AH898" s="228"/>
      <c r="AI898" s="228"/>
      <c r="AJ898" s="228"/>
      <c r="AK898" s="228"/>
      <c r="AL898" s="228"/>
      <c r="AM898" s="228"/>
      <c r="AN898" s="228"/>
      <c r="AO898" s="228"/>
      <c r="AP898" s="228"/>
      <c r="AQ898" s="228"/>
      <c r="AR898" s="228"/>
      <c r="AS898" s="228"/>
      <c r="AT898" s="228"/>
      <c r="AU898" s="228"/>
      <c r="AV898" s="228"/>
      <c r="AW898" s="228"/>
      <c r="AX898" s="228"/>
      <c r="AY898" s="228"/>
      <c r="AZ898" s="228"/>
      <c r="BA898" s="228"/>
      <c r="BB898" s="228"/>
      <c r="BC898" s="228"/>
      <c r="BD898" s="228"/>
      <c r="BE898" s="228"/>
      <c r="BF898" s="228"/>
      <c r="BG898" s="228"/>
      <c r="BH898" s="228"/>
      <c r="BI898" s="228"/>
      <c r="BJ898" s="228"/>
      <c r="BK898" s="228"/>
      <c r="BL898" s="228"/>
      <c r="BM898" s="228"/>
      <c r="BN898" s="228"/>
      <c r="BO898" s="228"/>
      <c r="BP898" s="228"/>
      <c r="BQ898" s="228"/>
      <c r="BR898" s="228"/>
      <c r="BS898" s="228"/>
      <c r="BT898" s="228"/>
      <c r="BU898" s="228"/>
      <c r="BV898" s="228"/>
      <c r="BW898" s="228"/>
      <c r="BX898" s="228"/>
      <c r="BY898" s="228"/>
      <c r="BZ898" s="228"/>
      <c r="CA898" s="228"/>
      <c r="CB898" s="228"/>
      <c r="CC898" s="228"/>
      <c r="CD898" s="228"/>
      <c r="CE898" s="228"/>
      <c r="CF898" s="228"/>
      <c r="CG898" s="228"/>
      <c r="CH898" s="228"/>
      <c r="CI898" s="228"/>
      <c r="CJ898" s="228"/>
      <c r="CK898" s="228"/>
      <c r="CL898" s="228"/>
      <c r="CM898" s="228"/>
      <c r="CN898" s="228"/>
      <c r="CO898" s="228"/>
      <c r="CP898" s="228"/>
      <c r="CQ898" s="228"/>
      <c r="CR898" s="228"/>
      <c r="CS898" s="228"/>
      <c r="CT898" s="228"/>
      <c r="CU898" s="228"/>
      <c r="CV898" s="228"/>
      <c r="CW898" s="228"/>
      <c r="CX898" s="228"/>
      <c r="CY898" s="228"/>
      <c r="CZ898" s="228"/>
      <c r="DA898" s="228"/>
      <c r="DB898" s="228"/>
    </row>
    <row r="899" ht="12.0" customHeight="1">
      <c r="A899" s="228"/>
      <c r="B899" s="228"/>
      <c r="C899" s="228"/>
      <c r="D899" s="228"/>
      <c r="E899" s="228"/>
      <c r="F899" s="228"/>
      <c r="G899" s="228"/>
      <c r="H899" s="228"/>
      <c r="I899" s="228"/>
      <c r="J899" s="228"/>
      <c r="K899" s="228"/>
      <c r="L899" s="228"/>
      <c r="M899" s="228"/>
      <c r="N899" s="228"/>
      <c r="O899" s="228"/>
      <c r="P899" s="228"/>
      <c r="Q899" s="228"/>
      <c r="R899" s="228"/>
      <c r="S899" s="228"/>
      <c r="T899" s="228"/>
      <c r="U899" s="228"/>
      <c r="V899" s="228"/>
      <c r="W899" s="228"/>
      <c r="X899" s="228"/>
      <c r="Y899" s="228"/>
      <c r="Z899" s="228"/>
      <c r="AA899" s="228"/>
      <c r="AB899" s="228"/>
      <c r="AC899" s="228"/>
      <c r="AD899" s="228"/>
      <c r="AE899" s="228"/>
      <c r="AF899" s="228"/>
      <c r="AG899" s="228"/>
      <c r="AH899" s="228"/>
      <c r="AI899" s="228"/>
      <c r="AJ899" s="228"/>
      <c r="AK899" s="228"/>
      <c r="AL899" s="228"/>
      <c r="AM899" s="228"/>
      <c r="AN899" s="228"/>
      <c r="AO899" s="228"/>
      <c r="AP899" s="228"/>
      <c r="AQ899" s="228"/>
      <c r="AR899" s="228"/>
      <c r="AS899" s="228"/>
      <c r="AT899" s="228"/>
      <c r="AU899" s="228"/>
      <c r="AV899" s="228"/>
      <c r="AW899" s="228"/>
      <c r="AX899" s="228"/>
      <c r="AY899" s="228"/>
      <c r="AZ899" s="228"/>
      <c r="BA899" s="228"/>
      <c r="BB899" s="228"/>
      <c r="BC899" s="228"/>
      <c r="BD899" s="228"/>
      <c r="BE899" s="228"/>
      <c r="BF899" s="228"/>
      <c r="BG899" s="228"/>
      <c r="BH899" s="228"/>
      <c r="BI899" s="228"/>
      <c r="BJ899" s="228"/>
      <c r="BK899" s="228"/>
      <c r="BL899" s="228"/>
      <c r="BM899" s="228"/>
      <c r="BN899" s="228"/>
      <c r="BO899" s="228"/>
      <c r="BP899" s="228"/>
      <c r="BQ899" s="228"/>
      <c r="BR899" s="228"/>
      <c r="BS899" s="228"/>
      <c r="BT899" s="228"/>
      <c r="BU899" s="228"/>
      <c r="BV899" s="228"/>
      <c r="BW899" s="228"/>
      <c r="BX899" s="228"/>
      <c r="BY899" s="228"/>
      <c r="BZ899" s="228"/>
      <c r="CA899" s="228"/>
      <c r="CB899" s="228"/>
      <c r="CC899" s="228"/>
      <c r="CD899" s="228"/>
      <c r="CE899" s="228"/>
      <c r="CF899" s="228"/>
      <c r="CG899" s="228"/>
      <c r="CH899" s="228"/>
      <c r="CI899" s="228"/>
      <c r="CJ899" s="228"/>
      <c r="CK899" s="228"/>
      <c r="CL899" s="228"/>
      <c r="CM899" s="228"/>
      <c r="CN899" s="228"/>
      <c r="CO899" s="228"/>
      <c r="CP899" s="228"/>
      <c r="CQ899" s="228"/>
      <c r="CR899" s="228"/>
      <c r="CS899" s="228"/>
      <c r="CT899" s="228"/>
      <c r="CU899" s="228"/>
      <c r="CV899" s="228"/>
      <c r="CW899" s="228"/>
      <c r="CX899" s="228"/>
      <c r="CY899" s="228"/>
      <c r="CZ899" s="228"/>
      <c r="DA899" s="228"/>
      <c r="DB899" s="228"/>
    </row>
    <row r="900" ht="12.0" customHeight="1">
      <c r="A900" s="228"/>
      <c r="B900" s="228"/>
      <c r="C900" s="228"/>
      <c r="D900" s="228"/>
      <c r="E900" s="228"/>
      <c r="F900" s="228"/>
      <c r="G900" s="228"/>
      <c r="H900" s="228"/>
      <c r="I900" s="228"/>
      <c r="J900" s="228"/>
      <c r="K900" s="228"/>
      <c r="L900" s="228"/>
      <c r="M900" s="228"/>
      <c r="N900" s="228"/>
      <c r="O900" s="228"/>
      <c r="P900" s="228"/>
      <c r="Q900" s="228"/>
      <c r="R900" s="228"/>
      <c r="S900" s="228"/>
      <c r="T900" s="228"/>
      <c r="U900" s="228"/>
      <c r="V900" s="228"/>
      <c r="W900" s="228"/>
      <c r="X900" s="228"/>
      <c r="Y900" s="228"/>
      <c r="Z900" s="228"/>
      <c r="AA900" s="228"/>
      <c r="AB900" s="228"/>
      <c r="AC900" s="228"/>
      <c r="AD900" s="228"/>
      <c r="AE900" s="228"/>
      <c r="AF900" s="228"/>
      <c r="AG900" s="228"/>
      <c r="AH900" s="228"/>
      <c r="AI900" s="228"/>
      <c r="AJ900" s="228"/>
      <c r="AK900" s="228"/>
      <c r="AL900" s="228"/>
      <c r="AM900" s="228"/>
      <c r="AN900" s="228"/>
      <c r="AO900" s="228"/>
      <c r="AP900" s="228"/>
      <c r="AQ900" s="228"/>
      <c r="AR900" s="228"/>
      <c r="AS900" s="228"/>
      <c r="AT900" s="228"/>
      <c r="AU900" s="228"/>
      <c r="AV900" s="228"/>
      <c r="AW900" s="228"/>
      <c r="AX900" s="228"/>
      <c r="AY900" s="228"/>
      <c r="AZ900" s="228"/>
      <c r="BA900" s="228"/>
      <c r="BB900" s="228"/>
      <c r="BC900" s="228"/>
      <c r="BD900" s="228"/>
      <c r="BE900" s="228"/>
      <c r="BF900" s="228"/>
      <c r="BG900" s="228"/>
      <c r="BH900" s="228"/>
      <c r="BI900" s="228"/>
      <c r="BJ900" s="228"/>
      <c r="BK900" s="228"/>
      <c r="BL900" s="228"/>
      <c r="BM900" s="228"/>
      <c r="BN900" s="228"/>
      <c r="BO900" s="228"/>
      <c r="BP900" s="228"/>
      <c r="BQ900" s="228"/>
      <c r="BR900" s="228"/>
      <c r="BS900" s="228"/>
      <c r="BT900" s="228"/>
      <c r="BU900" s="228"/>
      <c r="BV900" s="228"/>
      <c r="BW900" s="228"/>
      <c r="BX900" s="228"/>
      <c r="BY900" s="228"/>
      <c r="BZ900" s="228"/>
      <c r="CA900" s="228"/>
      <c r="CB900" s="228"/>
      <c r="CC900" s="228"/>
      <c r="CD900" s="228"/>
      <c r="CE900" s="228"/>
      <c r="CF900" s="228"/>
      <c r="CG900" s="228"/>
      <c r="CH900" s="228"/>
      <c r="CI900" s="228"/>
      <c r="CJ900" s="228"/>
      <c r="CK900" s="228"/>
      <c r="CL900" s="228"/>
      <c r="CM900" s="228"/>
      <c r="CN900" s="228"/>
      <c r="CO900" s="228"/>
      <c r="CP900" s="228"/>
      <c r="CQ900" s="228"/>
      <c r="CR900" s="228"/>
      <c r="CS900" s="228"/>
      <c r="CT900" s="228"/>
      <c r="CU900" s="228"/>
      <c r="CV900" s="228"/>
      <c r="CW900" s="228"/>
      <c r="CX900" s="228"/>
      <c r="CY900" s="228"/>
      <c r="CZ900" s="228"/>
      <c r="DA900" s="228"/>
      <c r="DB900" s="228"/>
    </row>
    <row r="901" ht="12.0" customHeight="1">
      <c r="A901" s="228"/>
      <c r="B901" s="228"/>
      <c r="C901" s="228"/>
      <c r="D901" s="228"/>
      <c r="E901" s="228"/>
      <c r="F901" s="228"/>
      <c r="G901" s="228"/>
      <c r="H901" s="228"/>
      <c r="I901" s="228"/>
      <c r="J901" s="228"/>
      <c r="K901" s="228"/>
      <c r="L901" s="228"/>
      <c r="M901" s="228"/>
      <c r="N901" s="228"/>
      <c r="O901" s="228"/>
      <c r="P901" s="228"/>
      <c r="Q901" s="228"/>
      <c r="R901" s="228"/>
      <c r="S901" s="228"/>
      <c r="T901" s="228"/>
      <c r="U901" s="228"/>
      <c r="V901" s="228"/>
      <c r="W901" s="228"/>
      <c r="X901" s="228"/>
      <c r="Y901" s="228"/>
      <c r="Z901" s="228"/>
      <c r="AA901" s="228"/>
      <c r="AB901" s="228"/>
      <c r="AC901" s="228"/>
      <c r="AD901" s="228"/>
      <c r="AE901" s="228"/>
      <c r="AF901" s="228"/>
      <c r="AG901" s="228"/>
      <c r="AH901" s="228"/>
      <c r="AI901" s="228"/>
      <c r="AJ901" s="228"/>
      <c r="AK901" s="228"/>
      <c r="AL901" s="228"/>
      <c r="AM901" s="228"/>
      <c r="AN901" s="228"/>
      <c r="AO901" s="228"/>
      <c r="AP901" s="228"/>
      <c r="AQ901" s="228"/>
      <c r="AR901" s="228"/>
      <c r="AS901" s="228"/>
      <c r="AT901" s="228"/>
      <c r="AU901" s="228"/>
      <c r="AV901" s="228"/>
      <c r="AW901" s="228"/>
      <c r="AX901" s="228"/>
      <c r="AY901" s="228"/>
      <c r="AZ901" s="228"/>
      <c r="BA901" s="228"/>
      <c r="BB901" s="228"/>
      <c r="BC901" s="228"/>
      <c r="BD901" s="228"/>
      <c r="BE901" s="228"/>
      <c r="BF901" s="228"/>
      <c r="BG901" s="228"/>
      <c r="BH901" s="228"/>
      <c r="BI901" s="228"/>
      <c r="BJ901" s="228"/>
      <c r="BK901" s="228"/>
      <c r="BL901" s="228"/>
      <c r="BM901" s="228"/>
      <c r="BN901" s="228"/>
      <c r="BO901" s="228"/>
      <c r="BP901" s="228"/>
      <c r="BQ901" s="228"/>
      <c r="BR901" s="228"/>
      <c r="BS901" s="228"/>
      <c r="BT901" s="228"/>
      <c r="BU901" s="228"/>
      <c r="BV901" s="228"/>
      <c r="BW901" s="228"/>
      <c r="BX901" s="228"/>
      <c r="BY901" s="228"/>
      <c r="BZ901" s="228"/>
      <c r="CA901" s="228"/>
      <c r="CB901" s="228"/>
      <c r="CC901" s="228"/>
      <c r="CD901" s="228"/>
      <c r="CE901" s="228"/>
      <c r="CF901" s="228"/>
      <c r="CG901" s="228"/>
      <c r="CH901" s="228"/>
      <c r="CI901" s="228"/>
      <c r="CJ901" s="228"/>
      <c r="CK901" s="228"/>
      <c r="CL901" s="228"/>
      <c r="CM901" s="228"/>
      <c r="CN901" s="228"/>
      <c r="CO901" s="228"/>
      <c r="CP901" s="228"/>
      <c r="CQ901" s="228"/>
      <c r="CR901" s="228"/>
      <c r="CS901" s="228"/>
      <c r="CT901" s="228"/>
      <c r="CU901" s="228"/>
      <c r="CV901" s="228"/>
      <c r="CW901" s="228"/>
      <c r="CX901" s="228"/>
      <c r="CY901" s="228"/>
      <c r="CZ901" s="228"/>
      <c r="DA901" s="228"/>
      <c r="DB901" s="228"/>
    </row>
    <row r="902" ht="12.0" customHeight="1">
      <c r="A902" s="228"/>
      <c r="B902" s="228"/>
      <c r="C902" s="228"/>
      <c r="D902" s="228"/>
      <c r="E902" s="228"/>
      <c r="F902" s="228"/>
      <c r="G902" s="228"/>
      <c r="H902" s="228"/>
      <c r="I902" s="228"/>
      <c r="J902" s="228"/>
      <c r="K902" s="228"/>
      <c r="L902" s="228"/>
      <c r="M902" s="228"/>
      <c r="N902" s="228"/>
      <c r="O902" s="228"/>
      <c r="P902" s="228"/>
      <c r="Q902" s="228"/>
      <c r="R902" s="228"/>
      <c r="S902" s="228"/>
      <c r="T902" s="228"/>
      <c r="U902" s="228"/>
      <c r="V902" s="228"/>
      <c r="W902" s="228"/>
      <c r="X902" s="228"/>
      <c r="Y902" s="228"/>
      <c r="Z902" s="228"/>
      <c r="AA902" s="228"/>
      <c r="AB902" s="228"/>
      <c r="AC902" s="228"/>
      <c r="AD902" s="228"/>
      <c r="AE902" s="228"/>
      <c r="AF902" s="228"/>
      <c r="AG902" s="228"/>
      <c r="AH902" s="228"/>
      <c r="AI902" s="228"/>
      <c r="AJ902" s="228"/>
      <c r="AK902" s="228"/>
      <c r="AL902" s="228"/>
      <c r="AM902" s="228"/>
      <c r="AN902" s="228"/>
      <c r="AO902" s="228"/>
      <c r="AP902" s="228"/>
      <c r="AQ902" s="228"/>
      <c r="AR902" s="228"/>
      <c r="AS902" s="228"/>
      <c r="AT902" s="228"/>
      <c r="AU902" s="228"/>
      <c r="AV902" s="228"/>
      <c r="AW902" s="228"/>
      <c r="AX902" s="228"/>
      <c r="AY902" s="228"/>
      <c r="AZ902" s="228"/>
      <c r="BA902" s="228"/>
      <c r="BB902" s="228"/>
      <c r="BC902" s="228"/>
      <c r="BD902" s="228"/>
      <c r="BE902" s="228"/>
      <c r="BF902" s="228"/>
      <c r="BG902" s="228"/>
      <c r="BH902" s="228"/>
      <c r="BI902" s="228"/>
      <c r="BJ902" s="228"/>
      <c r="BK902" s="228"/>
      <c r="BL902" s="228"/>
      <c r="BM902" s="228"/>
      <c r="BN902" s="228"/>
      <c r="BO902" s="228"/>
      <c r="BP902" s="228"/>
      <c r="BQ902" s="228"/>
      <c r="BR902" s="228"/>
      <c r="BS902" s="228"/>
      <c r="BT902" s="228"/>
      <c r="BU902" s="228"/>
      <c r="BV902" s="228"/>
      <c r="BW902" s="228"/>
      <c r="BX902" s="228"/>
      <c r="BY902" s="228"/>
      <c r="BZ902" s="228"/>
      <c r="CA902" s="228"/>
      <c r="CB902" s="228"/>
      <c r="CC902" s="228"/>
      <c r="CD902" s="228"/>
      <c r="CE902" s="228"/>
      <c r="CF902" s="228"/>
      <c r="CG902" s="228"/>
      <c r="CH902" s="228"/>
      <c r="CI902" s="228"/>
      <c r="CJ902" s="228"/>
      <c r="CK902" s="228"/>
      <c r="CL902" s="228"/>
      <c r="CM902" s="228"/>
      <c r="CN902" s="228"/>
      <c r="CO902" s="228"/>
      <c r="CP902" s="228"/>
      <c r="CQ902" s="228"/>
      <c r="CR902" s="228"/>
      <c r="CS902" s="228"/>
      <c r="CT902" s="228"/>
      <c r="CU902" s="228"/>
      <c r="CV902" s="228"/>
      <c r="CW902" s="228"/>
      <c r="CX902" s="228"/>
      <c r="CY902" s="228"/>
      <c r="CZ902" s="228"/>
      <c r="DA902" s="228"/>
      <c r="DB902" s="228"/>
    </row>
    <row r="903" ht="12.0" customHeight="1">
      <c r="A903" s="228"/>
      <c r="B903" s="228"/>
      <c r="C903" s="228"/>
      <c r="D903" s="228"/>
      <c r="E903" s="228"/>
      <c r="F903" s="228"/>
      <c r="G903" s="228"/>
      <c r="H903" s="228"/>
      <c r="I903" s="228"/>
      <c r="J903" s="228"/>
      <c r="K903" s="228"/>
      <c r="L903" s="228"/>
      <c r="M903" s="228"/>
      <c r="N903" s="228"/>
      <c r="O903" s="228"/>
      <c r="P903" s="228"/>
      <c r="Q903" s="228"/>
      <c r="R903" s="228"/>
      <c r="S903" s="228"/>
      <c r="T903" s="228"/>
      <c r="U903" s="228"/>
      <c r="V903" s="228"/>
      <c r="W903" s="228"/>
      <c r="X903" s="228"/>
      <c r="Y903" s="228"/>
      <c r="Z903" s="228"/>
      <c r="AA903" s="228"/>
      <c r="AB903" s="228"/>
      <c r="AC903" s="228"/>
      <c r="AD903" s="228"/>
      <c r="AE903" s="228"/>
      <c r="AF903" s="228"/>
      <c r="AG903" s="228"/>
      <c r="AH903" s="228"/>
      <c r="AI903" s="228"/>
      <c r="AJ903" s="228"/>
      <c r="AK903" s="228"/>
      <c r="AL903" s="228"/>
      <c r="AM903" s="228"/>
      <c r="AN903" s="228"/>
      <c r="AO903" s="228"/>
      <c r="AP903" s="228"/>
      <c r="AQ903" s="228"/>
      <c r="AR903" s="228"/>
      <c r="AS903" s="228"/>
      <c r="AT903" s="228"/>
      <c r="AU903" s="228"/>
      <c r="AV903" s="228"/>
      <c r="AW903" s="228"/>
      <c r="AX903" s="228"/>
      <c r="AY903" s="228"/>
      <c r="AZ903" s="228"/>
      <c r="BA903" s="228"/>
      <c r="BB903" s="228"/>
      <c r="BC903" s="228"/>
      <c r="BD903" s="228"/>
      <c r="BE903" s="228"/>
      <c r="BF903" s="228"/>
      <c r="BG903" s="228"/>
      <c r="BH903" s="228"/>
      <c r="BI903" s="228"/>
      <c r="BJ903" s="228"/>
      <c r="BK903" s="228"/>
      <c r="BL903" s="228"/>
      <c r="BM903" s="228"/>
      <c r="BN903" s="228"/>
      <c r="BO903" s="228"/>
      <c r="BP903" s="228"/>
      <c r="BQ903" s="228"/>
      <c r="BR903" s="228"/>
      <c r="BS903" s="228"/>
      <c r="BT903" s="228"/>
      <c r="BU903" s="228"/>
      <c r="BV903" s="228"/>
      <c r="BW903" s="228"/>
      <c r="BX903" s="228"/>
      <c r="BY903" s="228"/>
      <c r="BZ903" s="228"/>
      <c r="CA903" s="228"/>
      <c r="CB903" s="228"/>
      <c r="CC903" s="228"/>
      <c r="CD903" s="228"/>
      <c r="CE903" s="228"/>
      <c r="CF903" s="228"/>
      <c r="CG903" s="228"/>
      <c r="CH903" s="228"/>
      <c r="CI903" s="228"/>
      <c r="CJ903" s="228"/>
      <c r="CK903" s="228"/>
      <c r="CL903" s="228"/>
      <c r="CM903" s="228"/>
      <c r="CN903" s="228"/>
      <c r="CO903" s="228"/>
      <c r="CP903" s="228"/>
      <c r="CQ903" s="228"/>
      <c r="CR903" s="228"/>
      <c r="CS903" s="228"/>
      <c r="CT903" s="228"/>
      <c r="CU903" s="228"/>
      <c r="CV903" s="228"/>
      <c r="CW903" s="228"/>
      <c r="CX903" s="228"/>
      <c r="CY903" s="228"/>
      <c r="CZ903" s="228"/>
      <c r="DA903" s="228"/>
      <c r="DB903" s="228"/>
    </row>
    <row r="904" ht="12.0" customHeight="1">
      <c r="A904" s="228"/>
      <c r="B904" s="228"/>
      <c r="C904" s="228"/>
      <c r="D904" s="228"/>
      <c r="E904" s="228"/>
      <c r="F904" s="228"/>
      <c r="G904" s="228"/>
      <c r="H904" s="228"/>
      <c r="I904" s="228"/>
      <c r="J904" s="228"/>
      <c r="K904" s="228"/>
      <c r="L904" s="228"/>
      <c r="M904" s="228"/>
      <c r="N904" s="228"/>
      <c r="O904" s="228"/>
      <c r="P904" s="228"/>
      <c r="Q904" s="228"/>
      <c r="R904" s="228"/>
      <c r="S904" s="228"/>
      <c r="T904" s="228"/>
      <c r="U904" s="228"/>
      <c r="V904" s="228"/>
      <c r="W904" s="228"/>
      <c r="X904" s="228"/>
      <c r="Y904" s="228"/>
      <c r="Z904" s="228"/>
      <c r="AA904" s="228"/>
      <c r="AB904" s="228"/>
      <c r="AC904" s="228"/>
      <c r="AD904" s="228"/>
      <c r="AE904" s="228"/>
      <c r="AF904" s="228"/>
      <c r="AG904" s="228"/>
      <c r="AH904" s="228"/>
      <c r="AI904" s="228"/>
      <c r="AJ904" s="228"/>
      <c r="AK904" s="228"/>
      <c r="AL904" s="228"/>
      <c r="AM904" s="228"/>
      <c r="AN904" s="228"/>
      <c r="AO904" s="228"/>
      <c r="AP904" s="228"/>
      <c r="AQ904" s="228"/>
      <c r="AR904" s="228"/>
      <c r="AS904" s="228"/>
      <c r="AT904" s="228"/>
      <c r="AU904" s="228"/>
      <c r="AV904" s="228"/>
      <c r="AW904" s="228"/>
      <c r="AX904" s="228"/>
      <c r="AY904" s="228"/>
      <c r="AZ904" s="228"/>
      <c r="BA904" s="228"/>
      <c r="BB904" s="228"/>
      <c r="BC904" s="228"/>
      <c r="BD904" s="228"/>
      <c r="BE904" s="228"/>
      <c r="BF904" s="228"/>
      <c r="BG904" s="228"/>
      <c r="BH904" s="228"/>
      <c r="BI904" s="228"/>
      <c r="BJ904" s="228"/>
      <c r="BK904" s="228"/>
      <c r="BL904" s="228"/>
      <c r="BM904" s="228"/>
      <c r="BN904" s="228"/>
      <c r="BO904" s="228"/>
      <c r="BP904" s="228"/>
      <c r="BQ904" s="228"/>
      <c r="BR904" s="228"/>
      <c r="BS904" s="228"/>
      <c r="BT904" s="228"/>
      <c r="BU904" s="228"/>
      <c r="BV904" s="228"/>
      <c r="BW904" s="228"/>
      <c r="BX904" s="228"/>
      <c r="BY904" s="228"/>
      <c r="BZ904" s="228"/>
      <c r="CA904" s="228"/>
      <c r="CB904" s="228"/>
      <c r="CC904" s="228"/>
      <c r="CD904" s="228"/>
      <c r="CE904" s="228"/>
      <c r="CF904" s="228"/>
      <c r="CG904" s="228"/>
      <c r="CH904" s="228"/>
      <c r="CI904" s="228"/>
      <c r="CJ904" s="228"/>
      <c r="CK904" s="228"/>
      <c r="CL904" s="228"/>
      <c r="CM904" s="228"/>
      <c r="CN904" s="228"/>
      <c r="CO904" s="228"/>
      <c r="CP904" s="228"/>
      <c r="CQ904" s="228"/>
      <c r="CR904" s="228"/>
      <c r="CS904" s="228"/>
      <c r="CT904" s="228"/>
      <c r="CU904" s="228"/>
      <c r="CV904" s="228"/>
      <c r="CW904" s="228"/>
      <c r="CX904" s="228"/>
      <c r="CY904" s="228"/>
      <c r="CZ904" s="228"/>
      <c r="DA904" s="228"/>
      <c r="DB904" s="228"/>
    </row>
    <row r="905" ht="12.0" customHeight="1">
      <c r="A905" s="228"/>
      <c r="B905" s="228"/>
      <c r="C905" s="228"/>
      <c r="D905" s="228"/>
      <c r="E905" s="228"/>
      <c r="F905" s="228"/>
      <c r="G905" s="228"/>
      <c r="H905" s="228"/>
      <c r="I905" s="228"/>
      <c r="J905" s="228"/>
      <c r="K905" s="228"/>
      <c r="L905" s="228"/>
      <c r="M905" s="228"/>
      <c r="N905" s="228"/>
      <c r="O905" s="228"/>
      <c r="P905" s="228"/>
      <c r="Q905" s="228"/>
      <c r="R905" s="228"/>
      <c r="S905" s="228"/>
      <c r="T905" s="228"/>
      <c r="U905" s="228"/>
      <c r="V905" s="228"/>
      <c r="W905" s="228"/>
      <c r="X905" s="228"/>
      <c r="Y905" s="228"/>
      <c r="Z905" s="228"/>
      <c r="AA905" s="228"/>
      <c r="AB905" s="228"/>
      <c r="AC905" s="228"/>
      <c r="AD905" s="228"/>
      <c r="AE905" s="228"/>
      <c r="AF905" s="228"/>
      <c r="AG905" s="228"/>
      <c r="AH905" s="228"/>
      <c r="AI905" s="228"/>
      <c r="AJ905" s="228"/>
      <c r="AK905" s="228"/>
      <c r="AL905" s="228"/>
      <c r="AM905" s="228"/>
      <c r="AN905" s="228"/>
      <c r="AO905" s="228"/>
      <c r="AP905" s="228"/>
      <c r="AQ905" s="228"/>
      <c r="AR905" s="228"/>
      <c r="AS905" s="228"/>
      <c r="AT905" s="228"/>
      <c r="AU905" s="228"/>
      <c r="AV905" s="228"/>
      <c r="AW905" s="228"/>
      <c r="AX905" s="228"/>
      <c r="AY905" s="228"/>
      <c r="AZ905" s="228"/>
      <c r="BA905" s="228"/>
      <c r="BB905" s="228"/>
      <c r="BC905" s="228"/>
      <c r="BD905" s="228"/>
      <c r="BE905" s="228"/>
      <c r="BF905" s="228"/>
      <c r="BG905" s="228"/>
      <c r="BH905" s="228"/>
      <c r="BI905" s="228"/>
      <c r="BJ905" s="228"/>
      <c r="BK905" s="228"/>
      <c r="BL905" s="228"/>
      <c r="BM905" s="228"/>
      <c r="BN905" s="228"/>
      <c r="BO905" s="228"/>
      <c r="BP905" s="228"/>
      <c r="BQ905" s="228"/>
      <c r="BR905" s="228"/>
      <c r="BS905" s="228"/>
      <c r="BT905" s="228"/>
      <c r="BU905" s="228"/>
      <c r="BV905" s="228"/>
      <c r="BW905" s="228"/>
      <c r="BX905" s="228"/>
      <c r="BY905" s="228"/>
      <c r="BZ905" s="228"/>
      <c r="CA905" s="228"/>
      <c r="CB905" s="228"/>
      <c r="CC905" s="228"/>
      <c r="CD905" s="228"/>
      <c r="CE905" s="228"/>
      <c r="CF905" s="228"/>
      <c r="CG905" s="228"/>
      <c r="CH905" s="228"/>
      <c r="CI905" s="228"/>
      <c r="CJ905" s="228"/>
      <c r="CK905" s="228"/>
      <c r="CL905" s="228"/>
      <c r="CM905" s="228"/>
      <c r="CN905" s="228"/>
      <c r="CO905" s="228"/>
      <c r="CP905" s="228"/>
      <c r="CQ905" s="228"/>
      <c r="CR905" s="228"/>
      <c r="CS905" s="228"/>
      <c r="CT905" s="228"/>
      <c r="CU905" s="228"/>
      <c r="CV905" s="228"/>
      <c r="CW905" s="228"/>
      <c r="CX905" s="228"/>
      <c r="CY905" s="228"/>
      <c r="CZ905" s="228"/>
      <c r="DA905" s="228"/>
      <c r="DB905" s="228"/>
    </row>
    <row r="906" ht="12.0" customHeight="1">
      <c r="A906" s="228"/>
      <c r="B906" s="228"/>
      <c r="C906" s="228"/>
      <c r="D906" s="228"/>
      <c r="E906" s="228"/>
      <c r="F906" s="228"/>
      <c r="G906" s="228"/>
      <c r="H906" s="228"/>
      <c r="I906" s="228"/>
      <c r="J906" s="228"/>
      <c r="K906" s="228"/>
      <c r="L906" s="228"/>
      <c r="M906" s="228"/>
      <c r="N906" s="228"/>
      <c r="O906" s="228"/>
      <c r="P906" s="228"/>
      <c r="Q906" s="228"/>
      <c r="R906" s="228"/>
      <c r="S906" s="228"/>
      <c r="T906" s="228"/>
      <c r="U906" s="228"/>
      <c r="V906" s="228"/>
      <c r="W906" s="228"/>
      <c r="X906" s="228"/>
      <c r="Y906" s="228"/>
      <c r="Z906" s="228"/>
      <c r="AA906" s="228"/>
      <c r="AB906" s="228"/>
      <c r="AC906" s="228"/>
      <c r="AD906" s="228"/>
      <c r="AE906" s="228"/>
      <c r="AF906" s="228"/>
      <c r="AG906" s="228"/>
      <c r="AH906" s="228"/>
      <c r="AI906" s="228"/>
      <c r="AJ906" s="228"/>
      <c r="AK906" s="228"/>
      <c r="AL906" s="228"/>
      <c r="AM906" s="228"/>
      <c r="AN906" s="228"/>
      <c r="AO906" s="228"/>
      <c r="AP906" s="228"/>
      <c r="AQ906" s="228"/>
      <c r="AR906" s="228"/>
      <c r="AS906" s="228"/>
      <c r="AT906" s="228"/>
      <c r="AU906" s="228"/>
      <c r="AV906" s="228"/>
      <c r="AW906" s="228"/>
      <c r="AX906" s="228"/>
      <c r="AY906" s="228"/>
      <c r="AZ906" s="228"/>
      <c r="BA906" s="228"/>
      <c r="BB906" s="228"/>
      <c r="BC906" s="228"/>
      <c r="BD906" s="228"/>
      <c r="BE906" s="228"/>
      <c r="BF906" s="228"/>
      <c r="BG906" s="228"/>
      <c r="BH906" s="228"/>
      <c r="BI906" s="228"/>
      <c r="BJ906" s="228"/>
      <c r="BK906" s="228"/>
      <c r="BL906" s="228"/>
      <c r="BM906" s="228"/>
      <c r="BN906" s="228"/>
      <c r="BO906" s="228"/>
      <c r="BP906" s="228"/>
      <c r="BQ906" s="228"/>
      <c r="BR906" s="228"/>
      <c r="BS906" s="228"/>
      <c r="BT906" s="228"/>
      <c r="BU906" s="228"/>
      <c r="BV906" s="228"/>
      <c r="BW906" s="228"/>
      <c r="BX906" s="228"/>
      <c r="BY906" s="228"/>
      <c r="BZ906" s="228"/>
      <c r="CA906" s="228"/>
      <c r="CB906" s="228"/>
      <c r="CC906" s="228"/>
      <c r="CD906" s="228"/>
      <c r="CE906" s="228"/>
      <c r="CF906" s="228"/>
      <c r="CG906" s="228"/>
      <c r="CH906" s="228"/>
      <c r="CI906" s="228"/>
      <c r="CJ906" s="228"/>
      <c r="CK906" s="228"/>
      <c r="CL906" s="228"/>
      <c r="CM906" s="228"/>
      <c r="CN906" s="228"/>
      <c r="CO906" s="228"/>
      <c r="CP906" s="228"/>
      <c r="CQ906" s="228"/>
      <c r="CR906" s="228"/>
      <c r="CS906" s="228"/>
      <c r="CT906" s="228"/>
      <c r="CU906" s="228"/>
      <c r="CV906" s="228"/>
      <c r="CW906" s="228"/>
      <c r="CX906" s="228"/>
      <c r="CY906" s="228"/>
      <c r="CZ906" s="228"/>
      <c r="DA906" s="228"/>
      <c r="DB906" s="228"/>
    </row>
    <row r="907" ht="12.0" customHeight="1">
      <c r="A907" s="228"/>
      <c r="B907" s="228"/>
      <c r="C907" s="228"/>
      <c r="D907" s="228"/>
      <c r="E907" s="228"/>
      <c r="F907" s="228"/>
      <c r="G907" s="228"/>
      <c r="H907" s="228"/>
      <c r="I907" s="228"/>
      <c r="J907" s="228"/>
      <c r="K907" s="228"/>
      <c r="L907" s="228"/>
      <c r="M907" s="228"/>
      <c r="N907" s="228"/>
      <c r="O907" s="228"/>
      <c r="P907" s="228"/>
      <c r="Q907" s="228"/>
      <c r="R907" s="228"/>
      <c r="S907" s="228"/>
      <c r="T907" s="228"/>
      <c r="U907" s="228"/>
      <c r="V907" s="228"/>
      <c r="W907" s="228"/>
      <c r="X907" s="228"/>
      <c r="Y907" s="228"/>
      <c r="Z907" s="228"/>
      <c r="AA907" s="228"/>
      <c r="AB907" s="228"/>
      <c r="AC907" s="228"/>
      <c r="AD907" s="228"/>
      <c r="AE907" s="228"/>
      <c r="AF907" s="228"/>
      <c r="AG907" s="228"/>
      <c r="AH907" s="228"/>
      <c r="AI907" s="228"/>
      <c r="AJ907" s="228"/>
      <c r="AK907" s="228"/>
      <c r="AL907" s="228"/>
      <c r="AM907" s="228"/>
      <c r="AN907" s="228"/>
      <c r="AO907" s="228"/>
      <c r="AP907" s="228"/>
      <c r="AQ907" s="228"/>
      <c r="AR907" s="228"/>
      <c r="AS907" s="228"/>
      <c r="AT907" s="228"/>
      <c r="AU907" s="228"/>
      <c r="AV907" s="228"/>
      <c r="AW907" s="228"/>
      <c r="AX907" s="228"/>
      <c r="AY907" s="228"/>
      <c r="AZ907" s="228"/>
      <c r="BA907" s="228"/>
      <c r="BB907" s="228"/>
      <c r="BC907" s="228"/>
      <c r="BD907" s="228"/>
      <c r="BE907" s="228"/>
      <c r="BF907" s="228"/>
      <c r="BG907" s="228"/>
      <c r="BH907" s="228"/>
      <c r="BI907" s="228"/>
      <c r="BJ907" s="228"/>
      <c r="BK907" s="228"/>
      <c r="BL907" s="228"/>
      <c r="BM907" s="228"/>
      <c r="BN907" s="228"/>
      <c r="BO907" s="228"/>
      <c r="BP907" s="228"/>
      <c r="BQ907" s="228"/>
      <c r="BR907" s="228"/>
      <c r="BS907" s="228"/>
      <c r="BT907" s="228"/>
      <c r="BU907" s="228"/>
      <c r="BV907" s="228"/>
      <c r="BW907" s="228"/>
      <c r="BX907" s="228"/>
      <c r="BY907" s="228"/>
      <c r="BZ907" s="228"/>
      <c r="CA907" s="228"/>
      <c r="CB907" s="228"/>
      <c r="CC907" s="228"/>
      <c r="CD907" s="228"/>
      <c r="CE907" s="228"/>
      <c r="CF907" s="228"/>
      <c r="CG907" s="228"/>
      <c r="CH907" s="228"/>
      <c r="CI907" s="228"/>
      <c r="CJ907" s="228"/>
      <c r="CK907" s="228"/>
      <c r="CL907" s="228"/>
      <c r="CM907" s="228"/>
      <c r="CN907" s="228"/>
      <c r="CO907" s="228"/>
      <c r="CP907" s="228"/>
      <c r="CQ907" s="228"/>
      <c r="CR907" s="228"/>
      <c r="CS907" s="228"/>
      <c r="CT907" s="228"/>
      <c r="CU907" s="228"/>
      <c r="CV907" s="228"/>
      <c r="CW907" s="228"/>
      <c r="CX907" s="228"/>
      <c r="CY907" s="228"/>
      <c r="CZ907" s="228"/>
      <c r="DA907" s="228"/>
      <c r="DB907" s="228"/>
    </row>
    <row r="908" ht="12.0" customHeight="1">
      <c r="A908" s="228"/>
      <c r="B908" s="228"/>
      <c r="C908" s="228"/>
      <c r="D908" s="228"/>
      <c r="E908" s="228"/>
      <c r="F908" s="228"/>
      <c r="G908" s="228"/>
      <c r="H908" s="228"/>
      <c r="I908" s="228"/>
      <c r="J908" s="228"/>
      <c r="K908" s="228"/>
      <c r="L908" s="228"/>
      <c r="M908" s="228"/>
      <c r="N908" s="228"/>
      <c r="O908" s="228"/>
      <c r="P908" s="228"/>
      <c r="Q908" s="228"/>
      <c r="R908" s="228"/>
      <c r="S908" s="228"/>
      <c r="T908" s="228"/>
      <c r="U908" s="228"/>
      <c r="V908" s="228"/>
      <c r="W908" s="228"/>
      <c r="X908" s="228"/>
      <c r="Y908" s="228"/>
      <c r="Z908" s="228"/>
      <c r="AA908" s="228"/>
      <c r="AB908" s="228"/>
      <c r="AC908" s="228"/>
      <c r="AD908" s="228"/>
      <c r="AE908" s="228"/>
      <c r="AF908" s="228"/>
      <c r="AG908" s="228"/>
      <c r="AH908" s="228"/>
      <c r="AI908" s="228"/>
      <c r="AJ908" s="228"/>
      <c r="AK908" s="228"/>
      <c r="AL908" s="228"/>
      <c r="AM908" s="228"/>
      <c r="AN908" s="228"/>
      <c r="AO908" s="228"/>
      <c r="AP908" s="228"/>
      <c r="AQ908" s="228"/>
      <c r="AR908" s="228"/>
      <c r="AS908" s="228"/>
      <c r="AT908" s="228"/>
      <c r="AU908" s="228"/>
      <c r="AV908" s="228"/>
      <c r="AW908" s="228"/>
      <c r="AX908" s="228"/>
      <c r="AY908" s="228"/>
      <c r="AZ908" s="228"/>
      <c r="BA908" s="228"/>
      <c r="BB908" s="228"/>
      <c r="BC908" s="228"/>
      <c r="BD908" s="228"/>
      <c r="BE908" s="228"/>
      <c r="BF908" s="228"/>
      <c r="BG908" s="228"/>
      <c r="BH908" s="228"/>
      <c r="BI908" s="228"/>
      <c r="BJ908" s="228"/>
      <c r="BK908" s="228"/>
      <c r="BL908" s="228"/>
      <c r="BM908" s="228"/>
      <c r="BN908" s="228"/>
      <c r="BO908" s="228"/>
      <c r="BP908" s="228"/>
      <c r="BQ908" s="228"/>
      <c r="BR908" s="228"/>
      <c r="BS908" s="228"/>
      <c r="BT908" s="228"/>
      <c r="BU908" s="228"/>
      <c r="BV908" s="228"/>
      <c r="BW908" s="228"/>
      <c r="BX908" s="228"/>
      <c r="BY908" s="228"/>
      <c r="BZ908" s="228"/>
      <c r="CA908" s="228"/>
      <c r="CB908" s="228"/>
      <c r="CC908" s="228"/>
      <c r="CD908" s="228"/>
      <c r="CE908" s="228"/>
      <c r="CF908" s="228"/>
      <c r="CG908" s="228"/>
      <c r="CH908" s="228"/>
      <c r="CI908" s="228"/>
      <c r="CJ908" s="228"/>
      <c r="CK908" s="228"/>
      <c r="CL908" s="228"/>
      <c r="CM908" s="228"/>
      <c r="CN908" s="228"/>
      <c r="CO908" s="228"/>
      <c r="CP908" s="228"/>
      <c r="CQ908" s="228"/>
      <c r="CR908" s="228"/>
      <c r="CS908" s="228"/>
      <c r="CT908" s="228"/>
      <c r="CU908" s="228"/>
      <c r="CV908" s="228"/>
      <c r="CW908" s="228"/>
      <c r="CX908" s="228"/>
      <c r="CY908" s="228"/>
      <c r="CZ908" s="228"/>
      <c r="DA908" s="228"/>
      <c r="DB908" s="228"/>
    </row>
    <row r="909" ht="12.0" customHeight="1">
      <c r="A909" s="228"/>
      <c r="B909" s="228"/>
      <c r="C909" s="228"/>
      <c r="D909" s="228"/>
      <c r="E909" s="228"/>
      <c r="F909" s="228"/>
      <c r="G909" s="228"/>
      <c r="H909" s="228"/>
      <c r="I909" s="228"/>
      <c r="J909" s="228"/>
      <c r="K909" s="228"/>
      <c r="L909" s="228"/>
      <c r="M909" s="228"/>
      <c r="N909" s="228"/>
      <c r="O909" s="228"/>
      <c r="P909" s="228"/>
      <c r="Q909" s="228"/>
      <c r="R909" s="228"/>
      <c r="S909" s="228"/>
      <c r="T909" s="228"/>
      <c r="U909" s="228"/>
      <c r="V909" s="228"/>
      <c r="W909" s="228"/>
      <c r="X909" s="228"/>
      <c r="Y909" s="228"/>
      <c r="Z909" s="228"/>
      <c r="AA909" s="228"/>
      <c r="AB909" s="228"/>
      <c r="AC909" s="228"/>
      <c r="AD909" s="228"/>
      <c r="AE909" s="228"/>
      <c r="AF909" s="228"/>
      <c r="AG909" s="228"/>
      <c r="AH909" s="228"/>
      <c r="AI909" s="228"/>
      <c r="AJ909" s="228"/>
      <c r="AK909" s="228"/>
      <c r="AL909" s="228"/>
      <c r="AM909" s="228"/>
      <c r="AN909" s="228"/>
      <c r="AO909" s="228"/>
      <c r="AP909" s="228"/>
      <c r="AQ909" s="228"/>
      <c r="AR909" s="228"/>
      <c r="AS909" s="228"/>
      <c r="AT909" s="228"/>
      <c r="AU909" s="228"/>
      <c r="AV909" s="228"/>
      <c r="AW909" s="228"/>
      <c r="AX909" s="228"/>
      <c r="AY909" s="228"/>
      <c r="AZ909" s="228"/>
      <c r="BA909" s="228"/>
      <c r="BB909" s="228"/>
      <c r="BC909" s="228"/>
      <c r="BD909" s="228"/>
      <c r="BE909" s="228"/>
      <c r="BF909" s="228"/>
      <c r="BG909" s="228"/>
      <c r="BH909" s="228"/>
      <c r="BI909" s="228"/>
      <c r="BJ909" s="228"/>
      <c r="BK909" s="228"/>
      <c r="BL909" s="228"/>
      <c r="BM909" s="228"/>
      <c r="BN909" s="228"/>
      <c r="BO909" s="228"/>
      <c r="BP909" s="228"/>
      <c r="BQ909" s="228"/>
      <c r="BR909" s="228"/>
      <c r="BS909" s="228"/>
      <c r="BT909" s="228"/>
      <c r="BU909" s="228"/>
      <c r="BV909" s="228"/>
      <c r="BW909" s="228"/>
      <c r="BX909" s="228"/>
      <c r="BY909" s="228"/>
      <c r="BZ909" s="228"/>
      <c r="CA909" s="228"/>
      <c r="CB909" s="228"/>
      <c r="CC909" s="228"/>
      <c r="CD909" s="228"/>
      <c r="CE909" s="228"/>
      <c r="CF909" s="228"/>
      <c r="CG909" s="228"/>
      <c r="CH909" s="228"/>
      <c r="CI909" s="228"/>
      <c r="CJ909" s="228"/>
      <c r="CK909" s="228"/>
      <c r="CL909" s="228"/>
      <c r="CM909" s="228"/>
      <c r="CN909" s="228"/>
      <c r="CO909" s="228"/>
      <c r="CP909" s="228"/>
      <c r="CQ909" s="228"/>
      <c r="CR909" s="228"/>
      <c r="CS909" s="228"/>
      <c r="CT909" s="228"/>
      <c r="CU909" s="228"/>
      <c r="CV909" s="228"/>
      <c r="CW909" s="228"/>
      <c r="CX909" s="228"/>
      <c r="CY909" s="228"/>
      <c r="CZ909" s="228"/>
      <c r="DA909" s="228"/>
      <c r="DB909" s="228"/>
    </row>
    <row r="910" ht="12.0" customHeight="1">
      <c r="A910" s="228"/>
      <c r="B910" s="228"/>
      <c r="C910" s="228"/>
      <c r="D910" s="228"/>
      <c r="E910" s="228"/>
      <c r="F910" s="228"/>
      <c r="G910" s="228"/>
      <c r="H910" s="228"/>
      <c r="I910" s="228"/>
      <c r="J910" s="228"/>
      <c r="K910" s="228"/>
      <c r="L910" s="228"/>
      <c r="M910" s="228"/>
      <c r="N910" s="228"/>
      <c r="O910" s="228"/>
      <c r="P910" s="228"/>
      <c r="Q910" s="228"/>
      <c r="R910" s="228"/>
      <c r="S910" s="228"/>
      <c r="T910" s="228"/>
      <c r="U910" s="228"/>
      <c r="V910" s="228"/>
      <c r="W910" s="228"/>
      <c r="X910" s="228"/>
      <c r="Y910" s="228"/>
      <c r="Z910" s="228"/>
      <c r="AA910" s="228"/>
      <c r="AB910" s="228"/>
      <c r="AC910" s="228"/>
      <c r="AD910" s="228"/>
      <c r="AE910" s="228"/>
      <c r="AF910" s="228"/>
      <c r="AG910" s="228"/>
      <c r="AH910" s="228"/>
      <c r="AI910" s="228"/>
      <c r="AJ910" s="228"/>
      <c r="AK910" s="228"/>
      <c r="AL910" s="228"/>
      <c r="AM910" s="228"/>
      <c r="AN910" s="228"/>
      <c r="AO910" s="228"/>
      <c r="AP910" s="228"/>
      <c r="AQ910" s="228"/>
      <c r="AR910" s="228"/>
      <c r="AS910" s="228"/>
      <c r="AT910" s="228"/>
      <c r="AU910" s="228"/>
      <c r="AV910" s="228"/>
      <c r="AW910" s="228"/>
      <c r="AX910" s="228"/>
      <c r="AY910" s="228"/>
      <c r="AZ910" s="228"/>
      <c r="BA910" s="228"/>
      <c r="BB910" s="228"/>
      <c r="BC910" s="228"/>
      <c r="BD910" s="228"/>
      <c r="BE910" s="228"/>
      <c r="BF910" s="228"/>
      <c r="BG910" s="228"/>
      <c r="BH910" s="228"/>
      <c r="BI910" s="228"/>
      <c r="BJ910" s="228"/>
      <c r="BK910" s="228"/>
      <c r="BL910" s="228"/>
      <c r="BM910" s="228"/>
      <c r="BN910" s="228"/>
      <c r="BO910" s="228"/>
      <c r="BP910" s="228"/>
      <c r="BQ910" s="228"/>
      <c r="BR910" s="228"/>
      <c r="BS910" s="228"/>
      <c r="BT910" s="228"/>
      <c r="BU910" s="228"/>
      <c r="BV910" s="228"/>
      <c r="BW910" s="228"/>
      <c r="BX910" s="228"/>
      <c r="BY910" s="228"/>
      <c r="BZ910" s="228"/>
      <c r="CA910" s="228"/>
      <c r="CB910" s="228"/>
      <c r="CC910" s="228"/>
      <c r="CD910" s="228"/>
      <c r="CE910" s="228"/>
      <c r="CF910" s="228"/>
      <c r="CG910" s="228"/>
      <c r="CH910" s="228"/>
      <c r="CI910" s="228"/>
      <c r="CJ910" s="228"/>
      <c r="CK910" s="228"/>
      <c r="CL910" s="228"/>
      <c r="CM910" s="228"/>
      <c r="CN910" s="228"/>
      <c r="CO910" s="228"/>
      <c r="CP910" s="228"/>
      <c r="CQ910" s="228"/>
      <c r="CR910" s="228"/>
      <c r="CS910" s="228"/>
      <c r="CT910" s="228"/>
      <c r="CU910" s="228"/>
      <c r="CV910" s="228"/>
      <c r="CW910" s="228"/>
      <c r="CX910" s="228"/>
      <c r="CY910" s="228"/>
      <c r="CZ910" s="228"/>
      <c r="DA910" s="228"/>
      <c r="DB910" s="228"/>
    </row>
    <row r="911" ht="12.0" customHeight="1">
      <c r="A911" s="228"/>
      <c r="B911" s="228"/>
      <c r="C911" s="228"/>
      <c r="D911" s="228"/>
      <c r="E911" s="228"/>
      <c r="F911" s="228"/>
      <c r="G911" s="228"/>
      <c r="H911" s="228"/>
      <c r="I911" s="228"/>
      <c r="J911" s="228"/>
      <c r="K911" s="228"/>
      <c r="L911" s="228"/>
      <c r="M911" s="228"/>
      <c r="N911" s="228"/>
      <c r="O911" s="228"/>
      <c r="P911" s="228"/>
      <c r="Q911" s="228"/>
      <c r="R911" s="228"/>
      <c r="S911" s="228"/>
      <c r="T911" s="228"/>
      <c r="U911" s="228"/>
      <c r="V911" s="228"/>
      <c r="W911" s="228"/>
      <c r="X911" s="228"/>
      <c r="Y911" s="228"/>
      <c r="Z911" s="228"/>
      <c r="AA911" s="228"/>
      <c r="AB911" s="228"/>
      <c r="AC911" s="228"/>
      <c r="AD911" s="228"/>
      <c r="AE911" s="228"/>
      <c r="AF911" s="228"/>
      <c r="AG911" s="228"/>
      <c r="AH911" s="228"/>
      <c r="AI911" s="228"/>
      <c r="AJ911" s="228"/>
      <c r="AK911" s="228"/>
      <c r="AL911" s="228"/>
      <c r="AM911" s="228"/>
      <c r="AN911" s="228"/>
      <c r="AO911" s="228"/>
      <c r="AP911" s="228"/>
      <c r="AQ911" s="228"/>
      <c r="AR911" s="228"/>
      <c r="AS911" s="228"/>
      <c r="AT911" s="228"/>
      <c r="AU911" s="228"/>
      <c r="AV911" s="228"/>
      <c r="AW911" s="228"/>
      <c r="AX911" s="228"/>
      <c r="AY911" s="228"/>
      <c r="AZ911" s="228"/>
      <c r="BA911" s="228"/>
      <c r="BB911" s="228"/>
      <c r="BC911" s="228"/>
      <c r="BD911" s="228"/>
      <c r="BE911" s="228"/>
      <c r="BF911" s="228"/>
      <c r="BG911" s="228"/>
      <c r="BH911" s="228"/>
      <c r="BI911" s="228"/>
      <c r="BJ911" s="228"/>
      <c r="BK911" s="228"/>
      <c r="BL911" s="228"/>
      <c r="BM911" s="228"/>
      <c r="BN911" s="228"/>
      <c r="BO911" s="228"/>
      <c r="BP911" s="228"/>
      <c r="BQ911" s="228"/>
      <c r="BR911" s="228"/>
      <c r="BS911" s="228"/>
      <c r="BT911" s="228"/>
      <c r="BU911" s="228"/>
      <c r="BV911" s="228"/>
      <c r="BW911" s="228"/>
      <c r="BX911" s="228"/>
      <c r="BY911" s="228"/>
      <c r="BZ911" s="228"/>
      <c r="CA911" s="228"/>
      <c r="CB911" s="228"/>
      <c r="CC911" s="228"/>
      <c r="CD911" s="228"/>
      <c r="CE911" s="228"/>
      <c r="CF911" s="228"/>
      <c r="CG911" s="228"/>
      <c r="CH911" s="228"/>
      <c r="CI911" s="228"/>
      <c r="CJ911" s="228"/>
      <c r="CK911" s="228"/>
      <c r="CL911" s="228"/>
      <c r="CM911" s="228"/>
      <c r="CN911" s="228"/>
      <c r="CO911" s="228"/>
      <c r="CP911" s="228"/>
      <c r="CQ911" s="228"/>
      <c r="CR911" s="228"/>
      <c r="CS911" s="228"/>
      <c r="CT911" s="228"/>
      <c r="CU911" s="228"/>
      <c r="CV911" s="228"/>
      <c r="CW911" s="228"/>
      <c r="CX911" s="228"/>
      <c r="CY911" s="228"/>
      <c r="CZ911" s="228"/>
      <c r="DA911" s="228"/>
      <c r="DB911" s="228"/>
    </row>
    <row r="912" ht="12.0" customHeight="1">
      <c r="A912" s="228"/>
      <c r="B912" s="228"/>
      <c r="C912" s="228"/>
      <c r="D912" s="228"/>
      <c r="E912" s="228"/>
      <c r="F912" s="228"/>
      <c r="G912" s="228"/>
      <c r="H912" s="228"/>
      <c r="I912" s="228"/>
      <c r="J912" s="228"/>
      <c r="K912" s="228"/>
      <c r="L912" s="228"/>
      <c r="M912" s="228"/>
      <c r="N912" s="228"/>
      <c r="O912" s="228"/>
      <c r="P912" s="228"/>
      <c r="Q912" s="228"/>
      <c r="R912" s="228"/>
      <c r="S912" s="228"/>
      <c r="T912" s="228"/>
      <c r="U912" s="228"/>
      <c r="V912" s="228"/>
      <c r="W912" s="228"/>
      <c r="X912" s="228"/>
      <c r="Y912" s="228"/>
      <c r="Z912" s="228"/>
      <c r="AA912" s="228"/>
      <c r="AB912" s="228"/>
      <c r="AC912" s="228"/>
      <c r="AD912" s="228"/>
      <c r="AE912" s="228"/>
      <c r="AF912" s="228"/>
      <c r="AG912" s="228"/>
      <c r="AH912" s="228"/>
      <c r="AI912" s="228"/>
      <c r="AJ912" s="228"/>
      <c r="AK912" s="228"/>
      <c r="AL912" s="228"/>
      <c r="AM912" s="228"/>
      <c r="AN912" s="228"/>
      <c r="AO912" s="228"/>
      <c r="AP912" s="228"/>
      <c r="AQ912" s="228"/>
      <c r="AR912" s="228"/>
      <c r="AS912" s="228"/>
      <c r="AT912" s="228"/>
      <c r="AU912" s="228"/>
      <c r="AV912" s="228"/>
      <c r="AW912" s="228"/>
      <c r="AX912" s="228"/>
      <c r="AY912" s="228"/>
      <c r="AZ912" s="228"/>
      <c r="BA912" s="228"/>
      <c r="BB912" s="228"/>
      <c r="BC912" s="228"/>
      <c r="BD912" s="228"/>
      <c r="BE912" s="228"/>
      <c r="BF912" s="228"/>
      <c r="BG912" s="228"/>
      <c r="BH912" s="228"/>
      <c r="BI912" s="228"/>
      <c r="BJ912" s="228"/>
      <c r="BK912" s="228"/>
      <c r="BL912" s="228"/>
      <c r="BM912" s="228"/>
      <c r="BN912" s="228"/>
      <c r="BO912" s="228"/>
      <c r="BP912" s="228"/>
      <c r="BQ912" s="228"/>
      <c r="BR912" s="228"/>
      <c r="BS912" s="228"/>
      <c r="BT912" s="228"/>
      <c r="BU912" s="228"/>
      <c r="BV912" s="228"/>
      <c r="BW912" s="228"/>
      <c r="BX912" s="228"/>
      <c r="BY912" s="228"/>
      <c r="BZ912" s="228"/>
      <c r="CA912" s="228"/>
      <c r="CB912" s="228"/>
      <c r="CC912" s="228"/>
      <c r="CD912" s="228"/>
      <c r="CE912" s="228"/>
      <c r="CF912" s="228"/>
      <c r="CG912" s="228"/>
      <c r="CH912" s="228"/>
      <c r="CI912" s="228"/>
      <c r="CJ912" s="228"/>
      <c r="CK912" s="228"/>
      <c r="CL912" s="228"/>
      <c r="CM912" s="228"/>
      <c r="CN912" s="228"/>
      <c r="CO912" s="228"/>
      <c r="CP912" s="228"/>
      <c r="CQ912" s="228"/>
      <c r="CR912" s="228"/>
      <c r="CS912" s="228"/>
      <c r="CT912" s="228"/>
      <c r="CU912" s="228"/>
      <c r="CV912" s="228"/>
      <c r="CW912" s="228"/>
      <c r="CX912" s="228"/>
      <c r="CY912" s="228"/>
      <c r="CZ912" s="228"/>
      <c r="DA912" s="228"/>
      <c r="DB912" s="228"/>
    </row>
    <row r="913" ht="12.0" customHeight="1">
      <c r="A913" s="228"/>
      <c r="B913" s="228"/>
      <c r="C913" s="228"/>
      <c r="D913" s="228"/>
      <c r="E913" s="228"/>
      <c r="F913" s="228"/>
      <c r="G913" s="228"/>
      <c r="H913" s="228"/>
      <c r="I913" s="228"/>
      <c r="J913" s="228"/>
      <c r="K913" s="228"/>
      <c r="L913" s="228"/>
      <c r="M913" s="228"/>
      <c r="N913" s="228"/>
      <c r="O913" s="228"/>
      <c r="P913" s="228"/>
      <c r="Q913" s="228"/>
      <c r="R913" s="228"/>
      <c r="S913" s="228"/>
      <c r="T913" s="228"/>
      <c r="U913" s="228"/>
      <c r="V913" s="228"/>
      <c r="W913" s="228"/>
      <c r="X913" s="228"/>
      <c r="Y913" s="228"/>
      <c r="Z913" s="228"/>
      <c r="AA913" s="228"/>
      <c r="AB913" s="228"/>
      <c r="AC913" s="228"/>
      <c r="AD913" s="228"/>
      <c r="AE913" s="228"/>
      <c r="AF913" s="228"/>
      <c r="AG913" s="228"/>
      <c r="AH913" s="228"/>
      <c r="AI913" s="228"/>
      <c r="AJ913" s="228"/>
      <c r="AK913" s="228"/>
      <c r="AL913" s="228"/>
      <c r="AM913" s="228"/>
      <c r="AN913" s="228"/>
      <c r="AO913" s="228"/>
      <c r="AP913" s="228"/>
      <c r="AQ913" s="228"/>
      <c r="AR913" s="228"/>
      <c r="AS913" s="228"/>
      <c r="AT913" s="228"/>
      <c r="AU913" s="228"/>
      <c r="AV913" s="228"/>
      <c r="AW913" s="228"/>
      <c r="AX913" s="228"/>
      <c r="AY913" s="228"/>
      <c r="AZ913" s="228"/>
      <c r="BA913" s="228"/>
      <c r="BB913" s="228"/>
      <c r="BC913" s="228"/>
      <c r="BD913" s="228"/>
      <c r="BE913" s="228"/>
      <c r="BF913" s="228"/>
      <c r="BG913" s="228"/>
      <c r="BH913" s="228"/>
      <c r="BI913" s="228"/>
      <c r="BJ913" s="228"/>
      <c r="BK913" s="228"/>
      <c r="BL913" s="228"/>
      <c r="BM913" s="228"/>
      <c r="BN913" s="228"/>
      <c r="BO913" s="228"/>
      <c r="BP913" s="228"/>
      <c r="BQ913" s="228"/>
      <c r="BR913" s="228"/>
      <c r="BS913" s="228"/>
      <c r="BT913" s="228"/>
      <c r="BU913" s="228"/>
      <c r="BV913" s="228"/>
      <c r="BW913" s="228"/>
      <c r="BX913" s="228"/>
      <c r="BY913" s="228"/>
      <c r="BZ913" s="228"/>
      <c r="CA913" s="228"/>
      <c r="CB913" s="228"/>
      <c r="CC913" s="228"/>
      <c r="CD913" s="228"/>
      <c r="CE913" s="228"/>
      <c r="CF913" s="228"/>
      <c r="CG913" s="228"/>
      <c r="CH913" s="228"/>
      <c r="CI913" s="228"/>
      <c r="CJ913" s="228"/>
      <c r="CK913" s="228"/>
      <c r="CL913" s="228"/>
      <c r="CM913" s="228"/>
      <c r="CN913" s="228"/>
      <c r="CO913" s="228"/>
      <c r="CP913" s="228"/>
      <c r="CQ913" s="228"/>
      <c r="CR913" s="228"/>
      <c r="CS913" s="228"/>
      <c r="CT913" s="228"/>
      <c r="CU913" s="228"/>
      <c r="CV913" s="228"/>
      <c r="CW913" s="228"/>
      <c r="CX913" s="228"/>
      <c r="CY913" s="228"/>
      <c r="CZ913" s="228"/>
      <c r="DA913" s="228"/>
      <c r="DB913" s="228"/>
    </row>
    <row r="914" ht="12.0" customHeight="1">
      <c r="A914" s="228"/>
      <c r="B914" s="228"/>
      <c r="C914" s="228"/>
      <c r="D914" s="228"/>
      <c r="E914" s="228"/>
      <c r="F914" s="228"/>
      <c r="G914" s="228"/>
      <c r="H914" s="228"/>
      <c r="I914" s="228"/>
      <c r="J914" s="228"/>
      <c r="K914" s="228"/>
      <c r="L914" s="228"/>
      <c r="M914" s="228"/>
      <c r="N914" s="228"/>
      <c r="O914" s="228"/>
      <c r="P914" s="228"/>
      <c r="Q914" s="228"/>
      <c r="R914" s="228"/>
      <c r="S914" s="228"/>
      <c r="T914" s="228"/>
      <c r="U914" s="228"/>
      <c r="V914" s="228"/>
      <c r="W914" s="228"/>
      <c r="X914" s="228"/>
      <c r="Y914" s="228"/>
      <c r="Z914" s="228"/>
      <c r="AA914" s="228"/>
      <c r="AB914" s="228"/>
      <c r="AC914" s="228"/>
      <c r="AD914" s="228"/>
      <c r="AE914" s="228"/>
      <c r="AF914" s="228"/>
      <c r="AG914" s="228"/>
      <c r="AH914" s="228"/>
      <c r="AI914" s="228"/>
      <c r="AJ914" s="228"/>
      <c r="AK914" s="228"/>
      <c r="AL914" s="228"/>
      <c r="AM914" s="228"/>
      <c r="AN914" s="228"/>
      <c r="AO914" s="228"/>
      <c r="AP914" s="228"/>
      <c r="AQ914" s="228"/>
      <c r="AR914" s="228"/>
      <c r="AS914" s="228"/>
      <c r="AT914" s="228"/>
      <c r="AU914" s="228"/>
      <c r="AV914" s="228"/>
      <c r="AW914" s="228"/>
      <c r="AX914" s="228"/>
      <c r="AY914" s="228"/>
      <c r="AZ914" s="228"/>
      <c r="BA914" s="228"/>
      <c r="BB914" s="228"/>
      <c r="BC914" s="228"/>
      <c r="BD914" s="228"/>
      <c r="BE914" s="228"/>
      <c r="BF914" s="228"/>
      <c r="BG914" s="228"/>
      <c r="BH914" s="228"/>
      <c r="BI914" s="228"/>
      <c r="BJ914" s="228"/>
      <c r="BK914" s="228"/>
      <c r="BL914" s="228"/>
      <c r="BM914" s="228"/>
      <c r="BN914" s="228"/>
      <c r="BO914" s="228"/>
      <c r="BP914" s="228"/>
      <c r="BQ914" s="228"/>
      <c r="BR914" s="228"/>
      <c r="BS914" s="228"/>
      <c r="BT914" s="228"/>
      <c r="BU914" s="228"/>
      <c r="BV914" s="228"/>
      <c r="BW914" s="228"/>
      <c r="BX914" s="228"/>
      <c r="BY914" s="228"/>
      <c r="BZ914" s="228"/>
      <c r="CA914" s="228"/>
      <c r="CB914" s="228"/>
      <c r="CC914" s="228"/>
      <c r="CD914" s="228"/>
      <c r="CE914" s="228"/>
      <c r="CF914" s="228"/>
      <c r="CG914" s="228"/>
      <c r="CH914" s="228"/>
      <c r="CI914" s="228"/>
      <c r="CJ914" s="228"/>
      <c r="CK914" s="228"/>
      <c r="CL914" s="228"/>
      <c r="CM914" s="228"/>
      <c r="CN914" s="228"/>
      <c r="CO914" s="228"/>
      <c r="CP914" s="228"/>
      <c r="CQ914" s="228"/>
      <c r="CR914" s="228"/>
      <c r="CS914" s="228"/>
      <c r="CT914" s="228"/>
      <c r="CU914" s="228"/>
      <c r="CV914" s="228"/>
      <c r="CW914" s="228"/>
      <c r="CX914" s="228"/>
      <c r="CY914" s="228"/>
      <c r="CZ914" s="228"/>
      <c r="DA914" s="228"/>
      <c r="DB914" s="228"/>
    </row>
    <row r="915" ht="12.0" customHeight="1">
      <c r="A915" s="228"/>
      <c r="B915" s="228"/>
      <c r="C915" s="228"/>
      <c r="D915" s="228"/>
      <c r="E915" s="228"/>
      <c r="F915" s="228"/>
      <c r="G915" s="228"/>
      <c r="H915" s="228"/>
      <c r="I915" s="228"/>
      <c r="J915" s="228"/>
      <c r="K915" s="228"/>
      <c r="L915" s="228"/>
      <c r="M915" s="228"/>
      <c r="N915" s="228"/>
      <c r="O915" s="228"/>
      <c r="P915" s="228"/>
      <c r="Q915" s="228"/>
      <c r="R915" s="228"/>
      <c r="S915" s="228"/>
      <c r="T915" s="228"/>
      <c r="U915" s="228"/>
      <c r="V915" s="228"/>
      <c r="W915" s="228"/>
      <c r="X915" s="228"/>
      <c r="Y915" s="228"/>
      <c r="Z915" s="228"/>
      <c r="AA915" s="228"/>
      <c r="AB915" s="228"/>
      <c r="AC915" s="228"/>
      <c r="AD915" s="228"/>
      <c r="AE915" s="228"/>
      <c r="AF915" s="228"/>
      <c r="AG915" s="228"/>
      <c r="AH915" s="228"/>
      <c r="AI915" s="228"/>
      <c r="AJ915" s="228"/>
      <c r="AK915" s="228"/>
      <c r="AL915" s="228"/>
      <c r="AM915" s="228"/>
      <c r="AN915" s="228"/>
      <c r="AO915" s="228"/>
      <c r="AP915" s="228"/>
      <c r="AQ915" s="228"/>
      <c r="AR915" s="228"/>
      <c r="AS915" s="228"/>
      <c r="AT915" s="228"/>
      <c r="AU915" s="228"/>
      <c r="AV915" s="228"/>
      <c r="AW915" s="228"/>
      <c r="AX915" s="228"/>
      <c r="AY915" s="228"/>
      <c r="AZ915" s="228"/>
      <c r="BA915" s="228"/>
      <c r="BB915" s="228"/>
      <c r="BC915" s="228"/>
      <c r="BD915" s="228"/>
      <c r="BE915" s="228"/>
      <c r="BF915" s="228"/>
      <c r="BG915" s="228"/>
      <c r="BH915" s="228"/>
      <c r="BI915" s="228"/>
      <c r="BJ915" s="228"/>
      <c r="BK915" s="228"/>
      <c r="BL915" s="228"/>
      <c r="BM915" s="228"/>
      <c r="BN915" s="228"/>
      <c r="BO915" s="228"/>
      <c r="BP915" s="228"/>
      <c r="BQ915" s="228"/>
      <c r="BR915" s="228"/>
      <c r="BS915" s="228"/>
      <c r="BT915" s="228"/>
      <c r="BU915" s="228"/>
      <c r="BV915" s="228"/>
      <c r="BW915" s="228"/>
      <c r="BX915" s="228"/>
      <c r="BY915" s="228"/>
      <c r="BZ915" s="228"/>
      <c r="CA915" s="228"/>
      <c r="CB915" s="228"/>
      <c r="CC915" s="228"/>
      <c r="CD915" s="228"/>
      <c r="CE915" s="228"/>
      <c r="CF915" s="228"/>
      <c r="CG915" s="228"/>
      <c r="CH915" s="228"/>
      <c r="CI915" s="228"/>
      <c r="CJ915" s="228"/>
      <c r="CK915" s="228"/>
      <c r="CL915" s="228"/>
      <c r="CM915" s="228"/>
      <c r="CN915" s="228"/>
      <c r="CO915" s="228"/>
      <c r="CP915" s="228"/>
      <c r="CQ915" s="228"/>
      <c r="CR915" s="228"/>
      <c r="CS915" s="228"/>
      <c r="CT915" s="228"/>
      <c r="CU915" s="228"/>
      <c r="CV915" s="228"/>
      <c r="CW915" s="228"/>
      <c r="CX915" s="228"/>
      <c r="CY915" s="228"/>
      <c r="CZ915" s="228"/>
      <c r="DA915" s="228"/>
      <c r="DB915" s="228"/>
    </row>
    <row r="916" ht="12.0" customHeight="1">
      <c r="A916" s="228"/>
      <c r="B916" s="228"/>
      <c r="C916" s="228"/>
      <c r="D916" s="228"/>
      <c r="E916" s="228"/>
      <c r="F916" s="228"/>
      <c r="G916" s="228"/>
      <c r="H916" s="228"/>
      <c r="I916" s="228"/>
      <c r="J916" s="228"/>
      <c r="K916" s="228"/>
      <c r="L916" s="228"/>
      <c r="M916" s="228"/>
      <c r="N916" s="228"/>
      <c r="O916" s="228"/>
      <c r="P916" s="228"/>
      <c r="Q916" s="228"/>
      <c r="R916" s="228"/>
      <c r="S916" s="228"/>
      <c r="T916" s="228"/>
      <c r="U916" s="228"/>
      <c r="V916" s="228"/>
      <c r="W916" s="228"/>
      <c r="X916" s="228"/>
      <c r="Y916" s="228"/>
      <c r="Z916" s="228"/>
      <c r="AA916" s="228"/>
      <c r="AB916" s="228"/>
      <c r="AC916" s="228"/>
      <c r="AD916" s="228"/>
      <c r="AE916" s="228"/>
      <c r="AF916" s="228"/>
      <c r="AG916" s="228"/>
      <c r="AH916" s="228"/>
      <c r="AI916" s="228"/>
      <c r="AJ916" s="228"/>
      <c r="AK916" s="228"/>
      <c r="AL916" s="228"/>
      <c r="AM916" s="228"/>
      <c r="AN916" s="228"/>
      <c r="AO916" s="228"/>
      <c r="AP916" s="228"/>
      <c r="AQ916" s="228"/>
      <c r="AR916" s="228"/>
      <c r="AS916" s="228"/>
      <c r="AT916" s="228"/>
      <c r="AU916" s="228"/>
      <c r="AV916" s="228"/>
      <c r="AW916" s="228"/>
      <c r="AX916" s="228"/>
      <c r="AY916" s="228"/>
      <c r="AZ916" s="228"/>
      <c r="BA916" s="228"/>
      <c r="BB916" s="228"/>
      <c r="BC916" s="228"/>
      <c r="BD916" s="228"/>
      <c r="BE916" s="228"/>
      <c r="BF916" s="228"/>
      <c r="BG916" s="228"/>
      <c r="BH916" s="228"/>
      <c r="BI916" s="228"/>
      <c r="BJ916" s="228"/>
      <c r="BK916" s="228"/>
      <c r="BL916" s="228"/>
      <c r="BM916" s="228"/>
      <c r="BN916" s="228"/>
      <c r="BO916" s="228"/>
      <c r="BP916" s="228"/>
      <c r="BQ916" s="228"/>
      <c r="BR916" s="228"/>
      <c r="BS916" s="228"/>
      <c r="BT916" s="228"/>
      <c r="BU916" s="228"/>
      <c r="BV916" s="228"/>
      <c r="BW916" s="228"/>
      <c r="BX916" s="228"/>
      <c r="BY916" s="228"/>
      <c r="BZ916" s="228"/>
      <c r="CA916" s="228"/>
      <c r="CB916" s="228"/>
      <c r="CC916" s="228"/>
      <c r="CD916" s="228"/>
      <c r="CE916" s="228"/>
      <c r="CF916" s="228"/>
      <c r="CG916" s="228"/>
      <c r="CH916" s="228"/>
      <c r="CI916" s="228"/>
      <c r="CJ916" s="228"/>
      <c r="CK916" s="228"/>
      <c r="CL916" s="228"/>
      <c r="CM916" s="228"/>
      <c r="CN916" s="228"/>
      <c r="CO916" s="228"/>
      <c r="CP916" s="228"/>
      <c r="CQ916" s="228"/>
      <c r="CR916" s="228"/>
      <c r="CS916" s="228"/>
      <c r="CT916" s="228"/>
      <c r="CU916" s="228"/>
      <c r="CV916" s="228"/>
      <c r="CW916" s="228"/>
      <c r="CX916" s="228"/>
      <c r="CY916" s="228"/>
      <c r="CZ916" s="228"/>
      <c r="DA916" s="228"/>
      <c r="DB916" s="228"/>
    </row>
    <row r="917" ht="12.0" customHeight="1">
      <c r="A917" s="228"/>
      <c r="B917" s="228"/>
      <c r="C917" s="228"/>
      <c r="D917" s="228"/>
      <c r="E917" s="228"/>
      <c r="F917" s="228"/>
      <c r="G917" s="228"/>
      <c r="H917" s="228"/>
      <c r="I917" s="228"/>
      <c r="J917" s="228"/>
      <c r="K917" s="228"/>
      <c r="L917" s="228"/>
      <c r="M917" s="228"/>
      <c r="N917" s="228"/>
      <c r="O917" s="228"/>
      <c r="P917" s="228"/>
      <c r="Q917" s="228"/>
      <c r="R917" s="228"/>
      <c r="S917" s="228"/>
      <c r="T917" s="228"/>
      <c r="U917" s="228"/>
      <c r="V917" s="228"/>
      <c r="W917" s="228"/>
      <c r="X917" s="228"/>
      <c r="Y917" s="228"/>
      <c r="Z917" s="228"/>
      <c r="AA917" s="228"/>
      <c r="AB917" s="228"/>
      <c r="AC917" s="228"/>
      <c r="AD917" s="228"/>
      <c r="AE917" s="228"/>
      <c r="AF917" s="228"/>
      <c r="AG917" s="228"/>
      <c r="AH917" s="228"/>
      <c r="AI917" s="228"/>
      <c r="AJ917" s="228"/>
      <c r="AK917" s="228"/>
      <c r="AL917" s="228"/>
      <c r="AM917" s="228"/>
      <c r="AN917" s="228"/>
      <c r="AO917" s="228"/>
      <c r="AP917" s="228"/>
      <c r="AQ917" s="228"/>
      <c r="AR917" s="228"/>
      <c r="AS917" s="228"/>
      <c r="AT917" s="228"/>
      <c r="AU917" s="228"/>
      <c r="AV917" s="228"/>
      <c r="AW917" s="228"/>
      <c r="AX917" s="228"/>
      <c r="AY917" s="228"/>
      <c r="AZ917" s="228"/>
      <c r="BA917" s="228"/>
      <c r="BB917" s="228"/>
      <c r="BC917" s="228"/>
      <c r="BD917" s="228"/>
      <c r="BE917" s="228"/>
      <c r="BF917" s="228"/>
      <c r="BG917" s="228"/>
      <c r="BH917" s="228"/>
      <c r="BI917" s="228"/>
      <c r="BJ917" s="228"/>
      <c r="BK917" s="228"/>
      <c r="BL917" s="228"/>
      <c r="BM917" s="228"/>
      <c r="BN917" s="228"/>
      <c r="BO917" s="228"/>
      <c r="BP917" s="228"/>
      <c r="BQ917" s="228"/>
      <c r="BR917" s="228"/>
      <c r="BS917" s="228"/>
      <c r="BT917" s="228"/>
      <c r="BU917" s="228"/>
      <c r="BV917" s="228"/>
      <c r="BW917" s="228"/>
      <c r="BX917" s="228"/>
      <c r="BY917" s="228"/>
      <c r="BZ917" s="228"/>
      <c r="CA917" s="228"/>
      <c r="CB917" s="228"/>
      <c r="CC917" s="228"/>
      <c r="CD917" s="228"/>
      <c r="CE917" s="228"/>
      <c r="CF917" s="228"/>
      <c r="CG917" s="228"/>
      <c r="CH917" s="228"/>
      <c r="CI917" s="228"/>
      <c r="CJ917" s="228"/>
      <c r="CK917" s="228"/>
      <c r="CL917" s="228"/>
      <c r="CM917" s="228"/>
      <c r="CN917" s="228"/>
      <c r="CO917" s="228"/>
      <c r="CP917" s="228"/>
      <c r="CQ917" s="228"/>
      <c r="CR917" s="228"/>
      <c r="CS917" s="228"/>
      <c r="CT917" s="228"/>
      <c r="CU917" s="228"/>
      <c r="CV917" s="228"/>
      <c r="CW917" s="228"/>
      <c r="CX917" s="228"/>
      <c r="CY917" s="228"/>
      <c r="CZ917" s="228"/>
      <c r="DA917" s="228"/>
      <c r="DB917" s="228"/>
    </row>
    <row r="918" ht="12.0" customHeight="1">
      <c r="A918" s="228"/>
      <c r="B918" s="228"/>
      <c r="C918" s="228"/>
      <c r="D918" s="228"/>
      <c r="E918" s="228"/>
      <c r="F918" s="228"/>
      <c r="G918" s="228"/>
      <c r="H918" s="228"/>
      <c r="I918" s="228"/>
      <c r="J918" s="228"/>
      <c r="K918" s="228"/>
      <c r="L918" s="228"/>
      <c r="M918" s="228"/>
      <c r="N918" s="228"/>
      <c r="O918" s="228"/>
      <c r="P918" s="228"/>
      <c r="Q918" s="228"/>
      <c r="R918" s="228"/>
      <c r="S918" s="228"/>
      <c r="T918" s="228"/>
      <c r="U918" s="228"/>
      <c r="V918" s="228"/>
      <c r="W918" s="228"/>
      <c r="X918" s="228"/>
      <c r="Y918" s="228"/>
      <c r="Z918" s="228"/>
      <c r="AA918" s="228"/>
      <c r="AB918" s="228"/>
      <c r="AC918" s="228"/>
      <c r="AD918" s="228"/>
      <c r="AE918" s="228"/>
      <c r="AF918" s="228"/>
      <c r="AG918" s="228"/>
      <c r="AH918" s="228"/>
      <c r="AI918" s="228"/>
      <c r="AJ918" s="228"/>
      <c r="AK918" s="228"/>
      <c r="AL918" s="228"/>
      <c r="AM918" s="228"/>
      <c r="AN918" s="228"/>
      <c r="AO918" s="228"/>
      <c r="AP918" s="228"/>
      <c r="AQ918" s="228"/>
      <c r="AR918" s="228"/>
      <c r="AS918" s="228"/>
      <c r="AT918" s="228"/>
      <c r="AU918" s="228"/>
      <c r="AV918" s="228"/>
      <c r="AW918" s="228"/>
      <c r="AX918" s="228"/>
      <c r="AY918" s="228"/>
      <c r="AZ918" s="228"/>
      <c r="BA918" s="228"/>
      <c r="BB918" s="228"/>
      <c r="BC918" s="228"/>
      <c r="BD918" s="228"/>
      <c r="BE918" s="228"/>
      <c r="BF918" s="228"/>
      <c r="BG918" s="228"/>
      <c r="BH918" s="228"/>
      <c r="BI918" s="228"/>
      <c r="BJ918" s="228"/>
      <c r="BK918" s="228"/>
      <c r="BL918" s="228"/>
      <c r="BM918" s="228"/>
      <c r="BN918" s="228"/>
      <c r="BO918" s="228"/>
      <c r="BP918" s="228"/>
      <c r="BQ918" s="228"/>
      <c r="BR918" s="228"/>
      <c r="BS918" s="228"/>
      <c r="BT918" s="228"/>
      <c r="BU918" s="228"/>
      <c r="BV918" s="228"/>
      <c r="BW918" s="228"/>
      <c r="BX918" s="228"/>
      <c r="BY918" s="228"/>
      <c r="BZ918" s="228"/>
      <c r="CA918" s="228"/>
      <c r="CB918" s="228"/>
      <c r="CC918" s="228"/>
      <c r="CD918" s="228"/>
      <c r="CE918" s="228"/>
      <c r="CF918" s="228"/>
      <c r="CG918" s="228"/>
      <c r="CH918" s="228"/>
      <c r="CI918" s="228"/>
      <c r="CJ918" s="228"/>
      <c r="CK918" s="228"/>
      <c r="CL918" s="228"/>
      <c r="CM918" s="228"/>
      <c r="CN918" s="228"/>
      <c r="CO918" s="228"/>
      <c r="CP918" s="228"/>
      <c r="CQ918" s="228"/>
      <c r="CR918" s="228"/>
      <c r="CS918" s="228"/>
      <c r="CT918" s="228"/>
      <c r="CU918" s="228"/>
      <c r="CV918" s="228"/>
      <c r="CW918" s="228"/>
      <c r="CX918" s="228"/>
      <c r="CY918" s="228"/>
      <c r="CZ918" s="228"/>
      <c r="DA918" s="228"/>
      <c r="DB918" s="228"/>
    </row>
    <row r="919" ht="12.0" customHeight="1">
      <c r="A919" s="228"/>
      <c r="B919" s="228"/>
      <c r="C919" s="228"/>
      <c r="D919" s="228"/>
      <c r="E919" s="228"/>
      <c r="F919" s="228"/>
      <c r="G919" s="228"/>
      <c r="H919" s="228"/>
      <c r="I919" s="228"/>
      <c r="J919" s="228"/>
      <c r="K919" s="228"/>
      <c r="L919" s="228"/>
      <c r="M919" s="228"/>
      <c r="N919" s="228"/>
      <c r="O919" s="228"/>
      <c r="P919" s="228"/>
      <c r="Q919" s="228"/>
      <c r="R919" s="228"/>
      <c r="S919" s="228"/>
      <c r="T919" s="228"/>
      <c r="U919" s="228"/>
      <c r="V919" s="228"/>
      <c r="W919" s="228"/>
      <c r="X919" s="228"/>
      <c r="Y919" s="228"/>
      <c r="Z919" s="228"/>
      <c r="AA919" s="228"/>
      <c r="AB919" s="228"/>
      <c r="AC919" s="228"/>
      <c r="AD919" s="228"/>
      <c r="AE919" s="228"/>
      <c r="AF919" s="228"/>
      <c r="AG919" s="228"/>
      <c r="AH919" s="228"/>
      <c r="AI919" s="228"/>
      <c r="AJ919" s="228"/>
      <c r="AK919" s="228"/>
      <c r="AL919" s="228"/>
      <c r="AM919" s="228"/>
      <c r="AN919" s="228"/>
      <c r="AO919" s="228"/>
      <c r="AP919" s="228"/>
      <c r="AQ919" s="228"/>
      <c r="AR919" s="228"/>
      <c r="AS919" s="228"/>
      <c r="AT919" s="228"/>
      <c r="AU919" s="228"/>
      <c r="AV919" s="228"/>
      <c r="AW919" s="228"/>
      <c r="AX919" s="228"/>
      <c r="AY919" s="228"/>
      <c r="AZ919" s="228"/>
      <c r="BA919" s="228"/>
      <c r="BB919" s="228"/>
      <c r="BC919" s="228"/>
      <c r="BD919" s="228"/>
      <c r="BE919" s="228"/>
      <c r="BF919" s="228"/>
      <c r="BG919" s="228"/>
      <c r="BH919" s="228"/>
      <c r="BI919" s="228"/>
      <c r="BJ919" s="228"/>
      <c r="BK919" s="228"/>
      <c r="BL919" s="228"/>
      <c r="BM919" s="228"/>
      <c r="BN919" s="228"/>
      <c r="BO919" s="228"/>
      <c r="BP919" s="228"/>
      <c r="BQ919" s="228"/>
      <c r="BR919" s="228"/>
      <c r="BS919" s="228"/>
      <c r="BT919" s="228"/>
      <c r="BU919" s="228"/>
      <c r="BV919" s="228"/>
      <c r="BW919" s="228"/>
      <c r="BX919" s="228"/>
      <c r="BY919" s="228"/>
      <c r="BZ919" s="228"/>
      <c r="CA919" s="228"/>
      <c r="CB919" s="228"/>
      <c r="CC919" s="228"/>
      <c r="CD919" s="228"/>
      <c r="CE919" s="228"/>
      <c r="CF919" s="228"/>
      <c r="CG919" s="228"/>
      <c r="CH919" s="228"/>
      <c r="CI919" s="228"/>
      <c r="CJ919" s="228"/>
      <c r="CK919" s="228"/>
      <c r="CL919" s="228"/>
      <c r="CM919" s="228"/>
      <c r="CN919" s="228"/>
      <c r="CO919" s="228"/>
      <c r="CP919" s="228"/>
      <c r="CQ919" s="228"/>
      <c r="CR919" s="228"/>
      <c r="CS919" s="228"/>
      <c r="CT919" s="228"/>
      <c r="CU919" s="228"/>
      <c r="CV919" s="228"/>
      <c r="CW919" s="228"/>
      <c r="CX919" s="228"/>
      <c r="CY919" s="228"/>
      <c r="CZ919" s="228"/>
      <c r="DA919" s="228"/>
      <c r="DB919" s="228"/>
    </row>
    <row r="920" ht="12.0" customHeight="1">
      <c r="A920" s="228"/>
      <c r="B920" s="228"/>
      <c r="C920" s="228"/>
      <c r="D920" s="228"/>
      <c r="E920" s="228"/>
      <c r="F920" s="228"/>
      <c r="G920" s="228"/>
      <c r="H920" s="228"/>
      <c r="I920" s="228"/>
      <c r="J920" s="228"/>
      <c r="K920" s="228"/>
      <c r="L920" s="228"/>
      <c r="M920" s="228"/>
      <c r="N920" s="228"/>
      <c r="O920" s="228"/>
      <c r="P920" s="228"/>
      <c r="Q920" s="228"/>
      <c r="R920" s="228"/>
      <c r="S920" s="228"/>
      <c r="T920" s="228"/>
      <c r="U920" s="228"/>
      <c r="V920" s="228"/>
      <c r="W920" s="228"/>
      <c r="X920" s="228"/>
      <c r="Y920" s="228"/>
      <c r="Z920" s="228"/>
      <c r="AA920" s="228"/>
      <c r="AB920" s="228"/>
      <c r="AC920" s="228"/>
      <c r="AD920" s="228"/>
      <c r="AE920" s="228"/>
      <c r="AF920" s="228"/>
      <c r="AG920" s="228"/>
      <c r="AH920" s="228"/>
      <c r="AI920" s="228"/>
      <c r="AJ920" s="228"/>
      <c r="AK920" s="228"/>
      <c r="AL920" s="228"/>
      <c r="AM920" s="228"/>
      <c r="AN920" s="228"/>
      <c r="AO920" s="228"/>
      <c r="AP920" s="228"/>
      <c r="AQ920" s="228"/>
      <c r="AR920" s="228"/>
      <c r="AS920" s="228"/>
      <c r="AT920" s="228"/>
      <c r="AU920" s="228"/>
      <c r="AV920" s="228"/>
      <c r="AW920" s="228"/>
      <c r="AX920" s="228"/>
      <c r="AY920" s="228"/>
      <c r="AZ920" s="228"/>
      <c r="BA920" s="228"/>
      <c r="BB920" s="228"/>
      <c r="BC920" s="228"/>
      <c r="BD920" s="228"/>
      <c r="BE920" s="228"/>
      <c r="BF920" s="228"/>
      <c r="BG920" s="228"/>
      <c r="BH920" s="228"/>
      <c r="BI920" s="228"/>
      <c r="BJ920" s="228"/>
      <c r="BK920" s="228"/>
      <c r="BL920" s="228"/>
      <c r="BM920" s="228"/>
      <c r="BN920" s="228"/>
      <c r="BO920" s="228"/>
      <c r="BP920" s="228"/>
      <c r="BQ920" s="228"/>
      <c r="BR920" s="228"/>
      <c r="BS920" s="228"/>
      <c r="BT920" s="228"/>
      <c r="BU920" s="228"/>
      <c r="BV920" s="228"/>
      <c r="BW920" s="228"/>
      <c r="BX920" s="228"/>
      <c r="BY920" s="228"/>
      <c r="BZ920" s="228"/>
      <c r="CA920" s="228"/>
      <c r="CB920" s="228"/>
      <c r="CC920" s="228"/>
      <c r="CD920" s="228"/>
      <c r="CE920" s="228"/>
      <c r="CF920" s="228"/>
      <c r="CG920" s="228"/>
      <c r="CH920" s="228"/>
      <c r="CI920" s="228"/>
      <c r="CJ920" s="228"/>
      <c r="CK920" s="228"/>
      <c r="CL920" s="228"/>
      <c r="CM920" s="228"/>
      <c r="CN920" s="228"/>
      <c r="CO920" s="228"/>
      <c r="CP920" s="228"/>
      <c r="CQ920" s="228"/>
      <c r="CR920" s="228"/>
      <c r="CS920" s="228"/>
      <c r="CT920" s="228"/>
      <c r="CU920" s="228"/>
      <c r="CV920" s="228"/>
      <c r="CW920" s="228"/>
      <c r="CX920" s="228"/>
      <c r="CY920" s="228"/>
      <c r="CZ920" s="228"/>
      <c r="DA920" s="228"/>
      <c r="DB920" s="228"/>
    </row>
    <row r="921" ht="12.0" customHeight="1">
      <c r="A921" s="228"/>
      <c r="B921" s="228"/>
      <c r="C921" s="228"/>
      <c r="D921" s="228"/>
      <c r="E921" s="228"/>
      <c r="F921" s="228"/>
      <c r="G921" s="228"/>
      <c r="H921" s="228"/>
      <c r="I921" s="228"/>
      <c r="J921" s="228"/>
      <c r="K921" s="228"/>
      <c r="L921" s="228"/>
      <c r="M921" s="228"/>
      <c r="N921" s="228"/>
      <c r="O921" s="228"/>
      <c r="P921" s="228"/>
      <c r="Q921" s="228"/>
      <c r="R921" s="228"/>
      <c r="S921" s="228"/>
      <c r="T921" s="228"/>
      <c r="U921" s="228"/>
      <c r="V921" s="228"/>
      <c r="W921" s="228"/>
      <c r="X921" s="228"/>
      <c r="Y921" s="228"/>
      <c r="Z921" s="228"/>
      <c r="AA921" s="228"/>
      <c r="AB921" s="228"/>
      <c r="AC921" s="228"/>
      <c r="AD921" s="228"/>
      <c r="AE921" s="228"/>
      <c r="AF921" s="228"/>
      <c r="AG921" s="228"/>
      <c r="AH921" s="228"/>
      <c r="AI921" s="228"/>
      <c r="AJ921" s="228"/>
      <c r="AK921" s="228"/>
      <c r="AL921" s="228"/>
      <c r="AM921" s="228"/>
      <c r="AN921" s="228"/>
      <c r="AO921" s="228"/>
      <c r="AP921" s="228"/>
      <c r="AQ921" s="228"/>
      <c r="AR921" s="228"/>
      <c r="AS921" s="228"/>
      <c r="AT921" s="228"/>
      <c r="AU921" s="228"/>
      <c r="AV921" s="228"/>
      <c r="AW921" s="228"/>
      <c r="AX921" s="228"/>
      <c r="AY921" s="228"/>
      <c r="AZ921" s="228"/>
      <c r="BA921" s="228"/>
      <c r="BB921" s="228"/>
      <c r="BC921" s="228"/>
      <c r="BD921" s="228"/>
      <c r="BE921" s="228"/>
      <c r="BF921" s="228"/>
      <c r="BG921" s="228"/>
      <c r="BH921" s="228"/>
      <c r="BI921" s="228"/>
      <c r="BJ921" s="228"/>
      <c r="BK921" s="228"/>
      <c r="BL921" s="228"/>
      <c r="BM921" s="228"/>
      <c r="BN921" s="228"/>
      <c r="BO921" s="228"/>
      <c r="BP921" s="228"/>
      <c r="BQ921" s="228"/>
      <c r="BR921" s="228"/>
      <c r="BS921" s="228"/>
      <c r="BT921" s="228"/>
      <c r="BU921" s="228"/>
      <c r="BV921" s="228"/>
      <c r="BW921" s="228"/>
      <c r="BX921" s="228"/>
      <c r="BY921" s="228"/>
      <c r="BZ921" s="228"/>
      <c r="CA921" s="228"/>
      <c r="CB921" s="228"/>
      <c r="CC921" s="228"/>
      <c r="CD921" s="228"/>
      <c r="CE921" s="228"/>
      <c r="CF921" s="228"/>
      <c r="CG921" s="228"/>
      <c r="CH921" s="228"/>
      <c r="CI921" s="228"/>
      <c r="CJ921" s="228"/>
      <c r="CK921" s="228"/>
      <c r="CL921" s="228"/>
      <c r="CM921" s="228"/>
      <c r="CN921" s="228"/>
      <c r="CO921" s="228"/>
      <c r="CP921" s="228"/>
      <c r="CQ921" s="228"/>
      <c r="CR921" s="228"/>
      <c r="CS921" s="228"/>
      <c r="CT921" s="228"/>
      <c r="CU921" s="228"/>
      <c r="CV921" s="228"/>
      <c r="CW921" s="228"/>
      <c r="CX921" s="228"/>
      <c r="CY921" s="228"/>
      <c r="CZ921" s="228"/>
      <c r="DA921" s="228"/>
      <c r="DB921" s="228"/>
    </row>
    <row r="922" ht="12.0" customHeight="1">
      <c r="A922" s="228"/>
      <c r="B922" s="228"/>
      <c r="C922" s="228"/>
      <c r="D922" s="228"/>
      <c r="E922" s="228"/>
      <c r="F922" s="228"/>
      <c r="G922" s="228"/>
      <c r="H922" s="228"/>
      <c r="I922" s="228"/>
      <c r="J922" s="228"/>
      <c r="K922" s="228"/>
      <c r="L922" s="228"/>
      <c r="M922" s="228"/>
      <c r="N922" s="228"/>
      <c r="O922" s="228"/>
      <c r="P922" s="228"/>
      <c r="Q922" s="228"/>
      <c r="R922" s="228"/>
      <c r="S922" s="228"/>
      <c r="T922" s="228"/>
      <c r="U922" s="228"/>
      <c r="V922" s="228"/>
      <c r="W922" s="228"/>
      <c r="X922" s="228"/>
      <c r="Y922" s="228"/>
      <c r="Z922" s="228"/>
      <c r="AA922" s="228"/>
      <c r="AB922" s="228"/>
      <c r="AC922" s="228"/>
      <c r="AD922" s="228"/>
      <c r="AE922" s="228"/>
      <c r="AF922" s="228"/>
      <c r="AG922" s="228"/>
      <c r="AH922" s="228"/>
      <c r="AI922" s="228"/>
      <c r="AJ922" s="228"/>
      <c r="AK922" s="228"/>
      <c r="AL922" s="228"/>
      <c r="AM922" s="228"/>
      <c r="AN922" s="228"/>
      <c r="AO922" s="228"/>
      <c r="AP922" s="228"/>
      <c r="AQ922" s="228"/>
      <c r="AR922" s="228"/>
      <c r="AS922" s="228"/>
      <c r="AT922" s="228"/>
      <c r="AU922" s="228"/>
      <c r="AV922" s="228"/>
      <c r="AW922" s="228"/>
      <c r="AX922" s="228"/>
      <c r="AY922" s="228"/>
      <c r="AZ922" s="228"/>
      <c r="BA922" s="228"/>
      <c r="BB922" s="228"/>
      <c r="BC922" s="228"/>
      <c r="BD922" s="228"/>
      <c r="BE922" s="228"/>
      <c r="BF922" s="228"/>
      <c r="BG922" s="228"/>
      <c r="BH922" s="228"/>
      <c r="BI922" s="228"/>
      <c r="BJ922" s="228"/>
      <c r="BK922" s="228"/>
      <c r="BL922" s="228"/>
      <c r="BM922" s="228"/>
      <c r="BN922" s="228"/>
      <c r="BO922" s="228"/>
      <c r="BP922" s="228"/>
      <c r="BQ922" s="228"/>
      <c r="BR922" s="228"/>
      <c r="BS922" s="228"/>
      <c r="BT922" s="228"/>
      <c r="BU922" s="228"/>
      <c r="BV922" s="228"/>
      <c r="BW922" s="228"/>
      <c r="BX922" s="228"/>
      <c r="BY922" s="228"/>
      <c r="BZ922" s="228"/>
      <c r="CA922" s="228"/>
      <c r="CB922" s="228"/>
      <c r="CC922" s="228"/>
      <c r="CD922" s="228"/>
      <c r="CE922" s="228"/>
      <c r="CF922" s="228"/>
      <c r="CG922" s="228"/>
      <c r="CH922" s="228"/>
      <c r="CI922" s="228"/>
      <c r="CJ922" s="228"/>
      <c r="CK922" s="228"/>
      <c r="CL922" s="228"/>
      <c r="CM922" s="228"/>
      <c r="CN922" s="228"/>
      <c r="CO922" s="228"/>
      <c r="CP922" s="228"/>
      <c r="CQ922" s="228"/>
      <c r="CR922" s="228"/>
      <c r="CS922" s="228"/>
      <c r="CT922" s="228"/>
      <c r="CU922" s="228"/>
      <c r="CV922" s="228"/>
      <c r="CW922" s="228"/>
      <c r="CX922" s="228"/>
      <c r="CY922" s="228"/>
      <c r="CZ922" s="228"/>
      <c r="DA922" s="228"/>
      <c r="DB922" s="228"/>
    </row>
    <row r="923" ht="12.0" customHeight="1">
      <c r="A923" s="228"/>
      <c r="B923" s="228"/>
      <c r="C923" s="228"/>
      <c r="D923" s="228"/>
      <c r="E923" s="228"/>
      <c r="F923" s="228"/>
      <c r="G923" s="228"/>
      <c r="H923" s="228"/>
      <c r="I923" s="228"/>
      <c r="J923" s="228"/>
      <c r="K923" s="228"/>
      <c r="L923" s="228"/>
      <c r="M923" s="228"/>
      <c r="N923" s="228"/>
      <c r="O923" s="228"/>
      <c r="P923" s="228"/>
      <c r="Q923" s="228"/>
      <c r="R923" s="228"/>
      <c r="S923" s="228"/>
      <c r="T923" s="228"/>
      <c r="U923" s="228"/>
      <c r="V923" s="228"/>
      <c r="W923" s="228"/>
      <c r="X923" s="228"/>
      <c r="Y923" s="228"/>
      <c r="Z923" s="228"/>
      <c r="AA923" s="228"/>
      <c r="AB923" s="228"/>
      <c r="AC923" s="228"/>
      <c r="AD923" s="228"/>
      <c r="AE923" s="228"/>
      <c r="AF923" s="228"/>
      <c r="AG923" s="228"/>
      <c r="AH923" s="228"/>
      <c r="AI923" s="228"/>
      <c r="AJ923" s="228"/>
      <c r="AK923" s="228"/>
      <c r="AL923" s="228"/>
      <c r="AM923" s="228"/>
      <c r="AN923" s="228"/>
      <c r="AO923" s="228"/>
      <c r="AP923" s="228"/>
      <c r="AQ923" s="228"/>
      <c r="AR923" s="228"/>
      <c r="AS923" s="228"/>
      <c r="AT923" s="228"/>
      <c r="AU923" s="228"/>
      <c r="AV923" s="228"/>
      <c r="AW923" s="228"/>
      <c r="AX923" s="228"/>
      <c r="AY923" s="228"/>
      <c r="AZ923" s="228"/>
      <c r="BA923" s="228"/>
      <c r="BB923" s="228"/>
      <c r="BC923" s="228"/>
      <c r="BD923" s="228"/>
      <c r="BE923" s="228"/>
      <c r="BF923" s="228"/>
      <c r="BG923" s="228"/>
      <c r="BH923" s="228"/>
      <c r="BI923" s="228"/>
      <c r="BJ923" s="228"/>
      <c r="BK923" s="228"/>
      <c r="BL923" s="228"/>
      <c r="BM923" s="228"/>
      <c r="BN923" s="228"/>
      <c r="BO923" s="228"/>
      <c r="BP923" s="228"/>
      <c r="BQ923" s="228"/>
      <c r="BR923" s="228"/>
      <c r="BS923" s="228"/>
      <c r="BT923" s="228"/>
      <c r="BU923" s="228"/>
      <c r="BV923" s="228"/>
      <c r="BW923" s="228"/>
      <c r="BX923" s="228"/>
      <c r="BY923" s="228"/>
      <c r="BZ923" s="228"/>
      <c r="CA923" s="228"/>
      <c r="CB923" s="228"/>
      <c r="CC923" s="228"/>
      <c r="CD923" s="228"/>
      <c r="CE923" s="228"/>
      <c r="CF923" s="228"/>
      <c r="CG923" s="228"/>
      <c r="CH923" s="228"/>
      <c r="CI923" s="228"/>
      <c r="CJ923" s="228"/>
      <c r="CK923" s="228"/>
      <c r="CL923" s="228"/>
      <c r="CM923" s="228"/>
      <c r="CN923" s="228"/>
      <c r="CO923" s="228"/>
      <c r="CP923" s="228"/>
      <c r="CQ923" s="228"/>
      <c r="CR923" s="228"/>
      <c r="CS923" s="228"/>
      <c r="CT923" s="228"/>
      <c r="CU923" s="228"/>
      <c r="CV923" s="228"/>
      <c r="CW923" s="228"/>
      <c r="CX923" s="228"/>
      <c r="CY923" s="228"/>
      <c r="CZ923" s="228"/>
      <c r="DA923" s="228"/>
      <c r="DB923" s="228"/>
    </row>
    <row r="924" ht="12.0" customHeight="1">
      <c r="A924" s="228"/>
      <c r="B924" s="228"/>
      <c r="C924" s="228"/>
      <c r="D924" s="228"/>
      <c r="E924" s="228"/>
      <c r="F924" s="228"/>
      <c r="G924" s="228"/>
      <c r="H924" s="228"/>
      <c r="I924" s="228"/>
      <c r="J924" s="228"/>
      <c r="K924" s="228"/>
      <c r="L924" s="228"/>
      <c r="M924" s="228"/>
      <c r="N924" s="228"/>
      <c r="O924" s="228"/>
      <c r="P924" s="228"/>
      <c r="Q924" s="228"/>
      <c r="R924" s="228"/>
      <c r="S924" s="228"/>
      <c r="T924" s="228"/>
      <c r="U924" s="228"/>
      <c r="V924" s="228"/>
      <c r="W924" s="228"/>
      <c r="X924" s="228"/>
      <c r="Y924" s="228"/>
      <c r="Z924" s="228"/>
      <c r="AA924" s="228"/>
      <c r="AB924" s="228"/>
      <c r="AC924" s="228"/>
      <c r="AD924" s="228"/>
      <c r="AE924" s="228"/>
      <c r="AF924" s="228"/>
      <c r="AG924" s="228"/>
      <c r="AH924" s="228"/>
      <c r="AI924" s="228"/>
      <c r="AJ924" s="228"/>
      <c r="AK924" s="228"/>
      <c r="AL924" s="228"/>
      <c r="AM924" s="228"/>
      <c r="AN924" s="228"/>
      <c r="AO924" s="228"/>
      <c r="AP924" s="228"/>
      <c r="AQ924" s="228"/>
      <c r="AR924" s="228"/>
      <c r="AS924" s="228"/>
      <c r="AT924" s="228"/>
      <c r="AU924" s="228"/>
      <c r="AV924" s="228"/>
      <c r="AW924" s="228"/>
      <c r="AX924" s="228"/>
      <c r="AY924" s="228"/>
      <c r="AZ924" s="228"/>
      <c r="BA924" s="228"/>
      <c r="BB924" s="228"/>
      <c r="BC924" s="228"/>
      <c r="BD924" s="228"/>
      <c r="BE924" s="228"/>
      <c r="BF924" s="228"/>
      <c r="BG924" s="228"/>
      <c r="BH924" s="228"/>
      <c r="BI924" s="228"/>
      <c r="BJ924" s="228"/>
      <c r="BK924" s="228"/>
      <c r="BL924" s="228"/>
      <c r="BM924" s="228"/>
      <c r="BN924" s="228"/>
      <c r="BO924" s="228"/>
      <c r="BP924" s="228"/>
      <c r="BQ924" s="228"/>
      <c r="BR924" s="228"/>
      <c r="BS924" s="228"/>
      <c r="BT924" s="228"/>
      <c r="BU924" s="228"/>
      <c r="BV924" s="228"/>
      <c r="BW924" s="228"/>
      <c r="BX924" s="228"/>
      <c r="BY924" s="228"/>
      <c r="BZ924" s="228"/>
      <c r="CA924" s="228"/>
      <c r="CB924" s="228"/>
      <c r="CC924" s="228"/>
      <c r="CD924" s="228"/>
      <c r="CE924" s="228"/>
      <c r="CF924" s="228"/>
      <c r="CG924" s="228"/>
      <c r="CH924" s="228"/>
      <c r="CI924" s="228"/>
      <c r="CJ924" s="228"/>
      <c r="CK924" s="228"/>
      <c r="CL924" s="228"/>
      <c r="CM924" s="228"/>
      <c r="CN924" s="228"/>
      <c r="CO924" s="228"/>
      <c r="CP924" s="228"/>
      <c r="CQ924" s="228"/>
      <c r="CR924" s="228"/>
      <c r="CS924" s="228"/>
      <c r="CT924" s="228"/>
      <c r="CU924" s="228"/>
      <c r="CV924" s="228"/>
      <c r="CW924" s="228"/>
      <c r="CX924" s="228"/>
      <c r="CY924" s="228"/>
      <c r="CZ924" s="228"/>
      <c r="DA924" s="228"/>
      <c r="DB924" s="228"/>
    </row>
    <row r="925" ht="12.0" customHeight="1">
      <c r="A925" s="228"/>
      <c r="B925" s="228"/>
      <c r="C925" s="228"/>
      <c r="D925" s="228"/>
      <c r="E925" s="228"/>
      <c r="F925" s="228"/>
      <c r="G925" s="228"/>
      <c r="H925" s="228"/>
      <c r="I925" s="228"/>
      <c r="J925" s="228"/>
      <c r="K925" s="228"/>
      <c r="L925" s="228"/>
      <c r="M925" s="228"/>
      <c r="N925" s="228"/>
      <c r="O925" s="228"/>
      <c r="P925" s="228"/>
      <c r="Q925" s="228"/>
      <c r="R925" s="228"/>
      <c r="S925" s="228"/>
      <c r="T925" s="228"/>
      <c r="U925" s="228"/>
      <c r="V925" s="228"/>
      <c r="W925" s="228"/>
      <c r="X925" s="228"/>
      <c r="Y925" s="228"/>
      <c r="Z925" s="228"/>
      <c r="AA925" s="228"/>
      <c r="AB925" s="228"/>
      <c r="AC925" s="228"/>
      <c r="AD925" s="228"/>
      <c r="AE925" s="228"/>
      <c r="AF925" s="228"/>
      <c r="AG925" s="228"/>
      <c r="AH925" s="228"/>
      <c r="AI925" s="228"/>
      <c r="AJ925" s="228"/>
      <c r="AK925" s="228"/>
      <c r="AL925" s="228"/>
      <c r="AM925" s="228"/>
      <c r="AN925" s="228"/>
      <c r="AO925" s="228"/>
      <c r="AP925" s="228"/>
      <c r="AQ925" s="228"/>
      <c r="AR925" s="228"/>
      <c r="AS925" s="228"/>
      <c r="AT925" s="228"/>
      <c r="AU925" s="228"/>
      <c r="AV925" s="228"/>
      <c r="AW925" s="228"/>
      <c r="AX925" s="228"/>
      <c r="AY925" s="228"/>
      <c r="AZ925" s="228"/>
      <c r="BA925" s="228"/>
      <c r="BB925" s="228"/>
      <c r="BC925" s="228"/>
      <c r="BD925" s="228"/>
      <c r="BE925" s="228"/>
      <c r="BF925" s="228"/>
      <c r="BG925" s="228"/>
      <c r="BH925" s="228"/>
      <c r="BI925" s="228"/>
      <c r="BJ925" s="228"/>
      <c r="BK925" s="228"/>
      <c r="BL925" s="228"/>
      <c r="BM925" s="228"/>
      <c r="BN925" s="228"/>
      <c r="BO925" s="228"/>
      <c r="BP925" s="228"/>
      <c r="BQ925" s="228"/>
      <c r="BR925" s="228"/>
      <c r="BS925" s="228"/>
      <c r="BT925" s="228"/>
      <c r="BU925" s="228"/>
      <c r="BV925" s="228"/>
      <c r="BW925" s="228"/>
      <c r="BX925" s="228"/>
      <c r="BY925" s="228"/>
      <c r="BZ925" s="228"/>
      <c r="CA925" s="228"/>
      <c r="CB925" s="228"/>
      <c r="CC925" s="228"/>
      <c r="CD925" s="228"/>
      <c r="CE925" s="228"/>
      <c r="CF925" s="228"/>
      <c r="CG925" s="228"/>
      <c r="CH925" s="228"/>
      <c r="CI925" s="228"/>
      <c r="CJ925" s="228"/>
      <c r="CK925" s="228"/>
      <c r="CL925" s="228"/>
      <c r="CM925" s="228"/>
      <c r="CN925" s="228"/>
      <c r="CO925" s="228"/>
      <c r="CP925" s="228"/>
      <c r="CQ925" s="228"/>
      <c r="CR925" s="228"/>
      <c r="CS925" s="228"/>
      <c r="CT925" s="228"/>
      <c r="CU925" s="228"/>
      <c r="CV925" s="228"/>
      <c r="CW925" s="228"/>
      <c r="CX925" s="228"/>
      <c r="CY925" s="228"/>
      <c r="CZ925" s="228"/>
      <c r="DA925" s="228"/>
      <c r="DB925" s="228"/>
    </row>
    <row r="926" ht="12.0" customHeight="1">
      <c r="A926" s="228"/>
      <c r="B926" s="228"/>
      <c r="C926" s="228"/>
      <c r="D926" s="228"/>
      <c r="E926" s="228"/>
      <c r="F926" s="228"/>
      <c r="G926" s="228"/>
      <c r="H926" s="228"/>
      <c r="I926" s="228"/>
      <c r="J926" s="228"/>
      <c r="K926" s="228"/>
      <c r="L926" s="228"/>
      <c r="M926" s="228"/>
      <c r="N926" s="228"/>
      <c r="O926" s="228"/>
      <c r="P926" s="228"/>
      <c r="Q926" s="228"/>
      <c r="R926" s="228"/>
      <c r="S926" s="228"/>
      <c r="T926" s="228"/>
      <c r="U926" s="228"/>
      <c r="V926" s="228"/>
      <c r="W926" s="228"/>
      <c r="X926" s="228"/>
      <c r="Y926" s="228"/>
      <c r="Z926" s="228"/>
      <c r="AA926" s="228"/>
      <c r="AB926" s="228"/>
      <c r="AC926" s="228"/>
      <c r="AD926" s="228"/>
      <c r="AE926" s="228"/>
      <c r="AF926" s="228"/>
      <c r="AG926" s="228"/>
      <c r="AH926" s="228"/>
      <c r="AI926" s="228"/>
      <c r="AJ926" s="228"/>
      <c r="AK926" s="228"/>
      <c r="AL926" s="228"/>
      <c r="AM926" s="228"/>
      <c r="AN926" s="228"/>
      <c r="AO926" s="228"/>
      <c r="AP926" s="228"/>
      <c r="AQ926" s="228"/>
      <c r="AR926" s="228"/>
      <c r="AS926" s="228"/>
      <c r="AT926" s="228"/>
      <c r="AU926" s="228"/>
      <c r="AV926" s="228"/>
      <c r="AW926" s="228"/>
      <c r="AX926" s="228"/>
      <c r="AY926" s="228"/>
      <c r="AZ926" s="228"/>
      <c r="BA926" s="228"/>
      <c r="BB926" s="228"/>
      <c r="BC926" s="228"/>
      <c r="BD926" s="228"/>
      <c r="BE926" s="228"/>
      <c r="BF926" s="228"/>
      <c r="BG926" s="228"/>
      <c r="BH926" s="228"/>
      <c r="BI926" s="228"/>
      <c r="BJ926" s="228"/>
      <c r="BK926" s="228"/>
      <c r="BL926" s="228"/>
      <c r="BM926" s="228"/>
      <c r="BN926" s="228"/>
      <c r="BO926" s="228"/>
      <c r="BP926" s="228"/>
      <c r="BQ926" s="228"/>
      <c r="BR926" s="228"/>
      <c r="BS926" s="228"/>
      <c r="BT926" s="228"/>
      <c r="BU926" s="228"/>
      <c r="BV926" s="228"/>
      <c r="BW926" s="228"/>
      <c r="BX926" s="228"/>
      <c r="BY926" s="228"/>
      <c r="BZ926" s="228"/>
      <c r="CA926" s="228"/>
      <c r="CB926" s="228"/>
      <c r="CC926" s="228"/>
      <c r="CD926" s="228"/>
      <c r="CE926" s="228"/>
      <c r="CF926" s="228"/>
      <c r="CG926" s="228"/>
      <c r="CH926" s="228"/>
      <c r="CI926" s="228"/>
      <c r="CJ926" s="228"/>
      <c r="CK926" s="228"/>
      <c r="CL926" s="228"/>
      <c r="CM926" s="228"/>
      <c r="CN926" s="228"/>
      <c r="CO926" s="228"/>
      <c r="CP926" s="228"/>
      <c r="CQ926" s="228"/>
      <c r="CR926" s="228"/>
      <c r="CS926" s="228"/>
      <c r="CT926" s="228"/>
      <c r="CU926" s="228"/>
      <c r="CV926" s="228"/>
      <c r="CW926" s="228"/>
      <c r="CX926" s="228"/>
      <c r="CY926" s="228"/>
      <c r="CZ926" s="228"/>
      <c r="DA926" s="228"/>
      <c r="DB926" s="228"/>
    </row>
    <row r="927" ht="12.0" customHeight="1">
      <c r="A927" s="228"/>
      <c r="B927" s="228"/>
      <c r="C927" s="228"/>
      <c r="D927" s="228"/>
      <c r="E927" s="228"/>
      <c r="F927" s="228"/>
      <c r="G927" s="228"/>
      <c r="H927" s="228"/>
      <c r="I927" s="228"/>
      <c r="J927" s="228"/>
      <c r="K927" s="228"/>
      <c r="L927" s="228"/>
      <c r="M927" s="228"/>
      <c r="N927" s="228"/>
      <c r="O927" s="228"/>
      <c r="P927" s="228"/>
      <c r="Q927" s="228"/>
      <c r="R927" s="228"/>
      <c r="S927" s="228"/>
      <c r="T927" s="228"/>
      <c r="U927" s="228"/>
      <c r="V927" s="228"/>
      <c r="W927" s="228"/>
      <c r="X927" s="228"/>
      <c r="Y927" s="228"/>
      <c r="Z927" s="228"/>
      <c r="AA927" s="228"/>
      <c r="AB927" s="228"/>
      <c r="AC927" s="228"/>
      <c r="AD927" s="228"/>
      <c r="AE927" s="228"/>
      <c r="AF927" s="228"/>
      <c r="AG927" s="228"/>
      <c r="AH927" s="228"/>
      <c r="AI927" s="228"/>
      <c r="AJ927" s="228"/>
      <c r="AK927" s="228"/>
      <c r="AL927" s="228"/>
      <c r="AM927" s="228"/>
      <c r="AN927" s="228"/>
      <c r="AO927" s="228"/>
      <c r="AP927" s="228"/>
      <c r="AQ927" s="228"/>
      <c r="AR927" s="228"/>
      <c r="AS927" s="228"/>
      <c r="AT927" s="228"/>
      <c r="AU927" s="228"/>
      <c r="AV927" s="228"/>
      <c r="AW927" s="228"/>
      <c r="AX927" s="228"/>
      <c r="AY927" s="228"/>
      <c r="AZ927" s="228"/>
      <c r="BA927" s="228"/>
      <c r="BB927" s="228"/>
      <c r="BC927" s="228"/>
      <c r="BD927" s="228"/>
      <c r="BE927" s="228"/>
      <c r="BF927" s="228"/>
      <c r="BG927" s="228"/>
      <c r="BH927" s="228"/>
      <c r="BI927" s="228"/>
      <c r="BJ927" s="228"/>
      <c r="BK927" s="228"/>
      <c r="BL927" s="228"/>
      <c r="BM927" s="228"/>
      <c r="BN927" s="228"/>
      <c r="BO927" s="228"/>
      <c r="BP927" s="228"/>
      <c r="BQ927" s="228"/>
      <c r="BR927" s="228"/>
      <c r="BS927" s="228"/>
      <c r="BT927" s="228"/>
      <c r="BU927" s="228"/>
      <c r="BV927" s="228"/>
      <c r="BW927" s="228"/>
      <c r="BX927" s="228"/>
      <c r="BY927" s="228"/>
      <c r="BZ927" s="228"/>
      <c r="CA927" s="228"/>
      <c r="CB927" s="228"/>
      <c r="CC927" s="228"/>
      <c r="CD927" s="228"/>
      <c r="CE927" s="228"/>
      <c r="CF927" s="228"/>
      <c r="CG927" s="228"/>
      <c r="CH927" s="228"/>
      <c r="CI927" s="228"/>
      <c r="CJ927" s="228"/>
      <c r="CK927" s="228"/>
      <c r="CL927" s="228"/>
      <c r="CM927" s="228"/>
      <c r="CN927" s="228"/>
      <c r="CO927" s="228"/>
      <c r="CP927" s="228"/>
      <c r="CQ927" s="228"/>
      <c r="CR927" s="228"/>
      <c r="CS927" s="228"/>
      <c r="CT927" s="228"/>
      <c r="CU927" s="228"/>
      <c r="CV927" s="228"/>
      <c r="CW927" s="228"/>
      <c r="CX927" s="228"/>
      <c r="CY927" s="228"/>
      <c r="CZ927" s="228"/>
      <c r="DA927" s="228"/>
      <c r="DB927" s="228"/>
    </row>
    <row r="928" ht="12.0" customHeight="1">
      <c r="A928" s="228"/>
      <c r="B928" s="228"/>
      <c r="C928" s="228"/>
      <c r="D928" s="228"/>
      <c r="E928" s="228"/>
      <c r="F928" s="228"/>
      <c r="G928" s="228"/>
      <c r="H928" s="228"/>
      <c r="I928" s="228"/>
      <c r="J928" s="228"/>
      <c r="K928" s="228"/>
      <c r="L928" s="228"/>
      <c r="M928" s="228"/>
      <c r="N928" s="228"/>
      <c r="O928" s="228"/>
      <c r="P928" s="228"/>
      <c r="Q928" s="228"/>
      <c r="R928" s="228"/>
      <c r="S928" s="228"/>
      <c r="T928" s="228"/>
      <c r="U928" s="228"/>
      <c r="V928" s="228"/>
      <c r="W928" s="228"/>
      <c r="X928" s="228"/>
      <c r="Y928" s="228"/>
      <c r="Z928" s="228"/>
      <c r="AA928" s="228"/>
      <c r="AB928" s="228"/>
      <c r="AC928" s="228"/>
      <c r="AD928" s="228"/>
      <c r="AE928" s="228"/>
      <c r="AF928" s="228"/>
      <c r="AG928" s="228"/>
      <c r="AH928" s="228"/>
      <c r="AI928" s="228"/>
      <c r="AJ928" s="228"/>
      <c r="AK928" s="228"/>
      <c r="AL928" s="228"/>
      <c r="AM928" s="228"/>
      <c r="AN928" s="228"/>
      <c r="AO928" s="228"/>
      <c r="AP928" s="228"/>
      <c r="AQ928" s="228"/>
      <c r="AR928" s="228"/>
      <c r="AS928" s="228"/>
      <c r="AT928" s="228"/>
      <c r="AU928" s="228"/>
      <c r="AV928" s="228"/>
      <c r="AW928" s="228"/>
      <c r="AX928" s="228"/>
      <c r="AY928" s="228"/>
      <c r="AZ928" s="228"/>
      <c r="BA928" s="228"/>
      <c r="BB928" s="228"/>
      <c r="BC928" s="228"/>
      <c r="BD928" s="228"/>
      <c r="BE928" s="228"/>
      <c r="BF928" s="228"/>
      <c r="BG928" s="228"/>
      <c r="BH928" s="228"/>
      <c r="BI928" s="228"/>
      <c r="BJ928" s="228"/>
      <c r="BK928" s="228"/>
      <c r="BL928" s="228"/>
      <c r="BM928" s="228"/>
      <c r="BN928" s="228"/>
      <c r="BO928" s="228"/>
      <c r="BP928" s="228"/>
      <c r="BQ928" s="228"/>
      <c r="BR928" s="228"/>
      <c r="BS928" s="228"/>
      <c r="BT928" s="228"/>
      <c r="BU928" s="228"/>
      <c r="BV928" s="228"/>
      <c r="BW928" s="228"/>
      <c r="BX928" s="228"/>
      <c r="BY928" s="228"/>
      <c r="BZ928" s="228"/>
      <c r="CA928" s="228"/>
      <c r="CB928" s="228"/>
      <c r="CC928" s="228"/>
      <c r="CD928" s="228"/>
      <c r="CE928" s="228"/>
      <c r="CF928" s="228"/>
      <c r="CG928" s="228"/>
      <c r="CH928" s="228"/>
      <c r="CI928" s="228"/>
      <c r="CJ928" s="228"/>
      <c r="CK928" s="228"/>
      <c r="CL928" s="228"/>
      <c r="CM928" s="228"/>
      <c r="CN928" s="228"/>
      <c r="CO928" s="228"/>
      <c r="CP928" s="228"/>
      <c r="CQ928" s="228"/>
      <c r="CR928" s="228"/>
      <c r="CS928" s="228"/>
      <c r="CT928" s="228"/>
      <c r="CU928" s="228"/>
      <c r="CV928" s="228"/>
      <c r="CW928" s="228"/>
      <c r="CX928" s="228"/>
      <c r="CY928" s="228"/>
      <c r="CZ928" s="228"/>
      <c r="DA928" s="228"/>
      <c r="DB928" s="228"/>
    </row>
    <row r="929" ht="12.0" customHeight="1">
      <c r="A929" s="228"/>
      <c r="B929" s="228"/>
      <c r="C929" s="228"/>
      <c r="D929" s="228"/>
      <c r="E929" s="228"/>
      <c r="F929" s="228"/>
      <c r="G929" s="228"/>
      <c r="H929" s="228"/>
      <c r="I929" s="228"/>
      <c r="J929" s="228"/>
      <c r="K929" s="228"/>
      <c r="L929" s="228"/>
      <c r="M929" s="228"/>
      <c r="N929" s="228"/>
      <c r="O929" s="228"/>
      <c r="P929" s="228"/>
      <c r="Q929" s="228"/>
      <c r="R929" s="228"/>
      <c r="S929" s="228"/>
      <c r="T929" s="228"/>
      <c r="U929" s="228"/>
      <c r="V929" s="228"/>
      <c r="W929" s="228"/>
      <c r="X929" s="228"/>
      <c r="Y929" s="228"/>
      <c r="Z929" s="228"/>
      <c r="AA929" s="228"/>
      <c r="AB929" s="228"/>
      <c r="AC929" s="228"/>
      <c r="AD929" s="228"/>
      <c r="AE929" s="228"/>
      <c r="AF929" s="228"/>
      <c r="AG929" s="228"/>
      <c r="AH929" s="228"/>
      <c r="AI929" s="228"/>
      <c r="AJ929" s="228"/>
      <c r="AK929" s="228"/>
      <c r="AL929" s="228"/>
      <c r="AM929" s="228"/>
      <c r="AN929" s="228"/>
      <c r="AO929" s="228"/>
      <c r="AP929" s="228"/>
      <c r="AQ929" s="228"/>
      <c r="AR929" s="228"/>
      <c r="AS929" s="228"/>
      <c r="AT929" s="228"/>
      <c r="AU929" s="228"/>
      <c r="AV929" s="228"/>
      <c r="AW929" s="228"/>
      <c r="AX929" s="228"/>
      <c r="AY929" s="228"/>
      <c r="AZ929" s="228"/>
      <c r="BA929" s="228"/>
      <c r="BB929" s="228"/>
      <c r="BC929" s="228"/>
      <c r="BD929" s="228"/>
      <c r="BE929" s="228"/>
      <c r="BF929" s="228"/>
      <c r="BG929" s="228"/>
      <c r="BH929" s="228"/>
      <c r="BI929" s="228"/>
      <c r="BJ929" s="228"/>
      <c r="BK929" s="228"/>
      <c r="BL929" s="228"/>
      <c r="BM929" s="228"/>
      <c r="BN929" s="228"/>
      <c r="BO929" s="228"/>
      <c r="BP929" s="228"/>
      <c r="BQ929" s="228"/>
      <c r="BR929" s="228"/>
      <c r="BS929" s="228"/>
      <c r="BT929" s="228"/>
      <c r="BU929" s="228"/>
      <c r="BV929" s="228"/>
      <c r="BW929" s="228"/>
      <c r="BX929" s="228"/>
      <c r="BY929" s="228"/>
      <c r="BZ929" s="228"/>
      <c r="CA929" s="228"/>
      <c r="CB929" s="228"/>
      <c r="CC929" s="228"/>
      <c r="CD929" s="228"/>
      <c r="CE929" s="228"/>
      <c r="CF929" s="228"/>
      <c r="CG929" s="228"/>
      <c r="CH929" s="228"/>
      <c r="CI929" s="228"/>
      <c r="CJ929" s="228"/>
      <c r="CK929" s="228"/>
      <c r="CL929" s="228"/>
      <c r="CM929" s="228"/>
      <c r="CN929" s="228"/>
      <c r="CO929" s="228"/>
      <c r="CP929" s="228"/>
      <c r="CQ929" s="228"/>
      <c r="CR929" s="228"/>
      <c r="CS929" s="228"/>
      <c r="CT929" s="228"/>
      <c r="CU929" s="228"/>
      <c r="CV929" s="228"/>
      <c r="CW929" s="228"/>
      <c r="CX929" s="228"/>
      <c r="CY929" s="228"/>
      <c r="CZ929" s="228"/>
      <c r="DA929" s="228"/>
      <c r="DB929" s="228"/>
    </row>
    <row r="930" ht="12.0" customHeight="1">
      <c r="A930" s="228"/>
      <c r="B930" s="228"/>
      <c r="C930" s="228"/>
      <c r="D930" s="228"/>
      <c r="E930" s="228"/>
      <c r="F930" s="228"/>
      <c r="G930" s="228"/>
      <c r="H930" s="228"/>
      <c r="I930" s="228"/>
      <c r="J930" s="228"/>
      <c r="K930" s="228"/>
      <c r="L930" s="228"/>
      <c r="M930" s="228"/>
      <c r="N930" s="228"/>
      <c r="O930" s="228"/>
      <c r="P930" s="228"/>
      <c r="Q930" s="228"/>
      <c r="R930" s="228"/>
      <c r="S930" s="228"/>
      <c r="T930" s="228"/>
      <c r="U930" s="228"/>
      <c r="V930" s="228"/>
      <c r="W930" s="228"/>
      <c r="X930" s="228"/>
      <c r="Y930" s="228"/>
      <c r="Z930" s="228"/>
      <c r="AA930" s="228"/>
      <c r="AB930" s="228"/>
      <c r="AC930" s="228"/>
      <c r="AD930" s="228"/>
      <c r="AE930" s="228"/>
      <c r="AF930" s="228"/>
      <c r="AG930" s="228"/>
      <c r="AH930" s="228"/>
      <c r="AI930" s="228"/>
      <c r="AJ930" s="228"/>
      <c r="AK930" s="228"/>
      <c r="AL930" s="228"/>
      <c r="AM930" s="228"/>
      <c r="AN930" s="228"/>
      <c r="AO930" s="228"/>
      <c r="AP930" s="228"/>
      <c r="AQ930" s="228"/>
      <c r="AR930" s="228"/>
      <c r="AS930" s="228"/>
      <c r="AT930" s="228"/>
      <c r="AU930" s="228"/>
      <c r="AV930" s="228"/>
      <c r="AW930" s="228"/>
      <c r="AX930" s="228"/>
      <c r="AY930" s="228"/>
      <c r="AZ930" s="228"/>
      <c r="BA930" s="228"/>
      <c r="BB930" s="228"/>
      <c r="BC930" s="228"/>
      <c r="BD930" s="228"/>
      <c r="BE930" s="228"/>
      <c r="BF930" s="228"/>
      <c r="BG930" s="228"/>
      <c r="BH930" s="228"/>
      <c r="BI930" s="228"/>
      <c r="BJ930" s="228"/>
      <c r="BK930" s="228"/>
      <c r="BL930" s="228"/>
      <c r="BM930" s="228"/>
      <c r="BN930" s="228"/>
      <c r="BO930" s="228"/>
      <c r="BP930" s="228"/>
      <c r="BQ930" s="228"/>
      <c r="BR930" s="228"/>
      <c r="BS930" s="228"/>
      <c r="BT930" s="228"/>
      <c r="BU930" s="228"/>
      <c r="BV930" s="228"/>
      <c r="BW930" s="228"/>
      <c r="BX930" s="228"/>
      <c r="BY930" s="228"/>
      <c r="BZ930" s="228"/>
      <c r="CA930" s="228"/>
      <c r="CB930" s="228"/>
      <c r="CC930" s="228"/>
      <c r="CD930" s="228"/>
      <c r="CE930" s="228"/>
      <c r="CF930" s="228"/>
      <c r="CG930" s="228"/>
      <c r="CH930" s="228"/>
      <c r="CI930" s="228"/>
      <c r="CJ930" s="228"/>
      <c r="CK930" s="228"/>
      <c r="CL930" s="228"/>
      <c r="CM930" s="228"/>
      <c r="CN930" s="228"/>
      <c r="CO930" s="228"/>
      <c r="CP930" s="228"/>
      <c r="CQ930" s="228"/>
      <c r="CR930" s="228"/>
      <c r="CS930" s="228"/>
      <c r="CT930" s="228"/>
      <c r="CU930" s="228"/>
      <c r="CV930" s="228"/>
      <c r="CW930" s="228"/>
      <c r="CX930" s="228"/>
      <c r="CY930" s="228"/>
      <c r="CZ930" s="228"/>
      <c r="DA930" s="228"/>
      <c r="DB930" s="228"/>
    </row>
    <row r="931" ht="12.0" customHeight="1">
      <c r="A931" s="228"/>
      <c r="B931" s="228"/>
      <c r="C931" s="228"/>
      <c r="D931" s="228"/>
      <c r="E931" s="228"/>
      <c r="F931" s="228"/>
      <c r="G931" s="228"/>
      <c r="H931" s="228"/>
      <c r="I931" s="228"/>
      <c r="J931" s="228"/>
      <c r="K931" s="228"/>
      <c r="L931" s="228"/>
      <c r="M931" s="228"/>
      <c r="N931" s="228"/>
      <c r="O931" s="228"/>
      <c r="P931" s="228"/>
      <c r="Q931" s="228"/>
      <c r="R931" s="228"/>
      <c r="S931" s="228"/>
      <c r="T931" s="228"/>
      <c r="U931" s="228"/>
      <c r="V931" s="228"/>
      <c r="W931" s="228"/>
      <c r="X931" s="228"/>
      <c r="Y931" s="228"/>
      <c r="Z931" s="228"/>
      <c r="AA931" s="228"/>
      <c r="AB931" s="228"/>
      <c r="AC931" s="228"/>
      <c r="AD931" s="228"/>
      <c r="AE931" s="228"/>
      <c r="AF931" s="228"/>
      <c r="AG931" s="228"/>
      <c r="AH931" s="228"/>
      <c r="AI931" s="228"/>
      <c r="AJ931" s="228"/>
      <c r="AK931" s="228"/>
      <c r="AL931" s="228"/>
      <c r="AM931" s="228"/>
      <c r="AN931" s="228"/>
      <c r="AO931" s="228"/>
      <c r="AP931" s="228"/>
      <c r="AQ931" s="228"/>
      <c r="AR931" s="228"/>
      <c r="AS931" s="228"/>
      <c r="AT931" s="228"/>
      <c r="AU931" s="228"/>
      <c r="AV931" s="228"/>
      <c r="AW931" s="228"/>
      <c r="AX931" s="228"/>
      <c r="AY931" s="228"/>
      <c r="AZ931" s="228"/>
      <c r="BA931" s="228"/>
      <c r="BB931" s="228"/>
      <c r="BC931" s="228"/>
      <c r="BD931" s="228"/>
      <c r="BE931" s="228"/>
      <c r="BF931" s="228"/>
      <c r="BG931" s="228"/>
      <c r="BH931" s="228"/>
      <c r="BI931" s="228"/>
      <c r="BJ931" s="228"/>
      <c r="BK931" s="228"/>
      <c r="BL931" s="228"/>
      <c r="BM931" s="228"/>
      <c r="BN931" s="228"/>
      <c r="BO931" s="228"/>
      <c r="BP931" s="228"/>
      <c r="BQ931" s="228"/>
      <c r="BR931" s="228"/>
      <c r="BS931" s="228"/>
      <c r="BT931" s="228"/>
      <c r="BU931" s="228"/>
      <c r="BV931" s="228"/>
      <c r="BW931" s="228"/>
      <c r="BX931" s="228"/>
      <c r="BY931" s="228"/>
      <c r="BZ931" s="228"/>
      <c r="CA931" s="228"/>
      <c r="CB931" s="228"/>
      <c r="CC931" s="228"/>
      <c r="CD931" s="228"/>
      <c r="CE931" s="228"/>
      <c r="CF931" s="228"/>
      <c r="CG931" s="228"/>
      <c r="CH931" s="228"/>
      <c r="CI931" s="228"/>
      <c r="CJ931" s="228"/>
      <c r="CK931" s="228"/>
      <c r="CL931" s="228"/>
      <c r="CM931" s="228"/>
      <c r="CN931" s="228"/>
      <c r="CO931" s="228"/>
      <c r="CP931" s="228"/>
      <c r="CQ931" s="228"/>
      <c r="CR931" s="228"/>
      <c r="CS931" s="228"/>
      <c r="CT931" s="228"/>
      <c r="CU931" s="228"/>
      <c r="CV931" s="228"/>
      <c r="CW931" s="228"/>
      <c r="CX931" s="228"/>
      <c r="CY931" s="228"/>
      <c r="CZ931" s="228"/>
      <c r="DA931" s="228"/>
      <c r="DB931" s="228"/>
    </row>
    <row r="932" ht="12.0" customHeight="1">
      <c r="A932" s="228"/>
      <c r="B932" s="228"/>
      <c r="C932" s="228"/>
      <c r="D932" s="228"/>
      <c r="E932" s="228"/>
      <c r="F932" s="228"/>
      <c r="G932" s="228"/>
      <c r="H932" s="228"/>
      <c r="I932" s="228"/>
      <c r="J932" s="228"/>
      <c r="K932" s="228"/>
      <c r="L932" s="228"/>
      <c r="M932" s="228"/>
      <c r="N932" s="228"/>
      <c r="O932" s="228"/>
      <c r="P932" s="228"/>
      <c r="Q932" s="228"/>
      <c r="R932" s="228"/>
      <c r="S932" s="228"/>
      <c r="T932" s="228"/>
      <c r="U932" s="228"/>
      <c r="V932" s="228"/>
      <c r="W932" s="228"/>
      <c r="X932" s="228"/>
      <c r="Y932" s="228"/>
      <c r="Z932" s="228"/>
      <c r="AA932" s="228"/>
      <c r="AB932" s="228"/>
      <c r="AC932" s="228"/>
      <c r="AD932" s="228"/>
      <c r="AE932" s="228"/>
      <c r="AF932" s="228"/>
      <c r="AG932" s="228"/>
      <c r="AH932" s="228"/>
      <c r="AI932" s="228"/>
      <c r="AJ932" s="228"/>
      <c r="AK932" s="228"/>
      <c r="AL932" s="228"/>
      <c r="AM932" s="228"/>
      <c r="AN932" s="228"/>
      <c r="AO932" s="228"/>
      <c r="AP932" s="228"/>
      <c r="AQ932" s="228"/>
      <c r="AR932" s="228"/>
      <c r="AS932" s="228"/>
      <c r="AT932" s="228"/>
      <c r="AU932" s="228"/>
      <c r="AV932" s="228"/>
      <c r="AW932" s="228"/>
      <c r="AX932" s="228"/>
      <c r="AY932" s="228"/>
      <c r="AZ932" s="228"/>
      <c r="BA932" s="228"/>
      <c r="BB932" s="228"/>
      <c r="BC932" s="228"/>
      <c r="BD932" s="228"/>
      <c r="BE932" s="228"/>
      <c r="BF932" s="228"/>
      <c r="BG932" s="228"/>
      <c r="BH932" s="228"/>
      <c r="BI932" s="228"/>
      <c r="BJ932" s="228"/>
      <c r="BK932" s="228"/>
      <c r="BL932" s="228"/>
      <c r="BM932" s="228"/>
      <c r="BN932" s="228"/>
      <c r="BO932" s="228"/>
      <c r="BP932" s="228"/>
      <c r="BQ932" s="228"/>
      <c r="BR932" s="228"/>
      <c r="BS932" s="228"/>
      <c r="BT932" s="228"/>
      <c r="BU932" s="228"/>
      <c r="BV932" s="228"/>
      <c r="BW932" s="228"/>
      <c r="BX932" s="228"/>
      <c r="BY932" s="228"/>
      <c r="BZ932" s="228"/>
      <c r="CA932" s="228"/>
      <c r="CB932" s="228"/>
      <c r="CC932" s="228"/>
      <c r="CD932" s="228"/>
      <c r="CE932" s="228"/>
      <c r="CF932" s="228"/>
      <c r="CG932" s="228"/>
      <c r="CH932" s="228"/>
      <c r="CI932" s="228"/>
      <c r="CJ932" s="228"/>
      <c r="CK932" s="228"/>
      <c r="CL932" s="228"/>
      <c r="CM932" s="228"/>
      <c r="CN932" s="228"/>
      <c r="CO932" s="228"/>
      <c r="CP932" s="228"/>
      <c r="CQ932" s="228"/>
      <c r="CR932" s="228"/>
      <c r="CS932" s="228"/>
      <c r="CT932" s="228"/>
      <c r="CU932" s="228"/>
      <c r="CV932" s="228"/>
      <c r="CW932" s="228"/>
      <c r="CX932" s="228"/>
      <c r="CY932" s="228"/>
      <c r="CZ932" s="228"/>
      <c r="DA932" s="228"/>
      <c r="DB932" s="228"/>
    </row>
    <row r="933" ht="12.0" customHeight="1">
      <c r="A933" s="228"/>
      <c r="B933" s="228"/>
      <c r="C933" s="228"/>
      <c r="D933" s="228"/>
      <c r="E933" s="228"/>
      <c r="F933" s="228"/>
      <c r="G933" s="228"/>
      <c r="H933" s="228"/>
      <c r="I933" s="228"/>
      <c r="J933" s="228"/>
      <c r="K933" s="228"/>
      <c r="L933" s="228"/>
      <c r="M933" s="228"/>
      <c r="N933" s="228"/>
      <c r="O933" s="228"/>
      <c r="P933" s="228"/>
      <c r="Q933" s="228"/>
      <c r="R933" s="228"/>
      <c r="S933" s="228"/>
      <c r="T933" s="228"/>
      <c r="U933" s="228"/>
      <c r="V933" s="228"/>
      <c r="W933" s="228"/>
      <c r="X933" s="228"/>
      <c r="Y933" s="228"/>
      <c r="Z933" s="228"/>
      <c r="AA933" s="228"/>
      <c r="AB933" s="228"/>
      <c r="AC933" s="228"/>
      <c r="AD933" s="228"/>
      <c r="AE933" s="228"/>
      <c r="AF933" s="228"/>
      <c r="AG933" s="228"/>
      <c r="AH933" s="228"/>
      <c r="AI933" s="228"/>
      <c r="AJ933" s="228"/>
      <c r="AK933" s="228"/>
      <c r="AL933" s="228"/>
      <c r="AM933" s="228"/>
      <c r="AN933" s="228"/>
      <c r="AO933" s="228"/>
      <c r="AP933" s="228"/>
      <c r="AQ933" s="228"/>
      <c r="AR933" s="228"/>
      <c r="AS933" s="228"/>
      <c r="AT933" s="228"/>
      <c r="AU933" s="228"/>
      <c r="AV933" s="228"/>
      <c r="AW933" s="228"/>
      <c r="AX933" s="228"/>
      <c r="AY933" s="228"/>
      <c r="AZ933" s="228"/>
      <c r="BA933" s="228"/>
      <c r="BB933" s="228"/>
      <c r="BC933" s="228"/>
      <c r="BD933" s="228"/>
      <c r="BE933" s="228"/>
      <c r="BF933" s="228"/>
      <c r="BG933" s="228"/>
      <c r="BH933" s="228"/>
      <c r="BI933" s="228"/>
      <c r="BJ933" s="228"/>
      <c r="BK933" s="228"/>
      <c r="BL933" s="228"/>
      <c r="BM933" s="228"/>
      <c r="BN933" s="228"/>
      <c r="BO933" s="228"/>
      <c r="BP933" s="228"/>
      <c r="BQ933" s="228"/>
      <c r="BR933" s="228"/>
      <c r="BS933" s="228"/>
      <c r="BT933" s="228"/>
      <c r="BU933" s="228"/>
      <c r="BV933" s="228"/>
      <c r="BW933" s="228"/>
      <c r="BX933" s="228"/>
      <c r="BY933" s="228"/>
      <c r="BZ933" s="228"/>
      <c r="CA933" s="228"/>
      <c r="CB933" s="228"/>
      <c r="CC933" s="228"/>
      <c r="CD933" s="228"/>
      <c r="CE933" s="228"/>
      <c r="CF933" s="228"/>
      <c r="CG933" s="228"/>
      <c r="CH933" s="228"/>
      <c r="CI933" s="228"/>
      <c r="CJ933" s="228"/>
      <c r="CK933" s="228"/>
      <c r="CL933" s="228"/>
      <c r="CM933" s="228"/>
      <c r="CN933" s="228"/>
      <c r="CO933" s="228"/>
      <c r="CP933" s="228"/>
      <c r="CQ933" s="228"/>
      <c r="CR933" s="228"/>
      <c r="CS933" s="228"/>
      <c r="CT933" s="228"/>
      <c r="CU933" s="228"/>
      <c r="CV933" s="228"/>
      <c r="CW933" s="228"/>
      <c r="CX933" s="228"/>
      <c r="CY933" s="228"/>
      <c r="CZ933" s="228"/>
      <c r="DA933" s="228"/>
      <c r="DB933" s="228"/>
    </row>
    <row r="934" ht="12.0" customHeight="1">
      <c r="A934" s="228"/>
      <c r="B934" s="228"/>
      <c r="C934" s="228"/>
      <c r="D934" s="228"/>
      <c r="E934" s="228"/>
      <c r="F934" s="228"/>
      <c r="G934" s="228"/>
      <c r="H934" s="228"/>
      <c r="I934" s="228"/>
      <c r="J934" s="228"/>
      <c r="K934" s="228"/>
      <c r="L934" s="228"/>
      <c r="M934" s="228"/>
      <c r="N934" s="228"/>
      <c r="O934" s="228"/>
      <c r="P934" s="228"/>
      <c r="Q934" s="228"/>
      <c r="R934" s="228"/>
      <c r="S934" s="228"/>
      <c r="T934" s="228"/>
      <c r="U934" s="228"/>
      <c r="V934" s="228"/>
      <c r="W934" s="228"/>
      <c r="X934" s="228"/>
      <c r="Y934" s="228"/>
      <c r="Z934" s="228"/>
      <c r="AA934" s="228"/>
      <c r="AB934" s="228"/>
      <c r="AC934" s="228"/>
      <c r="AD934" s="228"/>
      <c r="AE934" s="228"/>
      <c r="AF934" s="228"/>
      <c r="AG934" s="228"/>
      <c r="AH934" s="228"/>
      <c r="AI934" s="228"/>
      <c r="AJ934" s="228"/>
      <c r="AK934" s="228"/>
      <c r="AL934" s="228"/>
      <c r="AM934" s="228"/>
      <c r="AN934" s="228"/>
      <c r="AO934" s="228"/>
      <c r="AP934" s="228"/>
      <c r="AQ934" s="228"/>
      <c r="AR934" s="228"/>
      <c r="AS934" s="228"/>
      <c r="AT934" s="228"/>
      <c r="AU934" s="228"/>
      <c r="AV934" s="228"/>
      <c r="AW934" s="228"/>
      <c r="AX934" s="228"/>
      <c r="AY934" s="228"/>
      <c r="AZ934" s="228"/>
      <c r="BA934" s="228"/>
      <c r="BB934" s="228"/>
      <c r="BC934" s="228"/>
      <c r="BD934" s="228"/>
      <c r="BE934" s="228"/>
      <c r="BF934" s="228"/>
      <c r="BG934" s="228"/>
      <c r="BH934" s="228"/>
      <c r="BI934" s="228"/>
      <c r="BJ934" s="228"/>
      <c r="BK934" s="228"/>
      <c r="BL934" s="228"/>
      <c r="BM934" s="228"/>
      <c r="BN934" s="228"/>
      <c r="BO934" s="228"/>
      <c r="BP934" s="228"/>
      <c r="BQ934" s="228"/>
      <c r="BR934" s="228"/>
      <c r="BS934" s="228"/>
      <c r="BT934" s="228"/>
      <c r="BU934" s="228"/>
      <c r="BV934" s="228"/>
      <c r="BW934" s="228"/>
      <c r="BX934" s="228"/>
      <c r="BY934" s="228"/>
      <c r="BZ934" s="228"/>
      <c r="CA934" s="228"/>
      <c r="CB934" s="228"/>
      <c r="CC934" s="228"/>
      <c r="CD934" s="228"/>
      <c r="CE934" s="228"/>
      <c r="CF934" s="228"/>
      <c r="CG934" s="228"/>
      <c r="CH934" s="228"/>
      <c r="CI934" s="228"/>
      <c r="CJ934" s="228"/>
      <c r="CK934" s="228"/>
      <c r="CL934" s="228"/>
      <c r="CM934" s="228"/>
      <c r="CN934" s="228"/>
      <c r="CO934" s="228"/>
      <c r="CP934" s="228"/>
      <c r="CQ934" s="228"/>
      <c r="CR934" s="228"/>
      <c r="CS934" s="228"/>
      <c r="CT934" s="228"/>
      <c r="CU934" s="228"/>
      <c r="CV934" s="228"/>
      <c r="CW934" s="228"/>
      <c r="CX934" s="228"/>
      <c r="CY934" s="228"/>
      <c r="CZ934" s="228"/>
      <c r="DA934" s="228"/>
      <c r="DB934" s="228"/>
    </row>
    <row r="935" ht="12.0" customHeight="1">
      <c r="A935" s="228"/>
      <c r="B935" s="228"/>
      <c r="C935" s="228"/>
      <c r="D935" s="228"/>
      <c r="E935" s="228"/>
      <c r="F935" s="228"/>
      <c r="G935" s="228"/>
      <c r="H935" s="228"/>
      <c r="I935" s="228"/>
      <c r="J935" s="228"/>
      <c r="K935" s="228"/>
      <c r="L935" s="228"/>
      <c r="M935" s="228"/>
      <c r="N935" s="228"/>
      <c r="O935" s="228"/>
      <c r="P935" s="228"/>
      <c r="Q935" s="228"/>
      <c r="R935" s="228"/>
      <c r="S935" s="228"/>
      <c r="T935" s="228"/>
      <c r="U935" s="228"/>
      <c r="V935" s="228"/>
      <c r="W935" s="228"/>
      <c r="X935" s="228"/>
      <c r="Y935" s="228"/>
      <c r="Z935" s="228"/>
      <c r="AA935" s="228"/>
      <c r="AB935" s="228"/>
      <c r="AC935" s="228"/>
      <c r="AD935" s="228"/>
      <c r="AE935" s="228"/>
      <c r="AF935" s="228"/>
      <c r="AG935" s="228"/>
      <c r="AH935" s="228"/>
      <c r="AI935" s="228"/>
      <c r="AJ935" s="228"/>
      <c r="AK935" s="228"/>
      <c r="AL935" s="228"/>
      <c r="AM935" s="228"/>
      <c r="AN935" s="228"/>
      <c r="AO935" s="228"/>
      <c r="AP935" s="228"/>
      <c r="AQ935" s="228"/>
      <c r="AR935" s="228"/>
      <c r="AS935" s="228"/>
      <c r="AT935" s="228"/>
      <c r="AU935" s="228"/>
      <c r="AV935" s="228"/>
      <c r="AW935" s="228"/>
      <c r="AX935" s="228"/>
      <c r="AY935" s="228"/>
      <c r="AZ935" s="228"/>
      <c r="BA935" s="228"/>
      <c r="BB935" s="228"/>
      <c r="BC935" s="228"/>
      <c r="BD935" s="228"/>
      <c r="BE935" s="228"/>
      <c r="BF935" s="228"/>
      <c r="BG935" s="228"/>
      <c r="BH935" s="228"/>
      <c r="BI935" s="228"/>
      <c r="BJ935" s="228"/>
      <c r="BK935" s="228"/>
      <c r="BL935" s="228"/>
      <c r="BM935" s="228"/>
      <c r="BN935" s="228"/>
      <c r="BO935" s="228"/>
      <c r="BP935" s="228"/>
      <c r="BQ935" s="228"/>
      <c r="BR935" s="228"/>
      <c r="BS935" s="228"/>
      <c r="BT935" s="228"/>
      <c r="BU935" s="228"/>
      <c r="BV935" s="228"/>
      <c r="BW935" s="228"/>
      <c r="BX935" s="228"/>
      <c r="BY935" s="228"/>
      <c r="BZ935" s="228"/>
      <c r="CA935" s="228"/>
      <c r="CB935" s="228"/>
      <c r="CC935" s="228"/>
      <c r="CD935" s="228"/>
      <c r="CE935" s="228"/>
      <c r="CF935" s="228"/>
      <c r="CG935" s="228"/>
      <c r="CH935" s="228"/>
      <c r="CI935" s="228"/>
      <c r="CJ935" s="228"/>
      <c r="CK935" s="228"/>
      <c r="CL935" s="228"/>
      <c r="CM935" s="228"/>
      <c r="CN935" s="228"/>
      <c r="CO935" s="228"/>
      <c r="CP935" s="228"/>
      <c r="CQ935" s="228"/>
      <c r="CR935" s="228"/>
      <c r="CS935" s="228"/>
      <c r="CT935" s="228"/>
      <c r="CU935" s="228"/>
      <c r="CV935" s="228"/>
      <c r="CW935" s="228"/>
      <c r="CX935" s="228"/>
      <c r="CY935" s="228"/>
      <c r="CZ935" s="228"/>
      <c r="DA935" s="228"/>
      <c r="DB935" s="228"/>
    </row>
    <row r="936" ht="12.0" customHeight="1">
      <c r="A936" s="228"/>
      <c r="B936" s="228"/>
      <c r="C936" s="228"/>
      <c r="D936" s="228"/>
      <c r="E936" s="228"/>
      <c r="F936" s="228"/>
      <c r="G936" s="228"/>
      <c r="H936" s="228"/>
      <c r="I936" s="228"/>
      <c r="J936" s="228"/>
      <c r="K936" s="228"/>
      <c r="L936" s="228"/>
      <c r="M936" s="228"/>
      <c r="N936" s="228"/>
      <c r="O936" s="228"/>
      <c r="P936" s="228"/>
      <c r="Q936" s="228"/>
      <c r="R936" s="228"/>
      <c r="S936" s="228"/>
      <c r="T936" s="228"/>
      <c r="U936" s="228"/>
      <c r="V936" s="228"/>
      <c r="W936" s="228"/>
      <c r="X936" s="228"/>
      <c r="Y936" s="228"/>
      <c r="Z936" s="228"/>
      <c r="AA936" s="228"/>
      <c r="AB936" s="228"/>
      <c r="AC936" s="228"/>
      <c r="AD936" s="228"/>
      <c r="AE936" s="228"/>
      <c r="AF936" s="228"/>
      <c r="AG936" s="228"/>
      <c r="AH936" s="228"/>
      <c r="AI936" s="228"/>
      <c r="AJ936" s="228"/>
      <c r="AK936" s="228"/>
      <c r="AL936" s="228"/>
      <c r="AM936" s="228"/>
      <c r="AN936" s="228"/>
      <c r="AO936" s="228"/>
      <c r="AP936" s="228"/>
      <c r="AQ936" s="228"/>
      <c r="AR936" s="228"/>
      <c r="AS936" s="228"/>
      <c r="AT936" s="228"/>
      <c r="AU936" s="228"/>
      <c r="AV936" s="228"/>
      <c r="AW936" s="228"/>
      <c r="AX936" s="228"/>
      <c r="AY936" s="228"/>
      <c r="AZ936" s="228"/>
      <c r="BA936" s="228"/>
      <c r="BB936" s="228"/>
      <c r="BC936" s="228"/>
      <c r="BD936" s="228"/>
      <c r="BE936" s="228"/>
      <c r="BF936" s="228"/>
      <c r="BG936" s="228"/>
      <c r="BH936" s="228"/>
      <c r="BI936" s="228"/>
      <c r="BJ936" s="228"/>
      <c r="BK936" s="228"/>
      <c r="BL936" s="228"/>
      <c r="BM936" s="228"/>
      <c r="BN936" s="228"/>
      <c r="BO936" s="228"/>
      <c r="BP936" s="228"/>
      <c r="BQ936" s="228"/>
      <c r="BR936" s="228"/>
      <c r="BS936" s="228"/>
      <c r="BT936" s="228"/>
      <c r="BU936" s="228"/>
      <c r="BV936" s="228"/>
      <c r="BW936" s="228"/>
      <c r="BX936" s="228"/>
      <c r="BY936" s="228"/>
      <c r="BZ936" s="228"/>
      <c r="CA936" s="228"/>
      <c r="CB936" s="228"/>
      <c r="CC936" s="228"/>
      <c r="CD936" s="228"/>
      <c r="CE936" s="228"/>
      <c r="CF936" s="228"/>
      <c r="CG936" s="228"/>
      <c r="CH936" s="228"/>
      <c r="CI936" s="228"/>
      <c r="CJ936" s="228"/>
      <c r="CK936" s="228"/>
      <c r="CL936" s="228"/>
      <c r="CM936" s="228"/>
      <c r="CN936" s="228"/>
      <c r="CO936" s="228"/>
      <c r="CP936" s="228"/>
      <c r="CQ936" s="228"/>
      <c r="CR936" s="228"/>
      <c r="CS936" s="228"/>
      <c r="CT936" s="228"/>
      <c r="CU936" s="228"/>
      <c r="CV936" s="228"/>
      <c r="CW936" s="228"/>
      <c r="CX936" s="228"/>
      <c r="CY936" s="228"/>
      <c r="CZ936" s="228"/>
      <c r="DA936" s="228"/>
      <c r="DB936" s="228"/>
    </row>
    <row r="937" ht="12.0" customHeight="1">
      <c r="A937" s="228"/>
      <c r="B937" s="228"/>
      <c r="C937" s="228"/>
      <c r="D937" s="228"/>
      <c r="E937" s="228"/>
      <c r="F937" s="228"/>
      <c r="G937" s="228"/>
      <c r="H937" s="228"/>
      <c r="I937" s="228"/>
      <c r="J937" s="228"/>
      <c r="K937" s="228"/>
      <c r="L937" s="228"/>
      <c r="M937" s="228"/>
      <c r="N937" s="228"/>
      <c r="O937" s="228"/>
      <c r="P937" s="228"/>
      <c r="Q937" s="228"/>
      <c r="R937" s="228"/>
      <c r="S937" s="228"/>
      <c r="T937" s="228"/>
      <c r="U937" s="228"/>
      <c r="V937" s="228"/>
      <c r="W937" s="228"/>
      <c r="X937" s="228"/>
      <c r="Y937" s="228"/>
      <c r="Z937" s="228"/>
      <c r="AA937" s="228"/>
      <c r="AB937" s="228"/>
      <c r="AC937" s="228"/>
      <c r="AD937" s="228"/>
      <c r="AE937" s="228"/>
      <c r="AF937" s="228"/>
      <c r="AG937" s="228"/>
      <c r="AH937" s="228"/>
      <c r="AI937" s="228"/>
      <c r="AJ937" s="228"/>
      <c r="AK937" s="228"/>
      <c r="AL937" s="228"/>
      <c r="AM937" s="228"/>
      <c r="AN937" s="228"/>
      <c r="AO937" s="228"/>
      <c r="AP937" s="228"/>
      <c r="AQ937" s="228"/>
      <c r="AR937" s="228"/>
      <c r="AS937" s="228"/>
      <c r="AT937" s="228"/>
      <c r="AU937" s="228"/>
      <c r="AV937" s="228"/>
      <c r="AW937" s="228"/>
      <c r="AX937" s="228"/>
      <c r="AY937" s="228"/>
      <c r="AZ937" s="228"/>
      <c r="BA937" s="228"/>
      <c r="BB937" s="228"/>
      <c r="BC937" s="228"/>
      <c r="BD937" s="228"/>
      <c r="BE937" s="228"/>
      <c r="BF937" s="228"/>
      <c r="BG937" s="228"/>
      <c r="BH937" s="228"/>
      <c r="BI937" s="228"/>
      <c r="BJ937" s="228"/>
      <c r="BK937" s="228"/>
      <c r="BL937" s="228"/>
      <c r="BM937" s="228"/>
      <c r="BN937" s="228"/>
      <c r="BO937" s="228"/>
      <c r="BP937" s="228"/>
      <c r="BQ937" s="228"/>
      <c r="BR937" s="228"/>
      <c r="BS937" s="228"/>
      <c r="BT937" s="228"/>
      <c r="BU937" s="228"/>
      <c r="BV937" s="228"/>
      <c r="BW937" s="228"/>
      <c r="BX937" s="228"/>
      <c r="BY937" s="228"/>
      <c r="BZ937" s="228"/>
      <c r="CA937" s="228"/>
      <c r="CB937" s="228"/>
      <c r="CC937" s="228"/>
      <c r="CD937" s="228"/>
      <c r="CE937" s="228"/>
      <c r="CF937" s="228"/>
      <c r="CG937" s="228"/>
      <c r="CH937" s="228"/>
      <c r="CI937" s="228"/>
      <c r="CJ937" s="228"/>
      <c r="CK937" s="228"/>
      <c r="CL937" s="228"/>
      <c r="CM937" s="228"/>
      <c r="CN937" s="228"/>
      <c r="CO937" s="228"/>
      <c r="CP937" s="228"/>
      <c r="CQ937" s="228"/>
      <c r="CR937" s="228"/>
      <c r="CS937" s="228"/>
      <c r="CT937" s="228"/>
      <c r="CU937" s="228"/>
      <c r="CV937" s="228"/>
      <c r="CW937" s="228"/>
      <c r="CX937" s="228"/>
      <c r="CY937" s="228"/>
      <c r="CZ937" s="228"/>
      <c r="DA937" s="228"/>
      <c r="DB937" s="228"/>
    </row>
    <row r="938" ht="12.0" customHeight="1">
      <c r="A938" s="228"/>
      <c r="B938" s="228"/>
      <c r="C938" s="228"/>
      <c r="D938" s="228"/>
      <c r="E938" s="228"/>
      <c r="F938" s="228"/>
      <c r="G938" s="228"/>
      <c r="H938" s="228"/>
      <c r="I938" s="228"/>
      <c r="J938" s="228"/>
      <c r="K938" s="228"/>
      <c r="L938" s="228"/>
      <c r="M938" s="228"/>
      <c r="N938" s="228"/>
      <c r="O938" s="228"/>
      <c r="P938" s="228"/>
      <c r="Q938" s="228"/>
      <c r="R938" s="228"/>
      <c r="S938" s="228"/>
      <c r="T938" s="228"/>
      <c r="U938" s="228"/>
      <c r="V938" s="228"/>
      <c r="W938" s="228"/>
      <c r="X938" s="228"/>
      <c r="Y938" s="228"/>
      <c r="Z938" s="228"/>
      <c r="AA938" s="228"/>
      <c r="AB938" s="228"/>
      <c r="AC938" s="228"/>
      <c r="AD938" s="228"/>
      <c r="AE938" s="228"/>
      <c r="AF938" s="228"/>
      <c r="AG938" s="228"/>
      <c r="AH938" s="228"/>
      <c r="AI938" s="228"/>
      <c r="AJ938" s="228"/>
      <c r="AK938" s="228"/>
      <c r="AL938" s="228"/>
      <c r="AM938" s="228"/>
      <c r="AN938" s="228"/>
      <c r="AO938" s="228"/>
      <c r="AP938" s="228"/>
      <c r="AQ938" s="228"/>
      <c r="AR938" s="228"/>
      <c r="AS938" s="228"/>
      <c r="AT938" s="228"/>
      <c r="AU938" s="228"/>
      <c r="AV938" s="228"/>
      <c r="AW938" s="228"/>
      <c r="AX938" s="228"/>
      <c r="AY938" s="228"/>
      <c r="AZ938" s="228"/>
      <c r="BA938" s="228"/>
      <c r="BB938" s="228"/>
      <c r="BC938" s="228"/>
      <c r="BD938" s="228"/>
      <c r="BE938" s="228"/>
      <c r="BF938" s="228"/>
      <c r="BG938" s="228"/>
      <c r="BH938" s="228"/>
      <c r="BI938" s="228"/>
      <c r="BJ938" s="228"/>
      <c r="BK938" s="228"/>
      <c r="BL938" s="228"/>
      <c r="BM938" s="228"/>
      <c r="BN938" s="228"/>
      <c r="BO938" s="228"/>
      <c r="BP938" s="228"/>
      <c r="BQ938" s="228"/>
      <c r="BR938" s="228"/>
      <c r="BS938" s="228"/>
      <c r="BT938" s="228"/>
      <c r="BU938" s="228"/>
      <c r="BV938" s="228"/>
      <c r="BW938" s="228"/>
      <c r="BX938" s="228"/>
      <c r="BY938" s="228"/>
      <c r="BZ938" s="228"/>
      <c r="CA938" s="228"/>
      <c r="CB938" s="228"/>
      <c r="CC938" s="228"/>
      <c r="CD938" s="228"/>
      <c r="CE938" s="228"/>
      <c r="CF938" s="228"/>
      <c r="CG938" s="228"/>
      <c r="CH938" s="228"/>
      <c r="CI938" s="228"/>
      <c r="CJ938" s="228"/>
      <c r="CK938" s="228"/>
      <c r="CL938" s="228"/>
      <c r="CM938" s="228"/>
      <c r="CN938" s="228"/>
      <c r="CO938" s="228"/>
      <c r="CP938" s="228"/>
      <c r="CQ938" s="228"/>
      <c r="CR938" s="228"/>
      <c r="CS938" s="228"/>
      <c r="CT938" s="228"/>
      <c r="CU938" s="228"/>
      <c r="CV938" s="228"/>
      <c r="CW938" s="228"/>
      <c r="CX938" s="228"/>
      <c r="CY938" s="228"/>
      <c r="CZ938" s="228"/>
      <c r="DA938" s="228"/>
      <c r="DB938" s="228"/>
    </row>
    <row r="939" ht="12.0" customHeight="1">
      <c r="A939" s="228"/>
      <c r="B939" s="228"/>
      <c r="C939" s="228"/>
      <c r="D939" s="228"/>
      <c r="E939" s="228"/>
      <c r="F939" s="228"/>
      <c r="G939" s="228"/>
      <c r="H939" s="228"/>
      <c r="I939" s="228"/>
      <c r="J939" s="228"/>
      <c r="K939" s="228"/>
      <c r="L939" s="228"/>
      <c r="M939" s="228"/>
      <c r="N939" s="228"/>
      <c r="O939" s="228"/>
      <c r="P939" s="228"/>
      <c r="Q939" s="228"/>
      <c r="R939" s="228"/>
      <c r="S939" s="228"/>
      <c r="T939" s="228"/>
      <c r="U939" s="228"/>
      <c r="V939" s="228"/>
      <c r="W939" s="228"/>
      <c r="X939" s="228"/>
      <c r="Y939" s="228"/>
      <c r="Z939" s="228"/>
      <c r="AA939" s="228"/>
      <c r="AB939" s="228"/>
      <c r="AC939" s="228"/>
      <c r="AD939" s="228"/>
      <c r="AE939" s="228"/>
      <c r="AF939" s="228"/>
      <c r="AG939" s="228"/>
      <c r="AH939" s="228"/>
      <c r="AI939" s="228"/>
      <c r="AJ939" s="228"/>
      <c r="AK939" s="228"/>
      <c r="AL939" s="228"/>
      <c r="AM939" s="228"/>
      <c r="AN939" s="228"/>
      <c r="AO939" s="228"/>
      <c r="AP939" s="228"/>
      <c r="AQ939" s="228"/>
      <c r="AR939" s="228"/>
      <c r="AS939" s="228"/>
      <c r="AT939" s="228"/>
      <c r="AU939" s="228"/>
      <c r="AV939" s="228"/>
      <c r="AW939" s="228"/>
      <c r="AX939" s="228"/>
      <c r="AY939" s="228"/>
      <c r="AZ939" s="228"/>
      <c r="BA939" s="228"/>
      <c r="BB939" s="228"/>
      <c r="BC939" s="228"/>
      <c r="BD939" s="228"/>
      <c r="BE939" s="228"/>
      <c r="BF939" s="228"/>
      <c r="BG939" s="228"/>
      <c r="BH939" s="228"/>
      <c r="BI939" s="228"/>
      <c r="BJ939" s="228"/>
      <c r="BK939" s="228"/>
      <c r="BL939" s="228"/>
      <c r="BM939" s="228"/>
      <c r="BN939" s="228"/>
      <c r="BO939" s="228"/>
      <c r="BP939" s="228"/>
      <c r="BQ939" s="228"/>
      <c r="BR939" s="228"/>
      <c r="BS939" s="228"/>
      <c r="BT939" s="228"/>
      <c r="BU939" s="228"/>
      <c r="BV939" s="228"/>
      <c r="BW939" s="228"/>
      <c r="BX939" s="228"/>
      <c r="BY939" s="228"/>
      <c r="BZ939" s="228"/>
      <c r="CA939" s="228"/>
      <c r="CB939" s="228"/>
      <c r="CC939" s="228"/>
      <c r="CD939" s="228"/>
      <c r="CE939" s="228"/>
      <c r="CF939" s="228"/>
      <c r="CG939" s="228"/>
      <c r="CH939" s="228"/>
      <c r="CI939" s="228"/>
      <c r="CJ939" s="228"/>
      <c r="CK939" s="228"/>
      <c r="CL939" s="228"/>
      <c r="CM939" s="228"/>
      <c r="CN939" s="228"/>
      <c r="CO939" s="228"/>
      <c r="CP939" s="228"/>
      <c r="CQ939" s="228"/>
      <c r="CR939" s="228"/>
      <c r="CS939" s="228"/>
      <c r="CT939" s="228"/>
      <c r="CU939" s="228"/>
      <c r="CV939" s="228"/>
      <c r="CW939" s="228"/>
      <c r="CX939" s="228"/>
      <c r="CY939" s="228"/>
      <c r="CZ939" s="228"/>
      <c r="DA939" s="228"/>
      <c r="DB939" s="228"/>
    </row>
    <row r="940" ht="12.0" customHeight="1">
      <c r="A940" s="228"/>
      <c r="B940" s="228"/>
      <c r="C940" s="228"/>
      <c r="D940" s="228"/>
      <c r="E940" s="228"/>
      <c r="F940" s="228"/>
      <c r="G940" s="228"/>
      <c r="H940" s="228"/>
      <c r="I940" s="228"/>
      <c r="J940" s="228"/>
      <c r="K940" s="228"/>
      <c r="L940" s="228"/>
      <c r="M940" s="228"/>
      <c r="N940" s="228"/>
      <c r="O940" s="228"/>
      <c r="P940" s="228"/>
      <c r="Q940" s="228"/>
      <c r="R940" s="228"/>
      <c r="S940" s="228"/>
      <c r="T940" s="228"/>
      <c r="U940" s="228"/>
      <c r="V940" s="228"/>
      <c r="W940" s="228"/>
      <c r="X940" s="228"/>
      <c r="Y940" s="228"/>
      <c r="Z940" s="228"/>
      <c r="AA940" s="228"/>
      <c r="AB940" s="228"/>
      <c r="AC940" s="228"/>
      <c r="AD940" s="228"/>
      <c r="AE940" s="228"/>
      <c r="AF940" s="228"/>
      <c r="AG940" s="228"/>
      <c r="AH940" s="228"/>
      <c r="AI940" s="228"/>
      <c r="AJ940" s="228"/>
      <c r="AK940" s="228"/>
      <c r="AL940" s="228"/>
      <c r="AM940" s="228"/>
      <c r="AN940" s="228"/>
      <c r="AO940" s="228"/>
      <c r="AP940" s="228"/>
      <c r="AQ940" s="228"/>
      <c r="AR940" s="228"/>
      <c r="AS940" s="228"/>
      <c r="AT940" s="228"/>
      <c r="AU940" s="228"/>
      <c r="AV940" s="228"/>
      <c r="AW940" s="228"/>
      <c r="AX940" s="228"/>
      <c r="AY940" s="228"/>
      <c r="AZ940" s="228"/>
      <c r="BA940" s="228"/>
      <c r="BB940" s="228"/>
      <c r="BC940" s="228"/>
      <c r="BD940" s="228"/>
      <c r="BE940" s="228"/>
      <c r="BF940" s="228"/>
      <c r="BG940" s="228"/>
      <c r="BH940" s="228"/>
      <c r="BI940" s="228"/>
      <c r="BJ940" s="228"/>
      <c r="BK940" s="228"/>
      <c r="BL940" s="228"/>
      <c r="BM940" s="228"/>
      <c r="BN940" s="228"/>
      <c r="BO940" s="228"/>
      <c r="BP940" s="228"/>
      <c r="BQ940" s="228"/>
      <c r="BR940" s="228"/>
      <c r="BS940" s="228"/>
      <c r="BT940" s="228"/>
      <c r="BU940" s="228"/>
      <c r="BV940" s="228"/>
      <c r="BW940" s="228"/>
      <c r="BX940" s="228"/>
      <c r="BY940" s="228"/>
      <c r="BZ940" s="228"/>
      <c r="CA940" s="228"/>
      <c r="CB940" s="228"/>
      <c r="CC940" s="228"/>
      <c r="CD940" s="228"/>
      <c r="CE940" s="228"/>
      <c r="CF940" s="228"/>
      <c r="CG940" s="228"/>
      <c r="CH940" s="228"/>
      <c r="CI940" s="228"/>
      <c r="CJ940" s="228"/>
      <c r="CK940" s="228"/>
      <c r="CL940" s="228"/>
      <c r="CM940" s="228"/>
      <c r="CN940" s="228"/>
      <c r="CO940" s="228"/>
      <c r="CP940" s="228"/>
      <c r="CQ940" s="228"/>
      <c r="CR940" s="228"/>
      <c r="CS940" s="228"/>
      <c r="CT940" s="228"/>
      <c r="CU940" s="228"/>
      <c r="CV940" s="228"/>
      <c r="CW940" s="228"/>
      <c r="CX940" s="228"/>
      <c r="CY940" s="228"/>
      <c r="CZ940" s="228"/>
      <c r="DA940" s="228"/>
      <c r="DB940" s="228"/>
    </row>
    <row r="941" ht="12.0" customHeight="1">
      <c r="A941" s="228"/>
      <c r="B941" s="228"/>
      <c r="C941" s="228"/>
      <c r="D941" s="228"/>
      <c r="E941" s="228"/>
      <c r="F941" s="228"/>
      <c r="G941" s="228"/>
      <c r="H941" s="228"/>
      <c r="I941" s="228"/>
      <c r="J941" s="228"/>
      <c r="K941" s="228"/>
      <c r="L941" s="228"/>
      <c r="M941" s="228"/>
      <c r="N941" s="228"/>
      <c r="O941" s="228"/>
      <c r="P941" s="228"/>
      <c r="Q941" s="228"/>
      <c r="R941" s="228"/>
      <c r="S941" s="228"/>
      <c r="T941" s="228"/>
      <c r="U941" s="228"/>
      <c r="V941" s="228"/>
      <c r="W941" s="228"/>
      <c r="X941" s="228"/>
      <c r="Y941" s="228"/>
      <c r="Z941" s="228"/>
      <c r="AA941" s="228"/>
      <c r="AB941" s="228"/>
      <c r="AC941" s="228"/>
      <c r="AD941" s="228"/>
      <c r="AE941" s="228"/>
      <c r="AF941" s="228"/>
      <c r="AG941" s="228"/>
      <c r="AH941" s="228"/>
      <c r="AI941" s="228"/>
      <c r="AJ941" s="228"/>
      <c r="AK941" s="228"/>
      <c r="AL941" s="228"/>
      <c r="AM941" s="228"/>
      <c r="AN941" s="228"/>
      <c r="AO941" s="228"/>
      <c r="AP941" s="228"/>
      <c r="AQ941" s="228"/>
      <c r="AR941" s="228"/>
      <c r="AS941" s="228"/>
      <c r="AT941" s="228"/>
      <c r="AU941" s="228"/>
      <c r="AV941" s="228"/>
      <c r="AW941" s="228"/>
      <c r="AX941" s="228"/>
      <c r="AY941" s="228"/>
      <c r="AZ941" s="228"/>
      <c r="BA941" s="228"/>
      <c r="BB941" s="228"/>
      <c r="BC941" s="228"/>
      <c r="BD941" s="228"/>
      <c r="BE941" s="228"/>
      <c r="BF941" s="228"/>
      <c r="BG941" s="228"/>
      <c r="BH941" s="228"/>
      <c r="BI941" s="228"/>
      <c r="BJ941" s="228"/>
      <c r="BK941" s="228"/>
      <c r="BL941" s="228"/>
      <c r="BM941" s="228"/>
      <c r="BN941" s="228"/>
      <c r="BO941" s="228"/>
      <c r="BP941" s="228"/>
      <c r="BQ941" s="228"/>
      <c r="BR941" s="228"/>
      <c r="BS941" s="228"/>
      <c r="BT941" s="228"/>
      <c r="BU941" s="228"/>
      <c r="BV941" s="228"/>
      <c r="BW941" s="228"/>
      <c r="BX941" s="228"/>
      <c r="BY941" s="228"/>
      <c r="BZ941" s="228"/>
      <c r="CA941" s="228"/>
      <c r="CB941" s="228"/>
      <c r="CC941" s="228"/>
      <c r="CD941" s="228"/>
      <c r="CE941" s="228"/>
      <c r="CF941" s="228"/>
      <c r="CG941" s="228"/>
      <c r="CH941" s="228"/>
      <c r="CI941" s="228"/>
      <c r="CJ941" s="228"/>
      <c r="CK941" s="228"/>
      <c r="CL941" s="228"/>
      <c r="CM941" s="228"/>
      <c r="CN941" s="228"/>
      <c r="CO941" s="228"/>
      <c r="CP941" s="228"/>
      <c r="CQ941" s="228"/>
      <c r="CR941" s="228"/>
      <c r="CS941" s="228"/>
      <c r="CT941" s="228"/>
      <c r="CU941" s="228"/>
      <c r="CV941" s="228"/>
      <c r="CW941" s="228"/>
      <c r="CX941" s="228"/>
      <c r="CY941" s="228"/>
      <c r="CZ941" s="228"/>
      <c r="DA941" s="228"/>
      <c r="DB941" s="228"/>
    </row>
    <row r="942" ht="12.0" customHeight="1">
      <c r="A942" s="228"/>
      <c r="B942" s="228"/>
      <c r="C942" s="228"/>
      <c r="D942" s="228"/>
      <c r="E942" s="228"/>
      <c r="F942" s="228"/>
      <c r="G942" s="228"/>
      <c r="H942" s="228"/>
      <c r="I942" s="228"/>
      <c r="J942" s="228"/>
      <c r="K942" s="228"/>
      <c r="L942" s="228"/>
      <c r="M942" s="228"/>
      <c r="N942" s="228"/>
      <c r="O942" s="228"/>
      <c r="P942" s="228"/>
      <c r="Q942" s="228"/>
      <c r="R942" s="228"/>
      <c r="S942" s="228"/>
      <c r="T942" s="228"/>
      <c r="U942" s="228"/>
      <c r="V942" s="228"/>
      <c r="W942" s="228"/>
      <c r="X942" s="228"/>
      <c r="Y942" s="228"/>
      <c r="Z942" s="228"/>
      <c r="AA942" s="228"/>
      <c r="AB942" s="228"/>
      <c r="AC942" s="228"/>
      <c r="AD942" s="228"/>
      <c r="AE942" s="228"/>
      <c r="AF942" s="228"/>
      <c r="AG942" s="228"/>
      <c r="AH942" s="228"/>
      <c r="AI942" s="228"/>
      <c r="AJ942" s="228"/>
      <c r="AK942" s="228"/>
      <c r="AL942" s="228"/>
      <c r="AM942" s="228"/>
      <c r="AN942" s="228"/>
      <c r="AO942" s="228"/>
      <c r="AP942" s="228"/>
      <c r="AQ942" s="228"/>
      <c r="AR942" s="228"/>
      <c r="AS942" s="228"/>
      <c r="AT942" s="228"/>
      <c r="AU942" s="228"/>
      <c r="AV942" s="228"/>
      <c r="AW942" s="228"/>
      <c r="AX942" s="228"/>
      <c r="AY942" s="228"/>
      <c r="AZ942" s="228"/>
      <c r="BA942" s="228"/>
      <c r="BB942" s="228"/>
      <c r="BC942" s="228"/>
      <c r="BD942" s="228"/>
      <c r="BE942" s="228"/>
      <c r="BF942" s="228"/>
      <c r="BG942" s="228"/>
      <c r="BH942" s="228"/>
      <c r="BI942" s="228"/>
      <c r="BJ942" s="228"/>
      <c r="BK942" s="228"/>
      <c r="BL942" s="228"/>
      <c r="BM942" s="228"/>
      <c r="BN942" s="228"/>
      <c r="BO942" s="228"/>
      <c r="BP942" s="228"/>
      <c r="BQ942" s="228"/>
      <c r="BR942" s="228"/>
      <c r="BS942" s="228"/>
      <c r="BT942" s="228"/>
      <c r="BU942" s="228"/>
      <c r="BV942" s="228"/>
      <c r="BW942" s="228"/>
      <c r="BX942" s="228"/>
      <c r="BY942" s="228"/>
      <c r="BZ942" s="228"/>
      <c r="CA942" s="228"/>
      <c r="CB942" s="228"/>
      <c r="CC942" s="228"/>
      <c r="CD942" s="228"/>
      <c r="CE942" s="228"/>
      <c r="CF942" s="228"/>
      <c r="CG942" s="228"/>
      <c r="CH942" s="228"/>
      <c r="CI942" s="228"/>
      <c r="CJ942" s="228"/>
      <c r="CK942" s="228"/>
      <c r="CL942" s="228"/>
      <c r="CM942" s="228"/>
      <c r="CN942" s="228"/>
      <c r="CO942" s="228"/>
      <c r="CP942" s="228"/>
      <c r="CQ942" s="228"/>
      <c r="CR942" s="228"/>
      <c r="CS942" s="228"/>
      <c r="CT942" s="228"/>
      <c r="CU942" s="228"/>
      <c r="CV942" s="228"/>
      <c r="CW942" s="228"/>
      <c r="CX942" s="228"/>
      <c r="CY942" s="228"/>
      <c r="CZ942" s="228"/>
      <c r="DA942" s="228"/>
      <c r="DB942" s="228"/>
    </row>
    <row r="943" ht="12.0" customHeight="1">
      <c r="A943" s="228"/>
      <c r="B943" s="228"/>
      <c r="C943" s="228"/>
      <c r="D943" s="228"/>
      <c r="E943" s="228"/>
      <c r="F943" s="228"/>
      <c r="G943" s="228"/>
      <c r="H943" s="228"/>
      <c r="I943" s="228"/>
      <c r="J943" s="228"/>
      <c r="K943" s="228"/>
      <c r="L943" s="228"/>
      <c r="M943" s="228"/>
      <c r="N943" s="228"/>
      <c r="O943" s="228"/>
      <c r="P943" s="228"/>
      <c r="Q943" s="228"/>
      <c r="R943" s="228"/>
      <c r="S943" s="228"/>
      <c r="T943" s="228"/>
      <c r="U943" s="228"/>
      <c r="V943" s="228"/>
      <c r="W943" s="228"/>
      <c r="X943" s="228"/>
      <c r="Y943" s="228"/>
      <c r="Z943" s="228"/>
      <c r="AA943" s="228"/>
      <c r="AB943" s="228"/>
      <c r="AC943" s="228"/>
      <c r="AD943" s="228"/>
      <c r="AE943" s="228"/>
      <c r="AF943" s="228"/>
      <c r="AG943" s="228"/>
      <c r="AH943" s="228"/>
      <c r="AI943" s="228"/>
      <c r="AJ943" s="228"/>
      <c r="AK943" s="228"/>
      <c r="AL943" s="228"/>
      <c r="AM943" s="228"/>
      <c r="AN943" s="228"/>
      <c r="AO943" s="228"/>
      <c r="AP943" s="228"/>
      <c r="AQ943" s="228"/>
      <c r="AR943" s="228"/>
      <c r="AS943" s="228"/>
      <c r="AT943" s="228"/>
      <c r="AU943" s="228"/>
      <c r="AV943" s="228"/>
      <c r="AW943" s="228"/>
      <c r="AX943" s="228"/>
      <c r="AY943" s="228"/>
      <c r="AZ943" s="228"/>
      <c r="BA943" s="228"/>
      <c r="BB943" s="228"/>
      <c r="BC943" s="228"/>
      <c r="BD943" s="228"/>
      <c r="BE943" s="228"/>
      <c r="BF943" s="228"/>
      <c r="BG943" s="228"/>
      <c r="BH943" s="228"/>
      <c r="BI943" s="228"/>
      <c r="BJ943" s="228"/>
      <c r="BK943" s="228"/>
      <c r="BL943" s="228"/>
      <c r="BM943" s="228"/>
      <c r="BN943" s="228"/>
      <c r="BO943" s="228"/>
      <c r="BP943" s="228"/>
      <c r="BQ943" s="228"/>
      <c r="BR943" s="228"/>
      <c r="BS943" s="228"/>
      <c r="BT943" s="228"/>
      <c r="BU943" s="228"/>
      <c r="BV943" s="228"/>
      <c r="BW943" s="228"/>
      <c r="BX943" s="228"/>
      <c r="BY943" s="228"/>
      <c r="BZ943" s="228"/>
      <c r="CA943" s="228"/>
      <c r="CB943" s="228"/>
      <c r="CC943" s="228"/>
      <c r="CD943" s="228"/>
      <c r="CE943" s="228"/>
      <c r="CF943" s="228"/>
      <c r="CG943" s="228"/>
      <c r="CH943" s="228"/>
      <c r="CI943" s="228"/>
      <c r="CJ943" s="228"/>
      <c r="CK943" s="228"/>
      <c r="CL943" s="228"/>
      <c r="CM943" s="228"/>
      <c r="CN943" s="228"/>
      <c r="CO943" s="228"/>
      <c r="CP943" s="228"/>
      <c r="CQ943" s="228"/>
      <c r="CR943" s="228"/>
      <c r="CS943" s="228"/>
      <c r="CT943" s="228"/>
      <c r="CU943" s="228"/>
      <c r="CV943" s="228"/>
      <c r="CW943" s="228"/>
      <c r="CX943" s="228"/>
      <c r="CY943" s="228"/>
      <c r="CZ943" s="228"/>
      <c r="DA943" s="228"/>
      <c r="DB943" s="228"/>
    </row>
    <row r="944" ht="12.0" customHeight="1">
      <c r="A944" s="228"/>
      <c r="B944" s="228"/>
      <c r="C944" s="228"/>
      <c r="D944" s="228"/>
      <c r="E944" s="228"/>
      <c r="F944" s="228"/>
      <c r="G944" s="228"/>
      <c r="H944" s="228"/>
      <c r="I944" s="228"/>
      <c r="J944" s="228"/>
      <c r="K944" s="228"/>
      <c r="L944" s="228"/>
      <c r="M944" s="228"/>
      <c r="N944" s="228"/>
      <c r="O944" s="228"/>
      <c r="P944" s="228"/>
      <c r="Q944" s="228"/>
      <c r="R944" s="228"/>
      <c r="S944" s="228"/>
      <c r="T944" s="228"/>
      <c r="U944" s="228"/>
      <c r="V944" s="228"/>
      <c r="W944" s="228"/>
      <c r="X944" s="228"/>
      <c r="Y944" s="228"/>
      <c r="Z944" s="228"/>
      <c r="AA944" s="228"/>
      <c r="AB944" s="228"/>
      <c r="AC944" s="228"/>
      <c r="AD944" s="228"/>
      <c r="AE944" s="228"/>
      <c r="AF944" s="228"/>
      <c r="AG944" s="228"/>
      <c r="AH944" s="228"/>
      <c r="AI944" s="228"/>
      <c r="AJ944" s="228"/>
      <c r="AK944" s="228"/>
      <c r="AL944" s="228"/>
      <c r="AM944" s="228"/>
      <c r="AN944" s="228"/>
      <c r="AO944" s="228"/>
      <c r="AP944" s="228"/>
      <c r="AQ944" s="228"/>
      <c r="AR944" s="228"/>
      <c r="AS944" s="228"/>
      <c r="AT944" s="228"/>
      <c r="AU944" s="228"/>
      <c r="AV944" s="228"/>
      <c r="AW944" s="228"/>
      <c r="AX944" s="228"/>
      <c r="AY944" s="228"/>
      <c r="AZ944" s="228"/>
      <c r="BA944" s="228"/>
      <c r="BB944" s="228"/>
      <c r="BC944" s="228"/>
      <c r="BD944" s="228"/>
      <c r="BE944" s="228"/>
      <c r="BF944" s="228"/>
      <c r="BG944" s="228"/>
      <c r="BH944" s="228"/>
      <c r="BI944" s="228"/>
      <c r="BJ944" s="228"/>
      <c r="BK944" s="228"/>
      <c r="BL944" s="228"/>
      <c r="BM944" s="228"/>
      <c r="BN944" s="228"/>
      <c r="BO944" s="228"/>
      <c r="BP944" s="228"/>
      <c r="BQ944" s="228"/>
      <c r="BR944" s="228"/>
      <c r="BS944" s="228"/>
      <c r="BT944" s="228"/>
      <c r="BU944" s="228"/>
      <c r="BV944" s="228"/>
      <c r="BW944" s="228"/>
      <c r="BX944" s="228"/>
      <c r="BY944" s="228"/>
      <c r="BZ944" s="228"/>
      <c r="CA944" s="228"/>
      <c r="CB944" s="228"/>
      <c r="CC944" s="228"/>
      <c r="CD944" s="228"/>
      <c r="CE944" s="228"/>
      <c r="CF944" s="228"/>
      <c r="CG944" s="228"/>
      <c r="CH944" s="228"/>
      <c r="CI944" s="228"/>
      <c r="CJ944" s="228"/>
      <c r="CK944" s="228"/>
      <c r="CL944" s="228"/>
      <c r="CM944" s="228"/>
      <c r="CN944" s="228"/>
      <c r="CO944" s="228"/>
      <c r="CP944" s="228"/>
      <c r="CQ944" s="228"/>
      <c r="CR944" s="228"/>
      <c r="CS944" s="228"/>
      <c r="CT944" s="228"/>
      <c r="CU944" s="228"/>
      <c r="CV944" s="228"/>
      <c r="CW944" s="228"/>
      <c r="CX944" s="228"/>
      <c r="CY944" s="228"/>
      <c r="CZ944" s="228"/>
      <c r="DA944" s="228"/>
      <c r="DB944" s="228"/>
    </row>
    <row r="945" ht="12.0" customHeight="1">
      <c r="A945" s="228"/>
      <c r="B945" s="228"/>
      <c r="C945" s="228"/>
      <c r="D945" s="228"/>
      <c r="E945" s="228"/>
      <c r="F945" s="228"/>
      <c r="G945" s="228"/>
      <c r="H945" s="228"/>
      <c r="I945" s="228"/>
      <c r="J945" s="228"/>
      <c r="K945" s="228"/>
      <c r="L945" s="228"/>
      <c r="M945" s="228"/>
      <c r="N945" s="228"/>
      <c r="O945" s="228"/>
      <c r="P945" s="228"/>
      <c r="Q945" s="228"/>
      <c r="R945" s="228"/>
      <c r="S945" s="228"/>
      <c r="T945" s="228"/>
      <c r="U945" s="228"/>
      <c r="V945" s="228"/>
      <c r="W945" s="228"/>
      <c r="X945" s="228"/>
      <c r="Y945" s="228"/>
      <c r="Z945" s="228"/>
      <c r="AA945" s="228"/>
      <c r="AB945" s="228"/>
      <c r="AC945" s="228"/>
      <c r="AD945" s="228"/>
      <c r="AE945" s="228"/>
      <c r="AF945" s="228"/>
      <c r="AG945" s="228"/>
      <c r="AH945" s="228"/>
      <c r="AI945" s="228"/>
      <c r="AJ945" s="228"/>
      <c r="AK945" s="228"/>
      <c r="AL945" s="228"/>
      <c r="AM945" s="228"/>
      <c r="AN945" s="228"/>
      <c r="AO945" s="228"/>
      <c r="AP945" s="228"/>
      <c r="AQ945" s="228"/>
      <c r="AR945" s="228"/>
      <c r="AS945" s="228"/>
      <c r="AT945" s="228"/>
      <c r="AU945" s="228"/>
      <c r="AV945" s="228"/>
      <c r="AW945" s="228"/>
      <c r="AX945" s="228"/>
      <c r="AY945" s="228"/>
      <c r="AZ945" s="228"/>
      <c r="BA945" s="228"/>
      <c r="BB945" s="228"/>
      <c r="BC945" s="228"/>
      <c r="BD945" s="228"/>
      <c r="BE945" s="228"/>
      <c r="BF945" s="228"/>
      <c r="BG945" s="228"/>
      <c r="BH945" s="228"/>
      <c r="BI945" s="228"/>
      <c r="BJ945" s="228"/>
      <c r="BK945" s="228"/>
      <c r="BL945" s="228"/>
      <c r="BM945" s="228"/>
      <c r="BN945" s="228"/>
      <c r="BO945" s="228"/>
      <c r="BP945" s="228"/>
      <c r="BQ945" s="228"/>
      <c r="BR945" s="228"/>
      <c r="BS945" s="228"/>
      <c r="BT945" s="228"/>
      <c r="BU945" s="228"/>
      <c r="BV945" s="228"/>
      <c r="BW945" s="228"/>
      <c r="BX945" s="228"/>
      <c r="BY945" s="228"/>
      <c r="BZ945" s="228"/>
      <c r="CA945" s="228"/>
      <c r="CB945" s="228"/>
      <c r="CC945" s="228"/>
      <c r="CD945" s="228"/>
      <c r="CE945" s="228"/>
      <c r="CF945" s="228"/>
      <c r="CG945" s="228"/>
      <c r="CH945" s="228"/>
      <c r="CI945" s="228"/>
      <c r="CJ945" s="228"/>
      <c r="CK945" s="228"/>
      <c r="CL945" s="228"/>
      <c r="CM945" s="228"/>
      <c r="CN945" s="228"/>
      <c r="CO945" s="228"/>
      <c r="CP945" s="228"/>
      <c r="CQ945" s="228"/>
      <c r="CR945" s="228"/>
      <c r="CS945" s="228"/>
      <c r="CT945" s="228"/>
      <c r="CU945" s="228"/>
      <c r="CV945" s="228"/>
      <c r="CW945" s="228"/>
      <c r="CX945" s="228"/>
      <c r="CY945" s="228"/>
      <c r="CZ945" s="228"/>
      <c r="DA945" s="228"/>
      <c r="DB945" s="228"/>
    </row>
    <row r="946" ht="12.0" customHeight="1">
      <c r="A946" s="228"/>
      <c r="B946" s="228"/>
      <c r="C946" s="228"/>
      <c r="D946" s="228"/>
      <c r="E946" s="228"/>
      <c r="F946" s="228"/>
      <c r="G946" s="228"/>
      <c r="H946" s="228"/>
      <c r="I946" s="228"/>
      <c r="J946" s="228"/>
      <c r="K946" s="228"/>
      <c r="L946" s="228"/>
      <c r="M946" s="228"/>
      <c r="N946" s="228"/>
      <c r="O946" s="228"/>
      <c r="P946" s="228"/>
      <c r="Q946" s="228"/>
      <c r="R946" s="228"/>
      <c r="S946" s="228"/>
      <c r="T946" s="228"/>
      <c r="U946" s="228"/>
      <c r="V946" s="228"/>
      <c r="W946" s="228"/>
      <c r="X946" s="228"/>
      <c r="Y946" s="228"/>
      <c r="Z946" s="228"/>
      <c r="AA946" s="228"/>
      <c r="AB946" s="228"/>
      <c r="AC946" s="228"/>
      <c r="AD946" s="228"/>
      <c r="AE946" s="228"/>
      <c r="AF946" s="228"/>
      <c r="AG946" s="228"/>
      <c r="AH946" s="228"/>
      <c r="AI946" s="228"/>
      <c r="AJ946" s="228"/>
      <c r="AK946" s="228"/>
      <c r="AL946" s="228"/>
      <c r="AM946" s="228"/>
      <c r="AN946" s="228"/>
      <c r="AO946" s="228"/>
      <c r="AP946" s="228"/>
      <c r="AQ946" s="228"/>
      <c r="AR946" s="228"/>
      <c r="AS946" s="228"/>
      <c r="AT946" s="228"/>
      <c r="AU946" s="228"/>
      <c r="AV946" s="228"/>
      <c r="AW946" s="228"/>
      <c r="AX946" s="228"/>
      <c r="AY946" s="228"/>
      <c r="AZ946" s="228"/>
      <c r="BA946" s="228"/>
      <c r="BB946" s="228"/>
      <c r="BC946" s="228"/>
      <c r="BD946" s="228"/>
      <c r="BE946" s="228"/>
      <c r="BF946" s="228"/>
      <c r="BG946" s="228"/>
      <c r="BH946" s="228"/>
      <c r="BI946" s="228"/>
      <c r="BJ946" s="228"/>
      <c r="BK946" s="228"/>
      <c r="BL946" s="228"/>
      <c r="BM946" s="228"/>
      <c r="BN946" s="228"/>
      <c r="BO946" s="228"/>
      <c r="BP946" s="228"/>
      <c r="BQ946" s="228"/>
      <c r="BR946" s="228"/>
      <c r="BS946" s="228"/>
      <c r="BT946" s="228"/>
      <c r="BU946" s="228"/>
      <c r="BV946" s="228"/>
      <c r="BW946" s="228"/>
      <c r="BX946" s="228"/>
      <c r="BY946" s="228"/>
      <c r="BZ946" s="228"/>
      <c r="CA946" s="228"/>
      <c r="CB946" s="228"/>
      <c r="CC946" s="228"/>
      <c r="CD946" s="228"/>
      <c r="CE946" s="228"/>
      <c r="CF946" s="228"/>
      <c r="CG946" s="228"/>
      <c r="CH946" s="228"/>
      <c r="CI946" s="228"/>
      <c r="CJ946" s="228"/>
      <c r="CK946" s="228"/>
      <c r="CL946" s="228"/>
      <c r="CM946" s="228"/>
      <c r="CN946" s="228"/>
      <c r="CO946" s="228"/>
      <c r="CP946" s="228"/>
      <c r="CQ946" s="228"/>
      <c r="CR946" s="228"/>
      <c r="CS946" s="228"/>
      <c r="CT946" s="228"/>
      <c r="CU946" s="228"/>
      <c r="CV946" s="228"/>
      <c r="CW946" s="228"/>
      <c r="CX946" s="228"/>
      <c r="CY946" s="228"/>
      <c r="CZ946" s="228"/>
      <c r="DA946" s="228"/>
      <c r="DB946" s="228"/>
    </row>
    <row r="947" ht="12.0" customHeight="1">
      <c r="A947" s="228"/>
      <c r="B947" s="228"/>
      <c r="C947" s="228"/>
      <c r="D947" s="228"/>
      <c r="E947" s="228"/>
      <c r="F947" s="228"/>
      <c r="G947" s="228"/>
      <c r="H947" s="228"/>
      <c r="I947" s="228"/>
      <c r="J947" s="228"/>
      <c r="K947" s="228"/>
      <c r="L947" s="228"/>
      <c r="M947" s="228"/>
      <c r="N947" s="228"/>
      <c r="O947" s="228"/>
      <c r="P947" s="228"/>
      <c r="Q947" s="228"/>
      <c r="R947" s="228"/>
      <c r="S947" s="228"/>
      <c r="T947" s="228"/>
      <c r="U947" s="228"/>
      <c r="V947" s="228"/>
      <c r="W947" s="228"/>
      <c r="X947" s="228"/>
      <c r="Y947" s="228"/>
      <c r="Z947" s="228"/>
      <c r="AA947" s="228"/>
      <c r="AB947" s="228"/>
      <c r="AC947" s="228"/>
      <c r="AD947" s="228"/>
      <c r="AE947" s="228"/>
      <c r="AF947" s="228"/>
      <c r="AG947" s="228"/>
      <c r="AH947" s="228"/>
      <c r="AI947" s="228"/>
      <c r="AJ947" s="228"/>
      <c r="AK947" s="228"/>
      <c r="AL947" s="228"/>
      <c r="AM947" s="228"/>
      <c r="AN947" s="228"/>
      <c r="AO947" s="228"/>
      <c r="AP947" s="228"/>
      <c r="AQ947" s="228"/>
      <c r="AR947" s="228"/>
      <c r="AS947" s="228"/>
      <c r="AT947" s="228"/>
      <c r="AU947" s="228"/>
      <c r="AV947" s="228"/>
      <c r="AW947" s="228"/>
      <c r="AX947" s="228"/>
      <c r="AY947" s="228"/>
      <c r="AZ947" s="228"/>
      <c r="BA947" s="228"/>
      <c r="BB947" s="228"/>
      <c r="BC947" s="228"/>
      <c r="BD947" s="228"/>
      <c r="BE947" s="228"/>
      <c r="BF947" s="228"/>
      <c r="BG947" s="228"/>
      <c r="BH947" s="228"/>
      <c r="BI947" s="228"/>
      <c r="BJ947" s="228"/>
      <c r="BK947" s="228"/>
      <c r="BL947" s="228"/>
      <c r="BM947" s="228"/>
      <c r="BN947" s="228"/>
      <c r="BO947" s="228"/>
      <c r="BP947" s="228"/>
      <c r="BQ947" s="228"/>
      <c r="BR947" s="228"/>
      <c r="BS947" s="228"/>
      <c r="BT947" s="228"/>
      <c r="BU947" s="228"/>
      <c r="BV947" s="228"/>
      <c r="BW947" s="228"/>
      <c r="BX947" s="228"/>
      <c r="BY947" s="228"/>
      <c r="BZ947" s="228"/>
      <c r="CA947" s="228"/>
      <c r="CB947" s="228"/>
      <c r="CC947" s="228"/>
      <c r="CD947" s="228"/>
      <c r="CE947" s="228"/>
      <c r="CF947" s="228"/>
      <c r="CG947" s="228"/>
      <c r="CH947" s="228"/>
      <c r="CI947" s="228"/>
      <c r="CJ947" s="228"/>
      <c r="CK947" s="228"/>
      <c r="CL947" s="228"/>
      <c r="CM947" s="228"/>
      <c r="CN947" s="228"/>
      <c r="CO947" s="228"/>
      <c r="CP947" s="228"/>
      <c r="CQ947" s="228"/>
      <c r="CR947" s="228"/>
      <c r="CS947" s="228"/>
      <c r="CT947" s="228"/>
      <c r="CU947" s="228"/>
      <c r="CV947" s="228"/>
      <c r="CW947" s="228"/>
      <c r="CX947" s="228"/>
      <c r="CY947" s="228"/>
      <c r="CZ947" s="228"/>
      <c r="DA947" s="228"/>
      <c r="DB947" s="228"/>
    </row>
    <row r="948" ht="12.0" customHeight="1">
      <c r="A948" s="228"/>
      <c r="B948" s="228"/>
      <c r="C948" s="228"/>
      <c r="D948" s="228"/>
      <c r="E948" s="228"/>
      <c r="F948" s="228"/>
      <c r="G948" s="228"/>
      <c r="H948" s="228"/>
      <c r="I948" s="228"/>
      <c r="J948" s="228"/>
      <c r="K948" s="228"/>
      <c r="L948" s="228"/>
      <c r="M948" s="228"/>
      <c r="N948" s="228"/>
      <c r="O948" s="228"/>
      <c r="P948" s="228"/>
      <c r="Q948" s="228"/>
      <c r="R948" s="228"/>
      <c r="S948" s="228"/>
      <c r="T948" s="228"/>
      <c r="U948" s="228"/>
      <c r="V948" s="228"/>
      <c r="W948" s="228"/>
      <c r="X948" s="228"/>
      <c r="Y948" s="228"/>
      <c r="Z948" s="228"/>
      <c r="AA948" s="228"/>
      <c r="AB948" s="228"/>
      <c r="AC948" s="228"/>
      <c r="AD948" s="228"/>
      <c r="AE948" s="228"/>
      <c r="AF948" s="228"/>
      <c r="AG948" s="228"/>
      <c r="AH948" s="228"/>
      <c r="AI948" s="228"/>
      <c r="AJ948" s="228"/>
      <c r="AK948" s="228"/>
      <c r="AL948" s="228"/>
      <c r="AM948" s="228"/>
      <c r="AN948" s="228"/>
      <c r="AO948" s="228"/>
      <c r="AP948" s="228"/>
      <c r="AQ948" s="228"/>
      <c r="AR948" s="228"/>
      <c r="AS948" s="228"/>
      <c r="AT948" s="228"/>
      <c r="AU948" s="228"/>
      <c r="AV948" s="228"/>
      <c r="AW948" s="228"/>
      <c r="AX948" s="228"/>
      <c r="AY948" s="228"/>
      <c r="AZ948" s="228"/>
      <c r="BA948" s="228"/>
      <c r="BB948" s="228"/>
      <c r="BC948" s="228"/>
      <c r="BD948" s="228"/>
      <c r="BE948" s="228"/>
      <c r="BF948" s="228"/>
      <c r="BG948" s="228"/>
      <c r="BH948" s="228"/>
      <c r="BI948" s="228"/>
      <c r="BJ948" s="228"/>
      <c r="BK948" s="228"/>
      <c r="BL948" s="228"/>
      <c r="BM948" s="228"/>
      <c r="BN948" s="228"/>
      <c r="BO948" s="228"/>
      <c r="BP948" s="228"/>
      <c r="BQ948" s="228"/>
      <c r="BR948" s="228"/>
      <c r="BS948" s="228"/>
      <c r="BT948" s="228"/>
      <c r="BU948" s="228"/>
      <c r="BV948" s="228"/>
      <c r="BW948" s="228"/>
      <c r="BX948" s="228"/>
      <c r="BY948" s="228"/>
      <c r="BZ948" s="228"/>
      <c r="CA948" s="228"/>
      <c r="CB948" s="228"/>
      <c r="CC948" s="228"/>
      <c r="CD948" s="228"/>
      <c r="CE948" s="228"/>
      <c r="CF948" s="228"/>
      <c r="CG948" s="228"/>
      <c r="CH948" s="228"/>
      <c r="CI948" s="228"/>
      <c r="CJ948" s="228"/>
      <c r="CK948" s="228"/>
      <c r="CL948" s="228"/>
      <c r="CM948" s="228"/>
      <c r="CN948" s="228"/>
      <c r="CO948" s="228"/>
      <c r="CP948" s="228"/>
      <c r="CQ948" s="228"/>
      <c r="CR948" s="228"/>
      <c r="CS948" s="228"/>
      <c r="CT948" s="228"/>
      <c r="CU948" s="228"/>
      <c r="CV948" s="228"/>
      <c r="CW948" s="228"/>
      <c r="CX948" s="228"/>
      <c r="CY948" s="228"/>
      <c r="CZ948" s="228"/>
      <c r="DA948" s="228"/>
      <c r="DB948" s="228"/>
    </row>
    <row r="949" ht="12.0" customHeight="1">
      <c r="A949" s="228"/>
      <c r="B949" s="228"/>
      <c r="C949" s="228"/>
      <c r="D949" s="228"/>
      <c r="E949" s="228"/>
      <c r="F949" s="228"/>
      <c r="G949" s="228"/>
      <c r="H949" s="228"/>
      <c r="I949" s="228"/>
      <c r="J949" s="228"/>
      <c r="K949" s="228"/>
      <c r="L949" s="228"/>
      <c r="M949" s="228"/>
      <c r="N949" s="228"/>
      <c r="O949" s="228"/>
      <c r="P949" s="228"/>
      <c r="Q949" s="228"/>
      <c r="R949" s="228"/>
      <c r="S949" s="228"/>
      <c r="T949" s="228"/>
      <c r="U949" s="228"/>
      <c r="V949" s="228"/>
      <c r="W949" s="228"/>
      <c r="X949" s="228"/>
      <c r="Y949" s="228"/>
      <c r="Z949" s="228"/>
      <c r="AA949" s="228"/>
      <c r="AB949" s="228"/>
      <c r="AC949" s="228"/>
      <c r="AD949" s="228"/>
      <c r="AE949" s="228"/>
      <c r="AF949" s="228"/>
      <c r="AG949" s="228"/>
      <c r="AH949" s="228"/>
      <c r="AI949" s="228"/>
      <c r="AJ949" s="228"/>
      <c r="AK949" s="228"/>
      <c r="AL949" s="228"/>
      <c r="AM949" s="228"/>
      <c r="AN949" s="228"/>
      <c r="AO949" s="228"/>
      <c r="AP949" s="228"/>
      <c r="AQ949" s="228"/>
      <c r="AR949" s="228"/>
      <c r="AS949" s="228"/>
      <c r="AT949" s="228"/>
      <c r="AU949" s="228"/>
      <c r="AV949" s="228"/>
      <c r="AW949" s="228"/>
      <c r="AX949" s="228"/>
      <c r="AY949" s="228"/>
      <c r="AZ949" s="228"/>
      <c r="BA949" s="228"/>
      <c r="BB949" s="228"/>
      <c r="BC949" s="228"/>
      <c r="BD949" s="228"/>
      <c r="BE949" s="228"/>
      <c r="BF949" s="228"/>
      <c r="BG949" s="228"/>
      <c r="BH949" s="228"/>
      <c r="BI949" s="228"/>
      <c r="BJ949" s="228"/>
      <c r="BK949" s="228"/>
      <c r="BL949" s="228"/>
      <c r="BM949" s="228"/>
      <c r="BN949" s="228"/>
      <c r="BO949" s="228"/>
      <c r="BP949" s="228"/>
      <c r="BQ949" s="228"/>
      <c r="BR949" s="228"/>
      <c r="BS949" s="228"/>
      <c r="BT949" s="228"/>
      <c r="BU949" s="228"/>
      <c r="BV949" s="228"/>
      <c r="BW949" s="228"/>
      <c r="BX949" s="228"/>
      <c r="BY949" s="228"/>
      <c r="BZ949" s="228"/>
      <c r="CA949" s="228"/>
      <c r="CB949" s="228"/>
      <c r="CC949" s="228"/>
      <c r="CD949" s="228"/>
      <c r="CE949" s="228"/>
      <c r="CF949" s="228"/>
      <c r="CG949" s="228"/>
      <c r="CH949" s="228"/>
      <c r="CI949" s="228"/>
      <c r="CJ949" s="228"/>
      <c r="CK949" s="228"/>
      <c r="CL949" s="228"/>
      <c r="CM949" s="228"/>
      <c r="CN949" s="228"/>
      <c r="CO949" s="228"/>
      <c r="CP949" s="228"/>
      <c r="CQ949" s="228"/>
      <c r="CR949" s="228"/>
      <c r="CS949" s="228"/>
      <c r="CT949" s="228"/>
      <c r="CU949" s="228"/>
      <c r="CV949" s="228"/>
      <c r="CW949" s="228"/>
      <c r="CX949" s="228"/>
      <c r="CY949" s="228"/>
      <c r="CZ949" s="228"/>
      <c r="DA949" s="228"/>
      <c r="DB949" s="228"/>
    </row>
    <row r="950" ht="12.0" customHeight="1">
      <c r="A950" s="228"/>
      <c r="B950" s="228"/>
      <c r="C950" s="228"/>
      <c r="D950" s="228"/>
      <c r="E950" s="228"/>
      <c r="F950" s="228"/>
      <c r="G950" s="228"/>
      <c r="H950" s="228"/>
      <c r="I950" s="228"/>
      <c r="J950" s="228"/>
      <c r="K950" s="228"/>
      <c r="L950" s="228"/>
      <c r="M950" s="228"/>
      <c r="N950" s="228"/>
      <c r="O950" s="228"/>
      <c r="P950" s="228"/>
      <c r="Q950" s="228"/>
      <c r="R950" s="228"/>
      <c r="S950" s="228"/>
      <c r="T950" s="228"/>
      <c r="U950" s="228"/>
      <c r="V950" s="228"/>
      <c r="W950" s="228"/>
      <c r="X950" s="228"/>
      <c r="Y950" s="228"/>
      <c r="Z950" s="228"/>
      <c r="AA950" s="228"/>
      <c r="AB950" s="228"/>
      <c r="AC950" s="228"/>
      <c r="AD950" s="228"/>
      <c r="AE950" s="228"/>
      <c r="AF950" s="228"/>
      <c r="AG950" s="228"/>
      <c r="AH950" s="228"/>
      <c r="AI950" s="228"/>
      <c r="AJ950" s="228"/>
      <c r="AK950" s="228"/>
      <c r="AL950" s="228"/>
      <c r="AM950" s="228"/>
      <c r="AN950" s="228"/>
      <c r="AO950" s="228"/>
      <c r="AP950" s="228"/>
      <c r="AQ950" s="228"/>
      <c r="AR950" s="228"/>
      <c r="AS950" s="228"/>
      <c r="AT950" s="228"/>
      <c r="AU950" s="228"/>
      <c r="AV950" s="228"/>
      <c r="AW950" s="228"/>
      <c r="AX950" s="228"/>
      <c r="AY950" s="228"/>
      <c r="AZ950" s="228"/>
      <c r="BA950" s="228"/>
      <c r="BB950" s="228"/>
      <c r="BC950" s="228"/>
      <c r="BD950" s="228"/>
      <c r="BE950" s="228"/>
      <c r="BF950" s="228"/>
      <c r="BG950" s="228"/>
      <c r="BH950" s="228"/>
      <c r="BI950" s="228"/>
      <c r="BJ950" s="228"/>
      <c r="BK950" s="228"/>
      <c r="BL950" s="228"/>
      <c r="BM950" s="228"/>
      <c r="BN950" s="228"/>
      <c r="BO950" s="228"/>
      <c r="BP950" s="228"/>
      <c r="BQ950" s="228"/>
      <c r="BR950" s="228"/>
      <c r="BS950" s="228"/>
      <c r="BT950" s="228"/>
      <c r="BU950" s="228"/>
      <c r="BV950" s="228"/>
      <c r="BW950" s="228"/>
      <c r="BX950" s="228"/>
      <c r="BY950" s="228"/>
      <c r="BZ950" s="228"/>
      <c r="CA950" s="228"/>
      <c r="CB950" s="228"/>
      <c r="CC950" s="228"/>
      <c r="CD950" s="228"/>
      <c r="CE950" s="228"/>
      <c r="CF950" s="228"/>
      <c r="CG950" s="228"/>
      <c r="CH950" s="228"/>
      <c r="CI950" s="228"/>
      <c r="CJ950" s="228"/>
      <c r="CK950" s="228"/>
      <c r="CL950" s="228"/>
      <c r="CM950" s="228"/>
      <c r="CN950" s="228"/>
      <c r="CO950" s="228"/>
      <c r="CP950" s="228"/>
      <c r="CQ950" s="228"/>
      <c r="CR950" s="228"/>
      <c r="CS950" s="228"/>
      <c r="CT950" s="228"/>
      <c r="CU950" s="228"/>
      <c r="CV950" s="228"/>
      <c r="CW950" s="228"/>
      <c r="CX950" s="228"/>
      <c r="CY950" s="228"/>
      <c r="CZ950" s="228"/>
      <c r="DA950" s="228"/>
      <c r="DB950" s="228"/>
    </row>
    <row r="951" ht="12.0" customHeight="1">
      <c r="A951" s="228"/>
      <c r="B951" s="228"/>
      <c r="C951" s="228"/>
      <c r="D951" s="228"/>
      <c r="E951" s="228"/>
      <c r="F951" s="228"/>
      <c r="G951" s="228"/>
      <c r="H951" s="228"/>
      <c r="I951" s="228"/>
      <c r="J951" s="228"/>
      <c r="K951" s="228"/>
      <c r="L951" s="228"/>
      <c r="M951" s="228"/>
      <c r="N951" s="228"/>
      <c r="O951" s="228"/>
      <c r="P951" s="228"/>
      <c r="Q951" s="228"/>
      <c r="R951" s="228"/>
      <c r="S951" s="228"/>
      <c r="T951" s="228"/>
      <c r="U951" s="228"/>
      <c r="V951" s="228"/>
      <c r="W951" s="228"/>
      <c r="X951" s="228"/>
      <c r="Y951" s="228"/>
      <c r="Z951" s="228"/>
      <c r="AA951" s="228"/>
      <c r="AB951" s="228"/>
      <c r="AC951" s="228"/>
      <c r="AD951" s="228"/>
      <c r="AE951" s="228"/>
      <c r="AF951" s="228"/>
      <c r="AG951" s="228"/>
      <c r="AH951" s="228"/>
      <c r="AI951" s="228"/>
      <c r="AJ951" s="228"/>
      <c r="AK951" s="228"/>
      <c r="AL951" s="228"/>
      <c r="AM951" s="228"/>
      <c r="AN951" s="228"/>
      <c r="AO951" s="228"/>
      <c r="AP951" s="228"/>
      <c r="AQ951" s="228"/>
      <c r="AR951" s="228"/>
      <c r="AS951" s="228"/>
      <c r="AT951" s="228"/>
      <c r="AU951" s="228"/>
      <c r="AV951" s="228"/>
      <c r="AW951" s="228"/>
      <c r="AX951" s="228"/>
      <c r="AY951" s="228"/>
      <c r="AZ951" s="228"/>
      <c r="BA951" s="228"/>
      <c r="BB951" s="228"/>
      <c r="BC951" s="228"/>
      <c r="BD951" s="228"/>
      <c r="BE951" s="228"/>
      <c r="BF951" s="228"/>
      <c r="BG951" s="228"/>
      <c r="BH951" s="228"/>
      <c r="BI951" s="228"/>
      <c r="BJ951" s="228"/>
      <c r="BK951" s="228"/>
      <c r="BL951" s="228"/>
      <c r="BM951" s="228"/>
      <c r="BN951" s="228"/>
      <c r="BO951" s="228"/>
      <c r="BP951" s="228"/>
      <c r="BQ951" s="228"/>
      <c r="BR951" s="228"/>
      <c r="BS951" s="228"/>
      <c r="BT951" s="228"/>
      <c r="BU951" s="228"/>
      <c r="BV951" s="228"/>
      <c r="BW951" s="228"/>
      <c r="BX951" s="228"/>
      <c r="BY951" s="228"/>
      <c r="BZ951" s="228"/>
      <c r="CA951" s="228"/>
      <c r="CB951" s="228"/>
      <c r="CC951" s="228"/>
      <c r="CD951" s="228"/>
      <c r="CE951" s="228"/>
      <c r="CF951" s="228"/>
      <c r="CG951" s="228"/>
      <c r="CH951" s="228"/>
      <c r="CI951" s="228"/>
      <c r="CJ951" s="228"/>
      <c r="CK951" s="228"/>
      <c r="CL951" s="228"/>
      <c r="CM951" s="228"/>
      <c r="CN951" s="228"/>
      <c r="CO951" s="228"/>
      <c r="CP951" s="228"/>
      <c r="CQ951" s="228"/>
      <c r="CR951" s="228"/>
      <c r="CS951" s="228"/>
      <c r="CT951" s="228"/>
      <c r="CU951" s="228"/>
      <c r="CV951" s="228"/>
      <c r="CW951" s="228"/>
      <c r="CX951" s="228"/>
      <c r="CY951" s="228"/>
      <c r="CZ951" s="228"/>
      <c r="DA951" s="228"/>
      <c r="DB951" s="228"/>
    </row>
    <row r="952" ht="12.0" customHeight="1">
      <c r="A952" s="228"/>
      <c r="B952" s="228"/>
      <c r="C952" s="228"/>
      <c r="D952" s="228"/>
      <c r="E952" s="228"/>
      <c r="F952" s="228"/>
      <c r="G952" s="228"/>
      <c r="H952" s="228"/>
      <c r="I952" s="228"/>
      <c r="J952" s="228"/>
      <c r="K952" s="228"/>
      <c r="L952" s="228"/>
      <c r="M952" s="228"/>
      <c r="N952" s="228"/>
      <c r="O952" s="228"/>
      <c r="P952" s="228"/>
      <c r="Q952" s="228"/>
      <c r="R952" s="228"/>
      <c r="S952" s="228"/>
      <c r="T952" s="228"/>
      <c r="U952" s="228"/>
      <c r="V952" s="228"/>
      <c r="W952" s="228"/>
      <c r="X952" s="228"/>
      <c r="Y952" s="228"/>
      <c r="Z952" s="228"/>
      <c r="AA952" s="228"/>
      <c r="AB952" s="228"/>
      <c r="AC952" s="228"/>
      <c r="AD952" s="228"/>
      <c r="AE952" s="228"/>
      <c r="AF952" s="228"/>
      <c r="AG952" s="228"/>
      <c r="AH952" s="228"/>
      <c r="AI952" s="228"/>
      <c r="AJ952" s="228"/>
      <c r="AK952" s="228"/>
      <c r="AL952" s="228"/>
      <c r="AM952" s="228"/>
      <c r="AN952" s="228"/>
      <c r="AO952" s="228"/>
      <c r="AP952" s="228"/>
      <c r="AQ952" s="228"/>
      <c r="AR952" s="228"/>
      <c r="AS952" s="228"/>
      <c r="AT952" s="228"/>
      <c r="AU952" s="228"/>
      <c r="AV952" s="228"/>
      <c r="AW952" s="228"/>
      <c r="AX952" s="228"/>
      <c r="AY952" s="228"/>
      <c r="AZ952" s="228"/>
      <c r="BA952" s="228"/>
      <c r="BB952" s="228"/>
      <c r="BC952" s="228"/>
      <c r="BD952" s="228"/>
      <c r="BE952" s="228"/>
      <c r="BF952" s="228"/>
      <c r="BG952" s="228"/>
      <c r="BH952" s="228"/>
      <c r="BI952" s="228"/>
      <c r="BJ952" s="228"/>
      <c r="BK952" s="228"/>
      <c r="BL952" s="228"/>
      <c r="BM952" s="228"/>
      <c r="BN952" s="228"/>
      <c r="BO952" s="228"/>
      <c r="BP952" s="228"/>
      <c r="BQ952" s="228"/>
      <c r="BR952" s="228"/>
      <c r="BS952" s="228"/>
      <c r="BT952" s="228"/>
      <c r="BU952" s="228"/>
      <c r="BV952" s="228"/>
      <c r="BW952" s="228"/>
      <c r="BX952" s="228"/>
      <c r="BY952" s="228"/>
      <c r="BZ952" s="228"/>
      <c r="CA952" s="228"/>
      <c r="CB952" s="228"/>
      <c r="CC952" s="228"/>
      <c r="CD952" s="228"/>
      <c r="CE952" s="228"/>
      <c r="CF952" s="228"/>
      <c r="CG952" s="228"/>
      <c r="CH952" s="228"/>
      <c r="CI952" s="228"/>
      <c r="CJ952" s="228"/>
      <c r="CK952" s="228"/>
      <c r="CL952" s="228"/>
      <c r="CM952" s="228"/>
      <c r="CN952" s="228"/>
      <c r="CO952" s="228"/>
      <c r="CP952" s="228"/>
      <c r="CQ952" s="228"/>
      <c r="CR952" s="228"/>
      <c r="CS952" s="228"/>
      <c r="CT952" s="228"/>
      <c r="CU952" s="228"/>
      <c r="CV952" s="228"/>
      <c r="CW952" s="228"/>
      <c r="CX952" s="228"/>
      <c r="CY952" s="228"/>
      <c r="CZ952" s="228"/>
      <c r="DA952" s="228"/>
      <c r="DB952" s="228"/>
    </row>
    <row r="953" ht="12.0" customHeight="1">
      <c r="A953" s="228"/>
      <c r="B953" s="228"/>
      <c r="C953" s="228"/>
      <c r="D953" s="228"/>
      <c r="E953" s="228"/>
      <c r="F953" s="228"/>
      <c r="G953" s="228"/>
      <c r="H953" s="228"/>
      <c r="I953" s="228"/>
      <c r="J953" s="228"/>
      <c r="K953" s="228"/>
      <c r="L953" s="228"/>
      <c r="M953" s="228"/>
      <c r="N953" s="228"/>
      <c r="O953" s="228"/>
      <c r="P953" s="228"/>
      <c r="Q953" s="228"/>
      <c r="R953" s="228"/>
      <c r="S953" s="228"/>
      <c r="T953" s="228"/>
      <c r="U953" s="228"/>
      <c r="V953" s="228"/>
      <c r="W953" s="228"/>
      <c r="X953" s="228"/>
      <c r="Y953" s="228"/>
      <c r="Z953" s="228"/>
      <c r="AA953" s="228"/>
      <c r="AB953" s="228"/>
      <c r="AC953" s="228"/>
      <c r="AD953" s="228"/>
      <c r="AE953" s="228"/>
      <c r="AF953" s="228"/>
      <c r="AG953" s="228"/>
      <c r="AH953" s="228"/>
      <c r="AI953" s="228"/>
      <c r="AJ953" s="228"/>
      <c r="AK953" s="228"/>
      <c r="AL953" s="228"/>
      <c r="AM953" s="228"/>
      <c r="AN953" s="228"/>
      <c r="AO953" s="228"/>
      <c r="AP953" s="228"/>
      <c r="AQ953" s="228"/>
      <c r="AR953" s="228"/>
      <c r="AS953" s="228"/>
      <c r="AT953" s="228"/>
      <c r="AU953" s="228"/>
      <c r="AV953" s="228"/>
      <c r="AW953" s="228"/>
      <c r="AX953" s="228"/>
      <c r="AY953" s="228"/>
      <c r="AZ953" s="228"/>
      <c r="BA953" s="228"/>
      <c r="BB953" s="228"/>
      <c r="BC953" s="228"/>
      <c r="BD953" s="228"/>
      <c r="BE953" s="228"/>
      <c r="BF953" s="228"/>
      <c r="BG953" s="228"/>
      <c r="BH953" s="228"/>
      <c r="BI953" s="228"/>
      <c r="BJ953" s="228"/>
      <c r="BK953" s="228"/>
      <c r="BL953" s="228"/>
      <c r="BM953" s="228"/>
      <c r="BN953" s="228"/>
      <c r="BO953" s="228"/>
      <c r="BP953" s="228"/>
      <c r="BQ953" s="228"/>
      <c r="BR953" s="228"/>
      <c r="BS953" s="228"/>
      <c r="BT953" s="228"/>
      <c r="BU953" s="228"/>
      <c r="BV953" s="228"/>
      <c r="BW953" s="228"/>
      <c r="BX953" s="228"/>
      <c r="BY953" s="228"/>
      <c r="BZ953" s="228"/>
      <c r="CA953" s="228"/>
      <c r="CB953" s="228"/>
      <c r="CC953" s="228"/>
      <c r="CD953" s="228"/>
      <c r="CE953" s="228"/>
      <c r="CF953" s="228"/>
      <c r="CG953" s="228"/>
      <c r="CH953" s="228"/>
      <c r="CI953" s="228"/>
      <c r="CJ953" s="228"/>
      <c r="CK953" s="228"/>
      <c r="CL953" s="228"/>
      <c r="CM953" s="228"/>
      <c r="CN953" s="228"/>
      <c r="CO953" s="228"/>
      <c r="CP953" s="228"/>
      <c r="CQ953" s="228"/>
      <c r="CR953" s="228"/>
      <c r="CS953" s="228"/>
      <c r="CT953" s="228"/>
      <c r="CU953" s="228"/>
      <c r="CV953" s="228"/>
      <c r="CW953" s="228"/>
      <c r="CX953" s="228"/>
      <c r="CY953" s="228"/>
      <c r="CZ953" s="228"/>
      <c r="DA953" s="228"/>
      <c r="DB953" s="228"/>
    </row>
    <row r="954" ht="12.0" customHeight="1">
      <c r="A954" s="228"/>
      <c r="B954" s="228"/>
      <c r="C954" s="228"/>
      <c r="D954" s="228"/>
      <c r="E954" s="228"/>
      <c r="F954" s="228"/>
      <c r="G954" s="228"/>
      <c r="H954" s="228"/>
      <c r="I954" s="228"/>
      <c r="J954" s="228"/>
      <c r="K954" s="228"/>
      <c r="L954" s="228"/>
      <c r="M954" s="228"/>
      <c r="N954" s="228"/>
      <c r="O954" s="228"/>
      <c r="P954" s="228"/>
      <c r="Q954" s="228"/>
      <c r="R954" s="228"/>
      <c r="S954" s="228"/>
      <c r="T954" s="228"/>
      <c r="U954" s="228"/>
      <c r="V954" s="228"/>
      <c r="W954" s="228"/>
      <c r="X954" s="228"/>
      <c r="Y954" s="228"/>
      <c r="Z954" s="228"/>
      <c r="AA954" s="228"/>
      <c r="AB954" s="228"/>
      <c r="AC954" s="228"/>
      <c r="AD954" s="228"/>
      <c r="AE954" s="228"/>
      <c r="AF954" s="228"/>
      <c r="AG954" s="228"/>
      <c r="AH954" s="228"/>
      <c r="AI954" s="228"/>
      <c r="AJ954" s="228"/>
      <c r="AK954" s="228"/>
      <c r="AL954" s="228"/>
      <c r="AM954" s="228"/>
      <c r="AN954" s="228"/>
      <c r="AO954" s="228"/>
      <c r="AP954" s="228"/>
      <c r="AQ954" s="228"/>
      <c r="AR954" s="228"/>
      <c r="AS954" s="228"/>
      <c r="AT954" s="228"/>
      <c r="AU954" s="228"/>
      <c r="AV954" s="228"/>
      <c r="AW954" s="228"/>
      <c r="AX954" s="228"/>
      <c r="AY954" s="228"/>
      <c r="AZ954" s="228"/>
      <c r="BA954" s="228"/>
      <c r="BB954" s="228"/>
      <c r="BC954" s="228"/>
      <c r="BD954" s="228"/>
      <c r="BE954" s="228"/>
      <c r="BF954" s="228"/>
      <c r="BG954" s="228"/>
      <c r="BH954" s="228"/>
      <c r="BI954" s="228"/>
      <c r="BJ954" s="228"/>
      <c r="BK954" s="228"/>
      <c r="BL954" s="228"/>
      <c r="BM954" s="228"/>
      <c r="BN954" s="228"/>
      <c r="BO954" s="228"/>
      <c r="BP954" s="228"/>
      <c r="BQ954" s="228"/>
      <c r="BR954" s="228"/>
      <c r="BS954" s="228"/>
      <c r="BT954" s="228"/>
      <c r="BU954" s="228"/>
      <c r="BV954" s="228"/>
      <c r="BW954" s="228"/>
      <c r="BX954" s="228"/>
      <c r="BY954" s="228"/>
      <c r="BZ954" s="228"/>
      <c r="CA954" s="228"/>
      <c r="CB954" s="228"/>
      <c r="CC954" s="228"/>
      <c r="CD954" s="228"/>
      <c r="CE954" s="228"/>
      <c r="CF954" s="228"/>
      <c r="CG954" s="228"/>
      <c r="CH954" s="228"/>
      <c r="CI954" s="228"/>
      <c r="CJ954" s="228"/>
      <c r="CK954" s="228"/>
      <c r="CL954" s="228"/>
      <c r="CM954" s="228"/>
      <c r="CN954" s="228"/>
      <c r="CO954" s="228"/>
      <c r="CP954" s="228"/>
      <c r="CQ954" s="228"/>
      <c r="CR954" s="228"/>
      <c r="CS954" s="228"/>
      <c r="CT954" s="228"/>
      <c r="CU954" s="228"/>
      <c r="CV954" s="228"/>
      <c r="CW954" s="228"/>
      <c r="CX954" s="228"/>
      <c r="CY954" s="228"/>
      <c r="CZ954" s="228"/>
      <c r="DA954" s="228"/>
      <c r="DB954" s="228"/>
    </row>
    <row r="955" ht="12.0" customHeight="1">
      <c r="A955" s="228"/>
      <c r="B955" s="228"/>
      <c r="C955" s="228"/>
      <c r="D955" s="228"/>
      <c r="E955" s="228"/>
      <c r="F955" s="228"/>
      <c r="G955" s="228"/>
      <c r="H955" s="228"/>
      <c r="I955" s="228"/>
      <c r="J955" s="228"/>
      <c r="K955" s="228"/>
      <c r="L955" s="228"/>
      <c r="M955" s="228"/>
      <c r="N955" s="228"/>
      <c r="O955" s="228"/>
      <c r="P955" s="228"/>
      <c r="Q955" s="228"/>
      <c r="R955" s="228"/>
      <c r="S955" s="228"/>
      <c r="T955" s="228"/>
      <c r="U955" s="228"/>
      <c r="V955" s="228"/>
      <c r="W955" s="228"/>
      <c r="X955" s="228"/>
      <c r="Y955" s="228"/>
      <c r="Z955" s="228"/>
      <c r="AA955" s="228"/>
      <c r="AB955" s="228"/>
      <c r="AC955" s="228"/>
      <c r="AD955" s="228"/>
      <c r="AE955" s="228"/>
      <c r="AF955" s="228"/>
      <c r="AG955" s="228"/>
      <c r="AH955" s="228"/>
      <c r="AI955" s="228"/>
      <c r="AJ955" s="228"/>
      <c r="AK955" s="228"/>
      <c r="AL955" s="228"/>
      <c r="AM955" s="228"/>
      <c r="AN955" s="228"/>
      <c r="AO955" s="228"/>
      <c r="AP955" s="228"/>
      <c r="AQ955" s="228"/>
      <c r="AR955" s="228"/>
      <c r="AS955" s="228"/>
      <c r="AT955" s="228"/>
      <c r="AU955" s="228"/>
      <c r="AV955" s="228"/>
      <c r="AW955" s="228"/>
      <c r="AX955" s="228"/>
      <c r="AY955" s="228"/>
      <c r="AZ955" s="228"/>
      <c r="BA955" s="228"/>
      <c r="BB955" s="228"/>
      <c r="BC955" s="228"/>
      <c r="BD955" s="228"/>
      <c r="BE955" s="228"/>
      <c r="BF955" s="228"/>
      <c r="BG955" s="228"/>
      <c r="BH955" s="228"/>
      <c r="BI955" s="228"/>
      <c r="BJ955" s="228"/>
      <c r="BK955" s="228"/>
      <c r="BL955" s="228"/>
      <c r="BM955" s="228"/>
      <c r="BN955" s="228"/>
      <c r="BO955" s="228"/>
      <c r="BP955" s="228"/>
      <c r="BQ955" s="228"/>
      <c r="BR955" s="228"/>
      <c r="BS955" s="228"/>
      <c r="BT955" s="228"/>
      <c r="BU955" s="228"/>
      <c r="BV955" s="228"/>
      <c r="BW955" s="228"/>
      <c r="BX955" s="228"/>
      <c r="BY955" s="228"/>
      <c r="BZ955" s="228"/>
      <c r="CA955" s="228"/>
      <c r="CB955" s="228"/>
      <c r="CC955" s="228"/>
      <c r="CD955" s="228"/>
      <c r="CE955" s="228"/>
      <c r="CF955" s="228"/>
      <c r="CG955" s="228"/>
      <c r="CH955" s="228"/>
      <c r="CI955" s="228"/>
      <c r="CJ955" s="228"/>
      <c r="CK955" s="228"/>
      <c r="CL955" s="228"/>
      <c r="CM955" s="228"/>
      <c r="CN955" s="228"/>
      <c r="CO955" s="228"/>
      <c r="CP955" s="228"/>
      <c r="CQ955" s="228"/>
      <c r="CR955" s="228"/>
      <c r="CS955" s="228"/>
      <c r="CT955" s="228"/>
      <c r="CU955" s="228"/>
      <c r="CV955" s="228"/>
      <c r="CW955" s="228"/>
      <c r="CX955" s="228"/>
      <c r="CY955" s="228"/>
      <c r="CZ955" s="228"/>
      <c r="DA955" s="228"/>
      <c r="DB955" s="228"/>
    </row>
    <row r="956" ht="12.0" customHeight="1">
      <c r="A956" s="228"/>
      <c r="B956" s="228"/>
      <c r="C956" s="228"/>
      <c r="D956" s="228"/>
      <c r="E956" s="228"/>
      <c r="F956" s="228"/>
      <c r="G956" s="228"/>
      <c r="H956" s="228"/>
      <c r="I956" s="228"/>
      <c r="J956" s="228"/>
      <c r="K956" s="228"/>
      <c r="L956" s="228"/>
      <c r="M956" s="228"/>
      <c r="N956" s="228"/>
      <c r="O956" s="228"/>
      <c r="P956" s="228"/>
      <c r="Q956" s="228"/>
      <c r="R956" s="228"/>
      <c r="S956" s="228"/>
      <c r="T956" s="228"/>
      <c r="U956" s="228"/>
      <c r="V956" s="228"/>
      <c r="W956" s="228"/>
      <c r="X956" s="228"/>
      <c r="Y956" s="228"/>
      <c r="Z956" s="228"/>
      <c r="AA956" s="228"/>
      <c r="AB956" s="228"/>
      <c r="AC956" s="228"/>
      <c r="AD956" s="228"/>
      <c r="AE956" s="228"/>
      <c r="AF956" s="228"/>
      <c r="AG956" s="228"/>
      <c r="AH956" s="228"/>
      <c r="AI956" s="228"/>
      <c r="AJ956" s="228"/>
      <c r="AK956" s="228"/>
      <c r="AL956" s="228"/>
      <c r="AM956" s="228"/>
      <c r="AN956" s="228"/>
      <c r="AO956" s="228"/>
      <c r="AP956" s="228"/>
      <c r="AQ956" s="228"/>
      <c r="AR956" s="228"/>
      <c r="AS956" s="228"/>
      <c r="AT956" s="228"/>
      <c r="AU956" s="228"/>
      <c r="AV956" s="228"/>
      <c r="AW956" s="228"/>
      <c r="AX956" s="228"/>
      <c r="AY956" s="228"/>
      <c r="AZ956" s="228"/>
      <c r="BA956" s="228"/>
      <c r="BB956" s="228"/>
      <c r="BC956" s="228"/>
      <c r="BD956" s="228"/>
      <c r="BE956" s="228"/>
      <c r="BF956" s="228"/>
      <c r="BG956" s="228"/>
      <c r="BH956" s="228"/>
      <c r="BI956" s="228"/>
      <c r="BJ956" s="228"/>
      <c r="BK956" s="228"/>
      <c r="BL956" s="228"/>
      <c r="BM956" s="228"/>
      <c r="BN956" s="228"/>
      <c r="BO956" s="228"/>
      <c r="BP956" s="228"/>
      <c r="BQ956" s="228"/>
      <c r="BR956" s="228"/>
      <c r="BS956" s="228"/>
      <c r="BT956" s="228"/>
      <c r="BU956" s="228"/>
      <c r="BV956" s="228"/>
      <c r="BW956" s="228"/>
      <c r="BX956" s="228"/>
      <c r="BY956" s="228"/>
      <c r="BZ956" s="228"/>
      <c r="CA956" s="228"/>
      <c r="CB956" s="228"/>
      <c r="CC956" s="228"/>
      <c r="CD956" s="228"/>
      <c r="CE956" s="228"/>
      <c r="CF956" s="228"/>
      <c r="CG956" s="228"/>
      <c r="CH956" s="228"/>
      <c r="CI956" s="228"/>
      <c r="CJ956" s="228"/>
      <c r="CK956" s="228"/>
      <c r="CL956" s="228"/>
      <c r="CM956" s="228"/>
      <c r="CN956" s="228"/>
      <c r="CO956" s="228"/>
      <c r="CP956" s="228"/>
      <c r="CQ956" s="228"/>
      <c r="CR956" s="228"/>
      <c r="CS956" s="228"/>
      <c r="CT956" s="228"/>
      <c r="CU956" s="228"/>
      <c r="CV956" s="228"/>
      <c r="CW956" s="228"/>
      <c r="CX956" s="228"/>
      <c r="CY956" s="228"/>
      <c r="CZ956" s="228"/>
      <c r="DA956" s="228"/>
      <c r="DB956" s="228"/>
    </row>
    <row r="957" ht="12.0" customHeight="1">
      <c r="A957" s="228"/>
      <c r="B957" s="228"/>
      <c r="C957" s="228"/>
      <c r="D957" s="228"/>
      <c r="E957" s="228"/>
      <c r="F957" s="228"/>
      <c r="G957" s="228"/>
      <c r="H957" s="228"/>
      <c r="I957" s="228"/>
      <c r="J957" s="228"/>
      <c r="K957" s="228"/>
      <c r="L957" s="228"/>
      <c r="M957" s="228"/>
      <c r="N957" s="228"/>
      <c r="O957" s="228"/>
      <c r="P957" s="228"/>
      <c r="Q957" s="228"/>
      <c r="R957" s="228"/>
      <c r="S957" s="228"/>
      <c r="T957" s="228"/>
      <c r="U957" s="228"/>
      <c r="V957" s="228"/>
      <c r="W957" s="228"/>
      <c r="X957" s="228"/>
      <c r="Y957" s="228"/>
      <c r="Z957" s="228"/>
      <c r="AA957" s="228"/>
      <c r="AB957" s="228"/>
      <c r="AC957" s="228"/>
      <c r="AD957" s="228"/>
      <c r="AE957" s="228"/>
      <c r="AF957" s="228"/>
      <c r="AG957" s="228"/>
      <c r="AH957" s="228"/>
      <c r="AI957" s="228"/>
      <c r="AJ957" s="228"/>
      <c r="AK957" s="228"/>
      <c r="AL957" s="228"/>
      <c r="AM957" s="228"/>
      <c r="AN957" s="228"/>
      <c r="AO957" s="228"/>
      <c r="AP957" s="228"/>
      <c r="AQ957" s="228"/>
      <c r="AR957" s="228"/>
      <c r="AS957" s="228"/>
      <c r="AT957" s="228"/>
      <c r="AU957" s="228"/>
      <c r="AV957" s="228"/>
      <c r="AW957" s="228"/>
      <c r="AX957" s="228"/>
      <c r="AY957" s="228"/>
      <c r="AZ957" s="228"/>
      <c r="BA957" s="228"/>
      <c r="BB957" s="228"/>
      <c r="BC957" s="228"/>
      <c r="BD957" s="228"/>
      <c r="BE957" s="228"/>
      <c r="BF957" s="228"/>
      <c r="BG957" s="228"/>
      <c r="BH957" s="228"/>
      <c r="BI957" s="228"/>
      <c r="BJ957" s="228"/>
      <c r="BK957" s="228"/>
      <c r="BL957" s="228"/>
      <c r="BM957" s="228"/>
      <c r="BN957" s="228"/>
      <c r="BO957" s="228"/>
      <c r="BP957" s="228"/>
      <c r="BQ957" s="228"/>
      <c r="BR957" s="228"/>
      <c r="BS957" s="228"/>
      <c r="BT957" s="228"/>
      <c r="BU957" s="228"/>
      <c r="BV957" s="228"/>
      <c r="BW957" s="228"/>
      <c r="BX957" s="228"/>
      <c r="BY957" s="228"/>
      <c r="BZ957" s="228"/>
      <c r="CA957" s="228"/>
      <c r="CB957" s="228"/>
      <c r="CC957" s="228"/>
      <c r="CD957" s="228"/>
      <c r="CE957" s="228"/>
      <c r="CF957" s="228"/>
      <c r="CG957" s="228"/>
      <c r="CH957" s="228"/>
      <c r="CI957" s="228"/>
      <c r="CJ957" s="228"/>
      <c r="CK957" s="228"/>
      <c r="CL957" s="228"/>
      <c r="CM957" s="228"/>
      <c r="CN957" s="228"/>
      <c r="CO957" s="228"/>
      <c r="CP957" s="228"/>
      <c r="CQ957" s="228"/>
      <c r="CR957" s="228"/>
      <c r="CS957" s="228"/>
      <c r="CT957" s="228"/>
      <c r="CU957" s="228"/>
      <c r="CV957" s="228"/>
      <c r="CW957" s="228"/>
      <c r="CX957" s="228"/>
      <c r="CY957" s="228"/>
      <c r="CZ957" s="228"/>
      <c r="DA957" s="228"/>
      <c r="DB957" s="228"/>
    </row>
    <row r="958" ht="12.0" customHeight="1">
      <c r="A958" s="228"/>
      <c r="B958" s="228"/>
      <c r="C958" s="228"/>
      <c r="D958" s="228"/>
      <c r="E958" s="228"/>
      <c r="F958" s="228"/>
      <c r="G958" s="228"/>
      <c r="H958" s="228"/>
      <c r="I958" s="228"/>
      <c r="J958" s="228"/>
      <c r="K958" s="228"/>
      <c r="L958" s="228"/>
      <c r="M958" s="228"/>
      <c r="N958" s="228"/>
      <c r="O958" s="228"/>
      <c r="P958" s="228"/>
      <c r="Q958" s="228"/>
      <c r="R958" s="228"/>
      <c r="S958" s="228"/>
      <c r="T958" s="228"/>
      <c r="U958" s="228"/>
      <c r="V958" s="228"/>
      <c r="W958" s="228"/>
      <c r="X958" s="228"/>
      <c r="Y958" s="228"/>
      <c r="Z958" s="228"/>
      <c r="AA958" s="228"/>
      <c r="AB958" s="228"/>
      <c r="AC958" s="228"/>
      <c r="AD958" s="228"/>
      <c r="AE958" s="228"/>
      <c r="AF958" s="228"/>
      <c r="AG958" s="228"/>
      <c r="AH958" s="228"/>
      <c r="AI958" s="228"/>
      <c r="AJ958" s="228"/>
      <c r="AK958" s="228"/>
      <c r="AL958" s="228"/>
      <c r="AM958" s="228"/>
      <c r="AN958" s="228"/>
      <c r="AO958" s="228"/>
      <c r="AP958" s="228"/>
      <c r="AQ958" s="228"/>
      <c r="AR958" s="228"/>
      <c r="AS958" s="228"/>
      <c r="AT958" s="228"/>
      <c r="AU958" s="228"/>
      <c r="AV958" s="228"/>
      <c r="AW958" s="228"/>
      <c r="AX958" s="228"/>
      <c r="AY958" s="228"/>
      <c r="AZ958" s="228"/>
      <c r="BA958" s="228"/>
      <c r="BB958" s="228"/>
      <c r="BC958" s="228"/>
      <c r="BD958" s="228"/>
      <c r="BE958" s="228"/>
      <c r="BF958" s="228"/>
      <c r="BG958" s="228"/>
      <c r="BH958" s="228"/>
      <c r="BI958" s="228"/>
      <c r="BJ958" s="228"/>
      <c r="BK958" s="228"/>
      <c r="BL958" s="228"/>
      <c r="BM958" s="228"/>
      <c r="BN958" s="228"/>
      <c r="BO958" s="228"/>
      <c r="BP958" s="228"/>
      <c r="BQ958" s="228"/>
      <c r="BR958" s="228"/>
      <c r="BS958" s="228"/>
      <c r="BT958" s="228"/>
      <c r="BU958" s="228"/>
      <c r="BV958" s="228"/>
      <c r="BW958" s="228"/>
      <c r="BX958" s="228"/>
      <c r="BY958" s="228"/>
      <c r="BZ958" s="228"/>
      <c r="CA958" s="228"/>
      <c r="CB958" s="228"/>
      <c r="CC958" s="228"/>
      <c r="CD958" s="228"/>
      <c r="CE958" s="228"/>
      <c r="CF958" s="228"/>
      <c r="CG958" s="228"/>
      <c r="CH958" s="228"/>
      <c r="CI958" s="228"/>
      <c r="CJ958" s="228"/>
      <c r="CK958" s="228"/>
      <c r="CL958" s="228"/>
      <c r="CM958" s="228"/>
      <c r="CN958" s="228"/>
      <c r="CO958" s="228"/>
      <c r="CP958" s="228"/>
      <c r="CQ958" s="228"/>
      <c r="CR958" s="228"/>
      <c r="CS958" s="228"/>
      <c r="CT958" s="228"/>
      <c r="CU958" s="228"/>
      <c r="CV958" s="228"/>
      <c r="CW958" s="228"/>
      <c r="CX958" s="228"/>
      <c r="CY958" s="228"/>
      <c r="CZ958" s="228"/>
      <c r="DA958" s="228"/>
      <c r="DB958" s="228"/>
    </row>
    <row r="959" ht="12.0" customHeight="1">
      <c r="A959" s="228"/>
      <c r="B959" s="228"/>
      <c r="C959" s="228"/>
      <c r="D959" s="228"/>
      <c r="E959" s="228"/>
      <c r="F959" s="228"/>
      <c r="G959" s="228"/>
      <c r="H959" s="228"/>
      <c r="I959" s="228"/>
      <c r="J959" s="228"/>
      <c r="K959" s="228"/>
      <c r="L959" s="228"/>
      <c r="M959" s="228"/>
      <c r="N959" s="228"/>
      <c r="O959" s="228"/>
      <c r="P959" s="228"/>
      <c r="Q959" s="228"/>
      <c r="R959" s="228"/>
      <c r="S959" s="228"/>
      <c r="T959" s="228"/>
      <c r="U959" s="228"/>
      <c r="V959" s="228"/>
      <c r="W959" s="228"/>
      <c r="X959" s="228"/>
      <c r="Y959" s="228"/>
      <c r="Z959" s="228"/>
      <c r="AA959" s="228"/>
      <c r="AB959" s="228"/>
      <c r="AC959" s="228"/>
      <c r="AD959" s="228"/>
      <c r="AE959" s="228"/>
      <c r="AF959" s="228"/>
      <c r="AG959" s="228"/>
      <c r="AH959" s="228"/>
      <c r="AI959" s="228"/>
      <c r="AJ959" s="228"/>
      <c r="AK959" s="228"/>
      <c r="AL959" s="228"/>
      <c r="AM959" s="228"/>
      <c r="AN959" s="228"/>
      <c r="AO959" s="228"/>
      <c r="AP959" s="228"/>
      <c r="AQ959" s="228"/>
      <c r="AR959" s="228"/>
      <c r="AS959" s="228"/>
      <c r="AT959" s="228"/>
      <c r="AU959" s="228"/>
      <c r="AV959" s="228"/>
      <c r="AW959" s="228"/>
      <c r="AX959" s="228"/>
      <c r="AY959" s="228"/>
      <c r="AZ959" s="228"/>
      <c r="BA959" s="228"/>
      <c r="BB959" s="228"/>
      <c r="BC959" s="228"/>
      <c r="BD959" s="228"/>
      <c r="BE959" s="228"/>
      <c r="BF959" s="228"/>
      <c r="BG959" s="228"/>
      <c r="BH959" s="228"/>
      <c r="BI959" s="228"/>
      <c r="BJ959" s="228"/>
      <c r="BK959" s="228"/>
      <c r="BL959" s="228"/>
      <c r="BM959" s="228"/>
      <c r="BN959" s="228"/>
      <c r="BO959" s="228"/>
      <c r="BP959" s="228"/>
      <c r="BQ959" s="228"/>
      <c r="BR959" s="228"/>
      <c r="BS959" s="228"/>
      <c r="BT959" s="228"/>
      <c r="BU959" s="228"/>
      <c r="BV959" s="228"/>
      <c r="BW959" s="228"/>
      <c r="BX959" s="228"/>
      <c r="BY959" s="228"/>
      <c r="BZ959" s="228"/>
      <c r="CA959" s="228"/>
      <c r="CB959" s="228"/>
      <c r="CC959" s="228"/>
      <c r="CD959" s="228"/>
      <c r="CE959" s="228"/>
      <c r="CF959" s="228"/>
      <c r="CG959" s="228"/>
      <c r="CH959" s="228"/>
      <c r="CI959" s="228"/>
      <c r="CJ959" s="228"/>
      <c r="CK959" s="228"/>
      <c r="CL959" s="228"/>
      <c r="CM959" s="228"/>
      <c r="CN959" s="228"/>
      <c r="CO959" s="228"/>
      <c r="CP959" s="228"/>
      <c r="CQ959" s="228"/>
      <c r="CR959" s="228"/>
      <c r="CS959" s="228"/>
      <c r="CT959" s="228"/>
      <c r="CU959" s="228"/>
      <c r="CV959" s="228"/>
      <c r="CW959" s="228"/>
      <c r="CX959" s="228"/>
      <c r="CY959" s="228"/>
      <c r="CZ959" s="228"/>
      <c r="DA959" s="228"/>
      <c r="DB959" s="228"/>
    </row>
    <row r="960" ht="12.0" customHeight="1">
      <c r="A960" s="228"/>
      <c r="B960" s="228"/>
      <c r="C960" s="228"/>
      <c r="D960" s="228"/>
      <c r="E960" s="228"/>
      <c r="F960" s="228"/>
      <c r="G960" s="228"/>
      <c r="H960" s="228"/>
      <c r="I960" s="228"/>
      <c r="J960" s="228"/>
      <c r="K960" s="228"/>
      <c r="L960" s="228"/>
      <c r="M960" s="228"/>
      <c r="N960" s="228"/>
      <c r="O960" s="228"/>
      <c r="P960" s="228"/>
      <c r="Q960" s="228"/>
      <c r="R960" s="228"/>
      <c r="S960" s="228"/>
      <c r="T960" s="228"/>
      <c r="U960" s="228"/>
      <c r="V960" s="228"/>
      <c r="W960" s="228"/>
      <c r="X960" s="228"/>
      <c r="Y960" s="228"/>
      <c r="Z960" s="228"/>
      <c r="AA960" s="228"/>
      <c r="AB960" s="228"/>
      <c r="AC960" s="228"/>
      <c r="AD960" s="228"/>
      <c r="AE960" s="228"/>
      <c r="AF960" s="228"/>
      <c r="AG960" s="228"/>
      <c r="AH960" s="228"/>
      <c r="AI960" s="228"/>
      <c r="AJ960" s="228"/>
      <c r="AK960" s="228"/>
      <c r="AL960" s="228"/>
      <c r="AM960" s="228"/>
      <c r="AN960" s="228"/>
      <c r="AO960" s="228"/>
      <c r="AP960" s="228"/>
      <c r="AQ960" s="228"/>
      <c r="AR960" s="228"/>
      <c r="AS960" s="228"/>
      <c r="AT960" s="228"/>
      <c r="AU960" s="228"/>
      <c r="AV960" s="228"/>
      <c r="AW960" s="228"/>
      <c r="AX960" s="228"/>
      <c r="AY960" s="228"/>
      <c r="AZ960" s="228"/>
      <c r="BA960" s="228"/>
      <c r="BB960" s="228"/>
      <c r="BC960" s="228"/>
      <c r="BD960" s="228"/>
      <c r="BE960" s="228"/>
      <c r="BF960" s="228"/>
      <c r="BG960" s="228"/>
      <c r="BH960" s="228"/>
      <c r="BI960" s="228"/>
      <c r="BJ960" s="228"/>
      <c r="BK960" s="228"/>
      <c r="BL960" s="228"/>
      <c r="BM960" s="228"/>
      <c r="BN960" s="228"/>
      <c r="BO960" s="228"/>
      <c r="BP960" s="228"/>
      <c r="BQ960" s="228"/>
      <c r="BR960" s="228"/>
      <c r="BS960" s="228"/>
      <c r="BT960" s="228"/>
      <c r="BU960" s="228"/>
      <c r="BV960" s="228"/>
      <c r="BW960" s="228"/>
      <c r="BX960" s="228"/>
      <c r="BY960" s="228"/>
      <c r="BZ960" s="228"/>
      <c r="CA960" s="228"/>
      <c r="CB960" s="228"/>
      <c r="CC960" s="228"/>
      <c r="CD960" s="228"/>
      <c r="CE960" s="228"/>
      <c r="CF960" s="228"/>
      <c r="CG960" s="228"/>
      <c r="CH960" s="228"/>
      <c r="CI960" s="228"/>
      <c r="CJ960" s="228"/>
      <c r="CK960" s="228"/>
      <c r="CL960" s="228"/>
      <c r="CM960" s="228"/>
      <c r="CN960" s="228"/>
      <c r="CO960" s="228"/>
      <c r="CP960" s="228"/>
      <c r="CQ960" s="228"/>
      <c r="CR960" s="228"/>
      <c r="CS960" s="228"/>
      <c r="CT960" s="228"/>
      <c r="CU960" s="228"/>
      <c r="CV960" s="228"/>
      <c r="CW960" s="228"/>
      <c r="CX960" s="228"/>
      <c r="CY960" s="228"/>
      <c r="CZ960" s="228"/>
      <c r="DA960" s="228"/>
      <c r="DB960" s="228"/>
    </row>
    <row r="961" ht="12.0" customHeight="1">
      <c r="A961" s="228"/>
      <c r="B961" s="228"/>
      <c r="C961" s="228"/>
      <c r="D961" s="228"/>
      <c r="E961" s="228"/>
      <c r="F961" s="228"/>
      <c r="G961" s="228"/>
      <c r="H961" s="228"/>
      <c r="I961" s="228"/>
      <c r="J961" s="228"/>
      <c r="K961" s="228"/>
      <c r="L961" s="228"/>
      <c r="M961" s="228"/>
      <c r="N961" s="228"/>
      <c r="O961" s="228"/>
      <c r="P961" s="228"/>
      <c r="Q961" s="228"/>
      <c r="R961" s="228"/>
      <c r="S961" s="228"/>
      <c r="T961" s="228"/>
      <c r="U961" s="228"/>
      <c r="V961" s="228"/>
      <c r="W961" s="228"/>
      <c r="X961" s="228"/>
      <c r="Y961" s="228"/>
      <c r="Z961" s="228"/>
      <c r="AA961" s="228"/>
      <c r="AB961" s="228"/>
      <c r="AC961" s="228"/>
      <c r="AD961" s="228"/>
      <c r="AE961" s="228"/>
      <c r="AF961" s="228"/>
      <c r="AG961" s="228"/>
      <c r="AH961" s="228"/>
      <c r="AI961" s="228"/>
      <c r="AJ961" s="228"/>
      <c r="AK961" s="228"/>
      <c r="AL961" s="228"/>
      <c r="AM961" s="228"/>
      <c r="AN961" s="228"/>
      <c r="AO961" s="228"/>
      <c r="AP961" s="228"/>
      <c r="AQ961" s="228"/>
      <c r="AR961" s="228"/>
      <c r="AS961" s="228"/>
      <c r="AT961" s="228"/>
      <c r="AU961" s="228"/>
      <c r="AV961" s="228"/>
      <c r="AW961" s="228"/>
      <c r="AX961" s="228"/>
      <c r="AY961" s="228"/>
      <c r="AZ961" s="228"/>
      <c r="BA961" s="228"/>
      <c r="BB961" s="228"/>
      <c r="BC961" s="228"/>
      <c r="BD961" s="228"/>
      <c r="BE961" s="228"/>
      <c r="BF961" s="228"/>
      <c r="BG961" s="228"/>
      <c r="BH961" s="228"/>
      <c r="BI961" s="228"/>
      <c r="BJ961" s="228"/>
      <c r="BK961" s="228"/>
      <c r="BL961" s="228"/>
      <c r="BM961" s="228"/>
      <c r="BN961" s="228"/>
      <c r="BO961" s="228"/>
      <c r="BP961" s="228"/>
      <c r="BQ961" s="228"/>
      <c r="BR961" s="228"/>
      <c r="BS961" s="228"/>
      <c r="BT961" s="228"/>
      <c r="BU961" s="228"/>
      <c r="BV961" s="228"/>
      <c r="BW961" s="228"/>
      <c r="BX961" s="228"/>
      <c r="BY961" s="228"/>
      <c r="BZ961" s="228"/>
      <c r="CA961" s="228"/>
      <c r="CB961" s="228"/>
      <c r="CC961" s="228"/>
      <c r="CD961" s="228"/>
      <c r="CE961" s="228"/>
      <c r="CF961" s="228"/>
      <c r="CG961" s="228"/>
      <c r="CH961" s="228"/>
      <c r="CI961" s="228"/>
      <c r="CJ961" s="228"/>
      <c r="CK961" s="228"/>
      <c r="CL961" s="228"/>
      <c r="CM961" s="228"/>
      <c r="CN961" s="228"/>
      <c r="CO961" s="228"/>
      <c r="CP961" s="228"/>
      <c r="CQ961" s="228"/>
      <c r="CR961" s="228"/>
      <c r="CS961" s="228"/>
      <c r="CT961" s="228"/>
      <c r="CU961" s="228"/>
      <c r="CV961" s="228"/>
      <c r="CW961" s="228"/>
      <c r="CX961" s="228"/>
      <c r="CY961" s="228"/>
      <c r="CZ961" s="228"/>
      <c r="DA961" s="228"/>
      <c r="DB961" s="228"/>
    </row>
    <row r="962" ht="12.0" customHeight="1">
      <c r="A962" s="228"/>
      <c r="B962" s="228"/>
      <c r="C962" s="228"/>
      <c r="D962" s="228"/>
      <c r="E962" s="228"/>
      <c r="F962" s="228"/>
      <c r="G962" s="228"/>
      <c r="H962" s="228"/>
      <c r="I962" s="228"/>
      <c r="J962" s="228"/>
      <c r="K962" s="228"/>
      <c r="L962" s="228"/>
      <c r="M962" s="228"/>
      <c r="N962" s="228"/>
      <c r="O962" s="228"/>
      <c r="P962" s="228"/>
      <c r="Q962" s="228"/>
      <c r="R962" s="228"/>
      <c r="S962" s="228"/>
      <c r="T962" s="228"/>
      <c r="U962" s="228"/>
      <c r="V962" s="228"/>
      <c r="W962" s="228"/>
      <c r="X962" s="228"/>
      <c r="Y962" s="228"/>
      <c r="Z962" s="228"/>
      <c r="AA962" s="228"/>
      <c r="AB962" s="228"/>
      <c r="AC962" s="228"/>
      <c r="AD962" s="228"/>
      <c r="AE962" s="228"/>
      <c r="AF962" s="228"/>
      <c r="AG962" s="228"/>
      <c r="AH962" s="228"/>
      <c r="AI962" s="228"/>
      <c r="AJ962" s="228"/>
      <c r="AK962" s="228"/>
      <c r="AL962" s="228"/>
      <c r="AM962" s="228"/>
      <c r="AN962" s="228"/>
      <c r="AO962" s="228"/>
      <c r="AP962" s="228"/>
      <c r="AQ962" s="228"/>
      <c r="AR962" s="228"/>
      <c r="AS962" s="228"/>
      <c r="AT962" s="228"/>
      <c r="AU962" s="228"/>
      <c r="AV962" s="228"/>
      <c r="AW962" s="228"/>
      <c r="AX962" s="228"/>
      <c r="AY962" s="228"/>
      <c r="AZ962" s="228"/>
      <c r="BA962" s="228"/>
      <c r="BB962" s="228"/>
      <c r="BC962" s="228"/>
      <c r="BD962" s="228"/>
      <c r="BE962" s="228"/>
      <c r="BF962" s="228"/>
      <c r="BG962" s="228"/>
      <c r="BH962" s="228"/>
      <c r="BI962" s="228"/>
      <c r="BJ962" s="228"/>
      <c r="BK962" s="228"/>
      <c r="BL962" s="228"/>
      <c r="BM962" s="228"/>
      <c r="BN962" s="228"/>
      <c r="BO962" s="228"/>
      <c r="BP962" s="228"/>
      <c r="BQ962" s="228"/>
      <c r="BR962" s="228"/>
      <c r="BS962" s="228"/>
      <c r="BT962" s="228"/>
      <c r="BU962" s="228"/>
      <c r="BV962" s="228"/>
      <c r="BW962" s="228"/>
      <c r="BX962" s="228"/>
      <c r="BY962" s="228"/>
      <c r="BZ962" s="228"/>
      <c r="CA962" s="228"/>
      <c r="CB962" s="228"/>
      <c r="CC962" s="228"/>
      <c r="CD962" s="228"/>
      <c r="CE962" s="228"/>
      <c r="CF962" s="228"/>
      <c r="CG962" s="228"/>
      <c r="CH962" s="228"/>
      <c r="CI962" s="228"/>
      <c r="CJ962" s="228"/>
      <c r="CK962" s="228"/>
      <c r="CL962" s="228"/>
      <c r="CM962" s="228"/>
      <c r="CN962" s="228"/>
      <c r="CO962" s="228"/>
      <c r="CP962" s="228"/>
      <c r="CQ962" s="228"/>
      <c r="CR962" s="228"/>
      <c r="CS962" s="228"/>
      <c r="CT962" s="228"/>
      <c r="CU962" s="228"/>
      <c r="CV962" s="228"/>
      <c r="CW962" s="228"/>
      <c r="CX962" s="228"/>
      <c r="CY962" s="228"/>
      <c r="CZ962" s="228"/>
      <c r="DA962" s="228"/>
      <c r="DB962" s="228"/>
    </row>
    <row r="963" ht="12.0" customHeight="1">
      <c r="A963" s="228"/>
      <c r="B963" s="228"/>
      <c r="C963" s="228"/>
      <c r="D963" s="228"/>
      <c r="E963" s="228"/>
      <c r="F963" s="228"/>
      <c r="G963" s="228"/>
      <c r="H963" s="228"/>
      <c r="I963" s="228"/>
      <c r="J963" s="228"/>
      <c r="K963" s="228"/>
      <c r="L963" s="228"/>
      <c r="M963" s="228"/>
      <c r="N963" s="228"/>
      <c r="O963" s="228"/>
      <c r="P963" s="228"/>
      <c r="Q963" s="228"/>
      <c r="R963" s="228"/>
      <c r="S963" s="228"/>
      <c r="T963" s="228"/>
      <c r="U963" s="228"/>
      <c r="V963" s="228"/>
      <c r="W963" s="228"/>
      <c r="X963" s="228"/>
      <c r="Y963" s="228"/>
      <c r="Z963" s="228"/>
      <c r="AA963" s="228"/>
      <c r="AB963" s="228"/>
      <c r="AC963" s="228"/>
      <c r="AD963" s="228"/>
      <c r="AE963" s="228"/>
      <c r="AF963" s="228"/>
      <c r="AG963" s="228"/>
      <c r="AH963" s="228"/>
      <c r="AI963" s="228"/>
      <c r="AJ963" s="228"/>
      <c r="AK963" s="228"/>
      <c r="AL963" s="228"/>
      <c r="AM963" s="228"/>
      <c r="AN963" s="228"/>
      <c r="AO963" s="228"/>
      <c r="AP963" s="228"/>
      <c r="AQ963" s="228"/>
      <c r="AR963" s="228"/>
      <c r="AS963" s="228"/>
      <c r="AT963" s="228"/>
      <c r="AU963" s="228"/>
      <c r="AV963" s="228"/>
      <c r="AW963" s="228"/>
      <c r="AX963" s="228"/>
      <c r="AY963" s="228"/>
      <c r="AZ963" s="228"/>
      <c r="BA963" s="228"/>
      <c r="BB963" s="228"/>
      <c r="BC963" s="228"/>
      <c r="BD963" s="228"/>
      <c r="BE963" s="228"/>
      <c r="BF963" s="228"/>
      <c r="BG963" s="228"/>
      <c r="BH963" s="228"/>
      <c r="BI963" s="228"/>
      <c r="BJ963" s="228"/>
      <c r="BK963" s="228"/>
      <c r="BL963" s="228"/>
      <c r="BM963" s="228"/>
      <c r="BN963" s="228"/>
      <c r="BO963" s="228"/>
      <c r="BP963" s="228"/>
      <c r="BQ963" s="228"/>
      <c r="BR963" s="228"/>
      <c r="BS963" s="228"/>
      <c r="BT963" s="228"/>
      <c r="BU963" s="228"/>
      <c r="BV963" s="228"/>
      <c r="BW963" s="228"/>
      <c r="BX963" s="228"/>
      <c r="BY963" s="228"/>
      <c r="BZ963" s="228"/>
      <c r="CA963" s="228"/>
      <c r="CB963" s="228"/>
      <c r="CC963" s="228"/>
      <c r="CD963" s="228"/>
      <c r="CE963" s="228"/>
      <c r="CF963" s="228"/>
      <c r="CG963" s="228"/>
      <c r="CH963" s="228"/>
      <c r="CI963" s="228"/>
      <c r="CJ963" s="228"/>
      <c r="CK963" s="228"/>
      <c r="CL963" s="228"/>
      <c r="CM963" s="228"/>
      <c r="CN963" s="228"/>
      <c r="CO963" s="228"/>
      <c r="CP963" s="228"/>
      <c r="CQ963" s="228"/>
      <c r="CR963" s="228"/>
      <c r="CS963" s="228"/>
      <c r="CT963" s="228"/>
      <c r="CU963" s="228"/>
      <c r="CV963" s="228"/>
      <c r="CW963" s="228"/>
      <c r="CX963" s="228"/>
      <c r="CY963" s="228"/>
      <c r="CZ963" s="228"/>
      <c r="DA963" s="228"/>
      <c r="DB963" s="228"/>
    </row>
    <row r="964" ht="12.0" customHeight="1">
      <c r="A964" s="228"/>
      <c r="B964" s="228"/>
      <c r="C964" s="228"/>
      <c r="D964" s="228"/>
      <c r="E964" s="228"/>
      <c r="F964" s="228"/>
      <c r="G964" s="228"/>
      <c r="H964" s="228"/>
      <c r="I964" s="228"/>
      <c r="J964" s="228"/>
      <c r="K964" s="228"/>
      <c r="L964" s="228"/>
      <c r="M964" s="228"/>
      <c r="N964" s="228"/>
      <c r="O964" s="228"/>
      <c r="P964" s="228"/>
      <c r="Q964" s="228"/>
      <c r="R964" s="228"/>
      <c r="S964" s="228"/>
      <c r="T964" s="228"/>
      <c r="U964" s="228"/>
      <c r="V964" s="228"/>
      <c r="W964" s="228"/>
      <c r="X964" s="228"/>
      <c r="Y964" s="228"/>
      <c r="Z964" s="228"/>
      <c r="AA964" s="228"/>
      <c r="AB964" s="228"/>
      <c r="AC964" s="228"/>
      <c r="AD964" s="228"/>
      <c r="AE964" s="228"/>
      <c r="AF964" s="228"/>
      <c r="AG964" s="228"/>
      <c r="AH964" s="228"/>
      <c r="AI964" s="228"/>
      <c r="AJ964" s="228"/>
      <c r="AK964" s="228"/>
      <c r="AL964" s="228"/>
      <c r="AM964" s="228"/>
      <c r="AN964" s="228"/>
      <c r="AO964" s="228"/>
      <c r="AP964" s="228"/>
      <c r="AQ964" s="228"/>
      <c r="AR964" s="228"/>
      <c r="AS964" s="228"/>
      <c r="AT964" s="228"/>
      <c r="AU964" s="228"/>
      <c r="AV964" s="228"/>
      <c r="AW964" s="228"/>
      <c r="AX964" s="228"/>
      <c r="AY964" s="228"/>
      <c r="AZ964" s="228"/>
      <c r="BA964" s="228"/>
      <c r="BB964" s="228"/>
      <c r="BC964" s="228"/>
      <c r="BD964" s="228"/>
      <c r="BE964" s="228"/>
      <c r="BF964" s="228"/>
      <c r="BG964" s="228"/>
      <c r="BH964" s="228"/>
      <c r="BI964" s="228"/>
      <c r="BJ964" s="228"/>
      <c r="BK964" s="228"/>
      <c r="BL964" s="228"/>
      <c r="BM964" s="228"/>
      <c r="BN964" s="228"/>
      <c r="BO964" s="228"/>
      <c r="BP964" s="228"/>
      <c r="BQ964" s="228"/>
      <c r="BR964" s="228"/>
      <c r="BS964" s="228"/>
      <c r="BT964" s="228"/>
      <c r="BU964" s="228"/>
      <c r="BV964" s="228"/>
      <c r="BW964" s="228"/>
      <c r="BX964" s="228"/>
      <c r="BY964" s="228"/>
      <c r="BZ964" s="228"/>
      <c r="CA964" s="228"/>
      <c r="CB964" s="228"/>
      <c r="CC964" s="228"/>
      <c r="CD964" s="228"/>
      <c r="CE964" s="228"/>
      <c r="CF964" s="228"/>
      <c r="CG964" s="228"/>
      <c r="CH964" s="228"/>
      <c r="CI964" s="228"/>
      <c r="CJ964" s="228"/>
      <c r="CK964" s="228"/>
      <c r="CL964" s="228"/>
      <c r="CM964" s="228"/>
      <c r="CN964" s="228"/>
      <c r="CO964" s="228"/>
      <c r="CP964" s="228"/>
      <c r="CQ964" s="228"/>
      <c r="CR964" s="228"/>
      <c r="CS964" s="228"/>
      <c r="CT964" s="228"/>
      <c r="CU964" s="228"/>
      <c r="CV964" s="228"/>
      <c r="CW964" s="228"/>
      <c r="CX964" s="228"/>
      <c r="CY964" s="228"/>
      <c r="CZ964" s="228"/>
      <c r="DA964" s="228"/>
      <c r="DB964" s="228"/>
    </row>
    <row r="965" ht="12.0" customHeight="1">
      <c r="A965" s="228"/>
      <c r="B965" s="228"/>
      <c r="C965" s="228"/>
      <c r="D965" s="228"/>
      <c r="E965" s="228"/>
      <c r="F965" s="228"/>
      <c r="G965" s="228"/>
      <c r="H965" s="228"/>
      <c r="I965" s="228"/>
      <c r="J965" s="228"/>
      <c r="K965" s="228"/>
      <c r="L965" s="228"/>
      <c r="M965" s="228"/>
      <c r="N965" s="228"/>
      <c r="O965" s="228"/>
      <c r="P965" s="228"/>
      <c r="Q965" s="228"/>
      <c r="R965" s="228"/>
      <c r="S965" s="228"/>
      <c r="T965" s="228"/>
      <c r="U965" s="228"/>
      <c r="V965" s="228"/>
      <c r="W965" s="228"/>
      <c r="X965" s="228"/>
      <c r="Y965" s="228"/>
      <c r="Z965" s="228"/>
      <c r="AA965" s="228"/>
      <c r="AB965" s="228"/>
      <c r="AC965" s="228"/>
      <c r="AD965" s="228"/>
      <c r="AE965" s="228"/>
      <c r="AF965" s="228"/>
      <c r="AG965" s="228"/>
      <c r="AH965" s="228"/>
      <c r="AI965" s="228"/>
      <c r="AJ965" s="228"/>
      <c r="AK965" s="228"/>
      <c r="AL965" s="228"/>
      <c r="AM965" s="228"/>
      <c r="AN965" s="228"/>
      <c r="AO965" s="228"/>
      <c r="AP965" s="228"/>
      <c r="AQ965" s="228"/>
      <c r="AR965" s="228"/>
      <c r="AS965" s="228"/>
      <c r="AT965" s="228"/>
      <c r="AU965" s="228"/>
      <c r="AV965" s="228"/>
      <c r="AW965" s="228"/>
      <c r="AX965" s="228"/>
      <c r="AY965" s="228"/>
      <c r="AZ965" s="228"/>
      <c r="BA965" s="228"/>
      <c r="BB965" s="228"/>
      <c r="BC965" s="228"/>
      <c r="BD965" s="228"/>
      <c r="BE965" s="228"/>
      <c r="BF965" s="228"/>
      <c r="BG965" s="228"/>
      <c r="BH965" s="228"/>
      <c r="BI965" s="228"/>
      <c r="BJ965" s="228"/>
      <c r="BK965" s="228"/>
      <c r="BL965" s="228"/>
      <c r="BM965" s="228"/>
      <c r="BN965" s="228"/>
      <c r="BO965" s="228"/>
      <c r="BP965" s="228"/>
      <c r="BQ965" s="228"/>
      <c r="BR965" s="228"/>
      <c r="BS965" s="228"/>
      <c r="BT965" s="228"/>
      <c r="BU965" s="228"/>
      <c r="BV965" s="228"/>
      <c r="BW965" s="228"/>
      <c r="BX965" s="228"/>
      <c r="BY965" s="228"/>
      <c r="BZ965" s="228"/>
      <c r="CA965" s="228"/>
      <c r="CB965" s="228"/>
      <c r="CC965" s="228"/>
      <c r="CD965" s="228"/>
      <c r="CE965" s="228"/>
      <c r="CF965" s="228"/>
      <c r="CG965" s="228"/>
      <c r="CH965" s="228"/>
      <c r="CI965" s="228"/>
      <c r="CJ965" s="228"/>
      <c r="CK965" s="228"/>
      <c r="CL965" s="228"/>
      <c r="CM965" s="228"/>
      <c r="CN965" s="228"/>
      <c r="CO965" s="228"/>
      <c r="CP965" s="228"/>
      <c r="CQ965" s="228"/>
      <c r="CR965" s="228"/>
      <c r="CS965" s="228"/>
      <c r="CT965" s="228"/>
      <c r="CU965" s="228"/>
      <c r="CV965" s="228"/>
      <c r="CW965" s="228"/>
      <c r="CX965" s="228"/>
      <c r="CY965" s="228"/>
      <c r="CZ965" s="228"/>
      <c r="DA965" s="228"/>
      <c r="DB965" s="228"/>
    </row>
    <row r="966" ht="12.0" customHeight="1">
      <c r="A966" s="228"/>
      <c r="B966" s="228"/>
      <c r="C966" s="228"/>
      <c r="D966" s="228"/>
      <c r="E966" s="228"/>
      <c r="F966" s="228"/>
      <c r="G966" s="228"/>
      <c r="H966" s="228"/>
      <c r="I966" s="228"/>
      <c r="J966" s="228"/>
      <c r="K966" s="228"/>
      <c r="L966" s="228"/>
      <c r="M966" s="228"/>
      <c r="N966" s="228"/>
      <c r="O966" s="228"/>
      <c r="P966" s="228"/>
      <c r="Q966" s="228"/>
      <c r="R966" s="228"/>
      <c r="S966" s="228"/>
      <c r="T966" s="228"/>
      <c r="U966" s="228"/>
      <c r="V966" s="228"/>
      <c r="W966" s="228"/>
      <c r="X966" s="228"/>
      <c r="Y966" s="228"/>
      <c r="Z966" s="228"/>
      <c r="AA966" s="228"/>
      <c r="AB966" s="228"/>
      <c r="AC966" s="228"/>
      <c r="AD966" s="228"/>
      <c r="AE966" s="228"/>
      <c r="AF966" s="228"/>
      <c r="AG966" s="228"/>
      <c r="AH966" s="228"/>
      <c r="AI966" s="228"/>
      <c r="AJ966" s="228"/>
      <c r="AK966" s="228"/>
      <c r="AL966" s="228"/>
      <c r="AM966" s="228"/>
      <c r="AN966" s="228"/>
      <c r="AO966" s="228"/>
      <c r="AP966" s="228"/>
      <c r="AQ966" s="228"/>
      <c r="AR966" s="228"/>
      <c r="AS966" s="228"/>
      <c r="AT966" s="228"/>
      <c r="AU966" s="228"/>
      <c r="AV966" s="228"/>
      <c r="AW966" s="228"/>
      <c r="AX966" s="228"/>
      <c r="AY966" s="228"/>
      <c r="AZ966" s="228"/>
      <c r="BA966" s="228"/>
      <c r="BB966" s="228"/>
      <c r="BC966" s="228"/>
      <c r="BD966" s="228"/>
      <c r="BE966" s="228"/>
      <c r="BF966" s="228"/>
      <c r="BG966" s="228"/>
      <c r="BH966" s="228"/>
      <c r="BI966" s="228"/>
      <c r="BJ966" s="228"/>
      <c r="BK966" s="228"/>
      <c r="BL966" s="228"/>
      <c r="BM966" s="228"/>
      <c r="BN966" s="228"/>
      <c r="BO966" s="228"/>
      <c r="BP966" s="228"/>
      <c r="BQ966" s="228"/>
      <c r="BR966" s="228"/>
      <c r="BS966" s="228"/>
      <c r="BT966" s="228"/>
      <c r="BU966" s="228"/>
      <c r="BV966" s="228"/>
      <c r="BW966" s="228"/>
      <c r="BX966" s="228"/>
      <c r="BY966" s="228"/>
      <c r="BZ966" s="228"/>
      <c r="CA966" s="228"/>
      <c r="CB966" s="228"/>
      <c r="CC966" s="228"/>
      <c r="CD966" s="228"/>
      <c r="CE966" s="228"/>
      <c r="CF966" s="228"/>
      <c r="CG966" s="228"/>
      <c r="CH966" s="228"/>
      <c r="CI966" s="228"/>
      <c r="CJ966" s="228"/>
      <c r="CK966" s="228"/>
      <c r="CL966" s="228"/>
      <c r="CM966" s="228"/>
      <c r="CN966" s="228"/>
      <c r="CO966" s="228"/>
      <c r="CP966" s="228"/>
      <c r="CQ966" s="228"/>
      <c r="CR966" s="228"/>
      <c r="CS966" s="228"/>
      <c r="CT966" s="228"/>
      <c r="CU966" s="228"/>
      <c r="CV966" s="228"/>
      <c r="CW966" s="228"/>
      <c r="CX966" s="228"/>
      <c r="CY966" s="228"/>
      <c r="CZ966" s="228"/>
      <c r="DA966" s="228"/>
      <c r="DB966" s="228"/>
    </row>
    <row r="967" ht="12.0" customHeight="1">
      <c r="A967" s="228"/>
      <c r="B967" s="228"/>
      <c r="C967" s="228"/>
      <c r="D967" s="228"/>
      <c r="E967" s="228"/>
      <c r="F967" s="228"/>
      <c r="G967" s="228"/>
      <c r="H967" s="228"/>
      <c r="I967" s="228"/>
      <c r="J967" s="228"/>
      <c r="K967" s="228"/>
      <c r="L967" s="228"/>
      <c r="M967" s="228"/>
      <c r="N967" s="228"/>
      <c r="O967" s="228"/>
      <c r="P967" s="228"/>
      <c r="Q967" s="228"/>
      <c r="R967" s="228"/>
      <c r="S967" s="228"/>
      <c r="T967" s="228"/>
      <c r="U967" s="228"/>
      <c r="V967" s="228"/>
      <c r="W967" s="228"/>
      <c r="X967" s="228"/>
      <c r="Y967" s="228"/>
      <c r="Z967" s="228"/>
      <c r="AA967" s="228"/>
      <c r="AB967" s="228"/>
      <c r="AC967" s="228"/>
      <c r="AD967" s="228"/>
      <c r="AE967" s="228"/>
      <c r="AF967" s="228"/>
      <c r="AG967" s="228"/>
      <c r="AH967" s="228"/>
      <c r="AI967" s="228"/>
      <c r="AJ967" s="228"/>
      <c r="AK967" s="228"/>
      <c r="AL967" s="228"/>
      <c r="AM967" s="228"/>
      <c r="AN967" s="228"/>
      <c r="AO967" s="228"/>
      <c r="AP967" s="228"/>
      <c r="AQ967" s="228"/>
      <c r="AR967" s="228"/>
      <c r="AS967" s="228"/>
      <c r="AT967" s="228"/>
      <c r="AU967" s="228"/>
      <c r="AV967" s="228"/>
      <c r="AW967" s="228"/>
      <c r="AX967" s="228"/>
      <c r="AY967" s="228"/>
      <c r="AZ967" s="228"/>
      <c r="BA967" s="228"/>
      <c r="BB967" s="228"/>
      <c r="BC967" s="228"/>
      <c r="BD967" s="228"/>
      <c r="BE967" s="228"/>
      <c r="BF967" s="228"/>
      <c r="BG967" s="228"/>
      <c r="BH967" s="228"/>
      <c r="BI967" s="228"/>
      <c r="BJ967" s="228"/>
      <c r="BK967" s="228"/>
      <c r="BL967" s="228"/>
      <c r="BM967" s="228"/>
      <c r="BN967" s="228"/>
      <c r="BO967" s="228"/>
      <c r="BP967" s="228"/>
      <c r="BQ967" s="228"/>
      <c r="BR967" s="228"/>
      <c r="BS967" s="228"/>
      <c r="BT967" s="228"/>
      <c r="BU967" s="228"/>
      <c r="BV967" s="228"/>
      <c r="BW967" s="228"/>
      <c r="BX967" s="228"/>
      <c r="BY967" s="228"/>
      <c r="BZ967" s="228"/>
      <c r="CA967" s="228"/>
      <c r="CB967" s="228"/>
      <c r="CC967" s="228"/>
      <c r="CD967" s="228"/>
      <c r="CE967" s="228"/>
      <c r="CF967" s="228"/>
      <c r="CG967" s="228"/>
      <c r="CH967" s="228"/>
      <c r="CI967" s="228"/>
      <c r="CJ967" s="228"/>
      <c r="CK967" s="228"/>
      <c r="CL967" s="228"/>
      <c r="CM967" s="228"/>
      <c r="CN967" s="228"/>
      <c r="CO967" s="228"/>
      <c r="CP967" s="228"/>
      <c r="CQ967" s="228"/>
      <c r="CR967" s="228"/>
      <c r="CS967" s="228"/>
      <c r="CT967" s="228"/>
      <c r="CU967" s="228"/>
      <c r="CV967" s="228"/>
      <c r="CW967" s="228"/>
      <c r="CX967" s="228"/>
      <c r="CY967" s="228"/>
      <c r="CZ967" s="228"/>
      <c r="DA967" s="228"/>
      <c r="DB967" s="228"/>
    </row>
    <row r="968" ht="12.0" customHeight="1">
      <c r="A968" s="228"/>
      <c r="B968" s="228"/>
      <c r="C968" s="228"/>
      <c r="D968" s="228"/>
      <c r="E968" s="228"/>
      <c r="F968" s="228"/>
      <c r="G968" s="228"/>
      <c r="H968" s="228"/>
      <c r="I968" s="228"/>
      <c r="J968" s="228"/>
      <c r="K968" s="228"/>
      <c r="L968" s="228"/>
      <c r="M968" s="228"/>
      <c r="N968" s="228"/>
      <c r="O968" s="228"/>
      <c r="P968" s="228"/>
      <c r="Q968" s="228"/>
      <c r="R968" s="228"/>
      <c r="S968" s="228"/>
      <c r="T968" s="228"/>
      <c r="U968" s="228"/>
      <c r="V968" s="228"/>
      <c r="W968" s="228"/>
      <c r="X968" s="228"/>
      <c r="Y968" s="228"/>
      <c r="Z968" s="228"/>
      <c r="AA968" s="228"/>
      <c r="AB968" s="228"/>
      <c r="AC968" s="228"/>
      <c r="AD968" s="228"/>
      <c r="AE968" s="228"/>
      <c r="AF968" s="228"/>
      <c r="AG968" s="228"/>
      <c r="AH968" s="228"/>
      <c r="AI968" s="228"/>
      <c r="AJ968" s="228"/>
      <c r="AK968" s="228"/>
      <c r="AL968" s="228"/>
      <c r="AM968" s="228"/>
      <c r="AN968" s="228"/>
      <c r="AO968" s="228"/>
      <c r="AP968" s="228"/>
      <c r="AQ968" s="228"/>
      <c r="AR968" s="228"/>
      <c r="AS968" s="228"/>
      <c r="AT968" s="228"/>
      <c r="AU968" s="228"/>
      <c r="AV968" s="228"/>
      <c r="AW968" s="228"/>
      <c r="AX968" s="228"/>
      <c r="AY968" s="228"/>
      <c r="AZ968" s="228"/>
      <c r="BA968" s="228"/>
      <c r="BB968" s="228"/>
      <c r="BC968" s="228"/>
      <c r="BD968" s="228"/>
      <c r="BE968" s="228"/>
      <c r="BF968" s="228"/>
      <c r="BG968" s="228"/>
      <c r="BH968" s="228"/>
      <c r="BI968" s="228"/>
      <c r="BJ968" s="228"/>
      <c r="BK968" s="228"/>
      <c r="BL968" s="228"/>
      <c r="BM968" s="228"/>
      <c r="BN968" s="228"/>
      <c r="BO968" s="228"/>
      <c r="BP968" s="228"/>
      <c r="BQ968" s="228"/>
      <c r="BR968" s="228"/>
      <c r="BS968" s="228"/>
      <c r="BT968" s="228"/>
      <c r="BU968" s="228"/>
      <c r="BV968" s="228"/>
      <c r="BW968" s="228"/>
      <c r="BX968" s="228"/>
      <c r="BY968" s="228"/>
      <c r="BZ968" s="228"/>
      <c r="CA968" s="228"/>
      <c r="CB968" s="228"/>
      <c r="CC968" s="228"/>
      <c r="CD968" s="228"/>
      <c r="CE968" s="228"/>
      <c r="CF968" s="228"/>
      <c r="CG968" s="228"/>
      <c r="CH968" s="228"/>
      <c r="CI968" s="228"/>
      <c r="CJ968" s="228"/>
      <c r="CK968" s="228"/>
      <c r="CL968" s="228"/>
      <c r="CM968" s="228"/>
      <c r="CN968" s="228"/>
      <c r="CO968" s="228"/>
      <c r="CP968" s="228"/>
      <c r="CQ968" s="228"/>
      <c r="CR968" s="228"/>
      <c r="CS968" s="228"/>
      <c r="CT968" s="228"/>
      <c r="CU968" s="228"/>
      <c r="CV968" s="228"/>
      <c r="CW968" s="228"/>
      <c r="CX968" s="228"/>
      <c r="CY968" s="228"/>
      <c r="CZ968" s="228"/>
      <c r="DA968" s="228"/>
      <c r="DB968" s="228"/>
    </row>
    <row r="969" ht="12.0" customHeight="1">
      <c r="A969" s="228"/>
      <c r="B969" s="228"/>
      <c r="C969" s="228"/>
      <c r="D969" s="228"/>
      <c r="E969" s="228"/>
      <c r="F969" s="228"/>
      <c r="G969" s="228"/>
      <c r="H969" s="228"/>
      <c r="I969" s="228"/>
      <c r="J969" s="228"/>
      <c r="K969" s="228"/>
      <c r="L969" s="228"/>
      <c r="M969" s="228"/>
      <c r="N969" s="228"/>
      <c r="O969" s="228"/>
      <c r="P969" s="228"/>
      <c r="Q969" s="228"/>
      <c r="R969" s="228"/>
      <c r="S969" s="228"/>
      <c r="T969" s="228"/>
      <c r="U969" s="228"/>
      <c r="V969" s="228"/>
      <c r="W969" s="228"/>
      <c r="X969" s="228"/>
      <c r="Y969" s="228"/>
      <c r="Z969" s="228"/>
      <c r="AA969" s="228"/>
      <c r="AB969" s="228"/>
      <c r="AC969" s="228"/>
      <c r="AD969" s="228"/>
      <c r="AE969" s="228"/>
      <c r="AF969" s="228"/>
      <c r="AG969" s="228"/>
      <c r="AH969" s="228"/>
      <c r="AI969" s="228"/>
      <c r="AJ969" s="228"/>
      <c r="AK969" s="228"/>
      <c r="AL969" s="228"/>
      <c r="AM969" s="228"/>
      <c r="AN969" s="228"/>
      <c r="AO969" s="228"/>
      <c r="AP969" s="228"/>
      <c r="AQ969" s="228"/>
      <c r="AR969" s="228"/>
      <c r="AS969" s="228"/>
      <c r="AT969" s="228"/>
      <c r="AU969" s="228"/>
      <c r="AV969" s="228"/>
      <c r="AW969" s="228"/>
      <c r="AX969" s="228"/>
      <c r="AY969" s="228"/>
      <c r="AZ969" s="228"/>
      <c r="BA969" s="228"/>
      <c r="BB969" s="228"/>
      <c r="BC969" s="228"/>
      <c r="BD969" s="228"/>
      <c r="BE969" s="228"/>
      <c r="BF969" s="228"/>
      <c r="BG969" s="228"/>
      <c r="BH969" s="228"/>
      <c r="BI969" s="228"/>
      <c r="BJ969" s="228"/>
      <c r="BK969" s="228"/>
      <c r="BL969" s="228"/>
      <c r="BM969" s="228"/>
      <c r="BN969" s="228"/>
      <c r="BO969" s="228"/>
      <c r="BP969" s="228"/>
      <c r="BQ969" s="228"/>
      <c r="BR969" s="228"/>
      <c r="BS969" s="228"/>
      <c r="BT969" s="228"/>
      <c r="BU969" s="228"/>
      <c r="BV969" s="228"/>
      <c r="BW969" s="228"/>
      <c r="BX969" s="228"/>
      <c r="BY969" s="228"/>
      <c r="BZ969" s="228"/>
      <c r="CA969" s="228"/>
      <c r="CB969" s="228"/>
      <c r="CC969" s="228"/>
      <c r="CD969" s="228"/>
      <c r="CE969" s="228"/>
      <c r="CF969" s="228"/>
      <c r="CG969" s="228"/>
      <c r="CH969" s="228"/>
      <c r="CI969" s="228"/>
      <c r="CJ969" s="228"/>
      <c r="CK969" s="228"/>
      <c r="CL969" s="228"/>
      <c r="CM969" s="228"/>
      <c r="CN969" s="228"/>
      <c r="CO969" s="228"/>
      <c r="CP969" s="228"/>
      <c r="CQ969" s="228"/>
      <c r="CR969" s="228"/>
      <c r="CS969" s="228"/>
      <c r="CT969" s="228"/>
      <c r="CU969" s="228"/>
      <c r="CV969" s="228"/>
      <c r="CW969" s="228"/>
      <c r="CX969" s="228"/>
      <c r="CY969" s="228"/>
      <c r="CZ969" s="228"/>
      <c r="DA969" s="228"/>
      <c r="DB969" s="228"/>
    </row>
    <row r="970" ht="12.0" customHeight="1">
      <c r="A970" s="228"/>
      <c r="B970" s="228"/>
      <c r="C970" s="228"/>
      <c r="D970" s="228"/>
      <c r="E970" s="228"/>
      <c r="F970" s="228"/>
      <c r="G970" s="228"/>
      <c r="H970" s="228"/>
      <c r="I970" s="228"/>
      <c r="J970" s="228"/>
      <c r="K970" s="228"/>
      <c r="L970" s="228"/>
      <c r="M970" s="228"/>
      <c r="N970" s="228"/>
      <c r="O970" s="228"/>
      <c r="P970" s="228"/>
      <c r="Q970" s="228"/>
      <c r="R970" s="228"/>
      <c r="S970" s="228"/>
      <c r="T970" s="228"/>
      <c r="U970" s="228"/>
      <c r="V970" s="228"/>
      <c r="W970" s="228"/>
      <c r="X970" s="228"/>
      <c r="Y970" s="228"/>
      <c r="Z970" s="228"/>
      <c r="AA970" s="228"/>
      <c r="AB970" s="228"/>
      <c r="AC970" s="228"/>
      <c r="AD970" s="228"/>
      <c r="AE970" s="228"/>
      <c r="AF970" s="228"/>
      <c r="AG970" s="228"/>
      <c r="AH970" s="228"/>
      <c r="AI970" s="228"/>
      <c r="AJ970" s="228"/>
      <c r="AK970" s="228"/>
      <c r="AL970" s="228"/>
      <c r="AM970" s="228"/>
      <c r="AN970" s="228"/>
      <c r="AO970" s="228"/>
      <c r="AP970" s="228"/>
      <c r="AQ970" s="228"/>
      <c r="AR970" s="228"/>
      <c r="AS970" s="228"/>
      <c r="AT970" s="228"/>
      <c r="AU970" s="228"/>
      <c r="AV970" s="228"/>
      <c r="AW970" s="228"/>
      <c r="AX970" s="228"/>
      <c r="AY970" s="228"/>
      <c r="AZ970" s="228"/>
      <c r="BA970" s="228"/>
      <c r="BB970" s="228"/>
      <c r="BC970" s="228"/>
      <c r="BD970" s="228"/>
      <c r="BE970" s="228"/>
      <c r="BF970" s="228"/>
      <c r="BG970" s="228"/>
      <c r="BH970" s="228"/>
      <c r="BI970" s="228"/>
      <c r="BJ970" s="228"/>
      <c r="BK970" s="228"/>
      <c r="BL970" s="228"/>
      <c r="BM970" s="228"/>
      <c r="BN970" s="228"/>
      <c r="BO970" s="228"/>
      <c r="BP970" s="228"/>
      <c r="BQ970" s="228"/>
      <c r="BR970" s="228"/>
      <c r="BS970" s="228"/>
      <c r="BT970" s="228"/>
      <c r="BU970" s="228"/>
      <c r="BV970" s="228"/>
      <c r="BW970" s="228"/>
      <c r="BX970" s="228"/>
      <c r="BY970" s="228"/>
      <c r="BZ970" s="228"/>
      <c r="CA970" s="228"/>
      <c r="CB970" s="228"/>
      <c r="CC970" s="228"/>
      <c r="CD970" s="228"/>
      <c r="CE970" s="228"/>
      <c r="CF970" s="228"/>
      <c r="CG970" s="228"/>
      <c r="CH970" s="228"/>
      <c r="CI970" s="228"/>
      <c r="CJ970" s="228"/>
      <c r="CK970" s="228"/>
      <c r="CL970" s="228"/>
      <c r="CM970" s="228"/>
      <c r="CN970" s="228"/>
      <c r="CO970" s="228"/>
      <c r="CP970" s="228"/>
      <c r="CQ970" s="228"/>
      <c r="CR970" s="228"/>
      <c r="CS970" s="228"/>
      <c r="CT970" s="228"/>
      <c r="CU970" s="228"/>
      <c r="CV970" s="228"/>
      <c r="CW970" s="228"/>
      <c r="CX970" s="228"/>
      <c r="CY970" s="228"/>
      <c r="CZ970" s="228"/>
      <c r="DA970" s="228"/>
      <c r="DB970" s="228"/>
    </row>
    <row r="971" ht="12.0" customHeight="1">
      <c r="A971" s="228"/>
      <c r="B971" s="228"/>
      <c r="C971" s="228"/>
      <c r="D971" s="228"/>
      <c r="E971" s="228"/>
      <c r="F971" s="228"/>
      <c r="G971" s="228"/>
      <c r="H971" s="228"/>
      <c r="I971" s="228"/>
      <c r="J971" s="228"/>
      <c r="K971" s="228"/>
      <c r="L971" s="228"/>
      <c r="M971" s="228"/>
      <c r="N971" s="228"/>
      <c r="O971" s="228"/>
      <c r="P971" s="228"/>
      <c r="Q971" s="228"/>
      <c r="R971" s="228"/>
      <c r="S971" s="228"/>
      <c r="T971" s="228"/>
      <c r="U971" s="228"/>
      <c r="V971" s="228"/>
      <c r="W971" s="228"/>
      <c r="X971" s="228"/>
      <c r="Y971" s="228"/>
      <c r="Z971" s="228"/>
      <c r="AA971" s="228"/>
      <c r="AB971" s="228"/>
      <c r="AC971" s="228"/>
      <c r="AD971" s="228"/>
      <c r="AE971" s="228"/>
      <c r="AF971" s="228"/>
      <c r="AG971" s="228"/>
      <c r="AH971" s="228"/>
      <c r="AI971" s="228"/>
      <c r="AJ971" s="228"/>
      <c r="AK971" s="228"/>
      <c r="AL971" s="228"/>
      <c r="AM971" s="228"/>
      <c r="AN971" s="228"/>
      <c r="AO971" s="228"/>
      <c r="AP971" s="228"/>
      <c r="AQ971" s="228"/>
      <c r="AR971" s="228"/>
      <c r="AS971" s="228"/>
      <c r="AT971" s="228"/>
      <c r="AU971" s="228"/>
      <c r="AV971" s="228"/>
      <c r="AW971" s="228"/>
      <c r="AX971" s="228"/>
      <c r="AY971" s="228"/>
      <c r="AZ971" s="228"/>
      <c r="BA971" s="228"/>
      <c r="BB971" s="228"/>
      <c r="BC971" s="228"/>
      <c r="BD971" s="228"/>
      <c r="BE971" s="228"/>
      <c r="BF971" s="228"/>
      <c r="BG971" s="228"/>
      <c r="BH971" s="228"/>
      <c r="BI971" s="228"/>
      <c r="BJ971" s="228"/>
      <c r="BK971" s="228"/>
      <c r="BL971" s="228"/>
      <c r="BM971" s="228"/>
      <c r="BN971" s="228"/>
      <c r="BO971" s="228"/>
      <c r="BP971" s="228"/>
      <c r="BQ971" s="228"/>
      <c r="BR971" s="228"/>
      <c r="BS971" s="228"/>
      <c r="BT971" s="228"/>
      <c r="BU971" s="228"/>
      <c r="BV971" s="228"/>
      <c r="BW971" s="228"/>
      <c r="BX971" s="228"/>
      <c r="BY971" s="228"/>
      <c r="BZ971" s="228"/>
      <c r="CA971" s="228"/>
      <c r="CB971" s="228"/>
      <c r="CC971" s="228"/>
      <c r="CD971" s="228"/>
      <c r="CE971" s="228"/>
      <c r="CF971" s="228"/>
      <c r="CG971" s="228"/>
      <c r="CH971" s="228"/>
      <c r="CI971" s="228"/>
      <c r="CJ971" s="228"/>
      <c r="CK971" s="228"/>
      <c r="CL971" s="228"/>
      <c r="CM971" s="228"/>
      <c r="CN971" s="228"/>
      <c r="CO971" s="228"/>
      <c r="CP971" s="228"/>
      <c r="CQ971" s="228"/>
      <c r="CR971" s="228"/>
      <c r="CS971" s="228"/>
      <c r="CT971" s="228"/>
      <c r="CU971" s="228"/>
      <c r="CV971" s="228"/>
      <c r="CW971" s="228"/>
      <c r="CX971" s="228"/>
      <c r="CY971" s="228"/>
      <c r="CZ971" s="228"/>
      <c r="DA971" s="228"/>
      <c r="DB971" s="228"/>
    </row>
    <row r="972" ht="12.0" customHeight="1">
      <c r="A972" s="228"/>
      <c r="B972" s="228"/>
      <c r="C972" s="228"/>
      <c r="D972" s="228"/>
      <c r="E972" s="228"/>
      <c r="F972" s="228"/>
      <c r="G972" s="228"/>
      <c r="H972" s="228"/>
      <c r="I972" s="228"/>
      <c r="J972" s="228"/>
      <c r="K972" s="228"/>
      <c r="L972" s="228"/>
      <c r="M972" s="228"/>
      <c r="N972" s="228"/>
      <c r="O972" s="228"/>
      <c r="P972" s="228"/>
      <c r="Q972" s="228"/>
      <c r="R972" s="228"/>
      <c r="S972" s="228"/>
      <c r="T972" s="228"/>
      <c r="U972" s="228"/>
      <c r="V972" s="228"/>
      <c r="W972" s="228"/>
      <c r="X972" s="228"/>
      <c r="Y972" s="228"/>
      <c r="Z972" s="228"/>
      <c r="AA972" s="228"/>
      <c r="AB972" s="228"/>
      <c r="AC972" s="228"/>
      <c r="AD972" s="228"/>
      <c r="AE972" s="228"/>
      <c r="AF972" s="228"/>
      <c r="AG972" s="228"/>
      <c r="AH972" s="228"/>
      <c r="AI972" s="228"/>
      <c r="AJ972" s="228"/>
      <c r="AK972" s="228"/>
      <c r="AL972" s="228"/>
      <c r="AM972" s="228"/>
      <c r="AN972" s="228"/>
      <c r="AO972" s="228"/>
      <c r="AP972" s="228"/>
      <c r="AQ972" s="228"/>
      <c r="AR972" s="228"/>
      <c r="AS972" s="228"/>
      <c r="AT972" s="228"/>
      <c r="AU972" s="228"/>
      <c r="AV972" s="228"/>
      <c r="AW972" s="228"/>
      <c r="AX972" s="228"/>
      <c r="AY972" s="228"/>
      <c r="AZ972" s="228"/>
      <c r="BA972" s="228"/>
      <c r="BB972" s="228"/>
      <c r="BC972" s="228"/>
      <c r="BD972" s="228"/>
      <c r="BE972" s="228"/>
      <c r="BF972" s="228"/>
      <c r="BG972" s="228"/>
      <c r="BH972" s="228"/>
      <c r="BI972" s="228"/>
      <c r="BJ972" s="228"/>
      <c r="BK972" s="228"/>
      <c r="BL972" s="228"/>
      <c r="BM972" s="228"/>
      <c r="BN972" s="228"/>
      <c r="BO972" s="228"/>
      <c r="BP972" s="228"/>
      <c r="BQ972" s="228"/>
      <c r="BR972" s="228"/>
      <c r="BS972" s="228"/>
      <c r="BT972" s="228"/>
      <c r="BU972" s="228"/>
      <c r="BV972" s="228"/>
      <c r="BW972" s="228"/>
      <c r="BX972" s="228"/>
      <c r="BY972" s="228"/>
      <c r="BZ972" s="228"/>
      <c r="CA972" s="228"/>
      <c r="CB972" s="228"/>
      <c r="CC972" s="228"/>
      <c r="CD972" s="228"/>
      <c r="CE972" s="228"/>
      <c r="CF972" s="228"/>
      <c r="CG972" s="228"/>
      <c r="CH972" s="228"/>
      <c r="CI972" s="228"/>
      <c r="CJ972" s="228"/>
      <c r="CK972" s="228"/>
      <c r="CL972" s="228"/>
      <c r="CM972" s="228"/>
      <c r="CN972" s="228"/>
      <c r="CO972" s="228"/>
      <c r="CP972" s="228"/>
      <c r="CQ972" s="228"/>
      <c r="CR972" s="228"/>
      <c r="CS972" s="228"/>
      <c r="CT972" s="228"/>
      <c r="CU972" s="228"/>
      <c r="CV972" s="228"/>
      <c r="CW972" s="228"/>
      <c r="CX972" s="228"/>
      <c r="CY972" s="228"/>
      <c r="CZ972" s="228"/>
      <c r="DA972" s="228"/>
      <c r="DB972" s="228"/>
    </row>
    <row r="973" ht="12.0" customHeight="1">
      <c r="A973" s="228"/>
      <c r="B973" s="228"/>
      <c r="C973" s="228"/>
      <c r="D973" s="228"/>
      <c r="E973" s="228"/>
      <c r="F973" s="228"/>
      <c r="G973" s="228"/>
      <c r="H973" s="228"/>
      <c r="I973" s="228"/>
      <c r="J973" s="228"/>
      <c r="K973" s="228"/>
      <c r="L973" s="228"/>
      <c r="M973" s="228"/>
      <c r="N973" s="228"/>
      <c r="O973" s="228"/>
      <c r="P973" s="228"/>
      <c r="Q973" s="228"/>
      <c r="R973" s="228"/>
      <c r="S973" s="228"/>
      <c r="T973" s="228"/>
      <c r="U973" s="228"/>
      <c r="V973" s="228"/>
      <c r="W973" s="228"/>
      <c r="X973" s="228"/>
      <c r="Y973" s="228"/>
      <c r="Z973" s="228"/>
      <c r="AA973" s="228"/>
      <c r="AB973" s="228"/>
      <c r="AC973" s="228"/>
      <c r="AD973" s="228"/>
      <c r="AE973" s="228"/>
      <c r="AF973" s="228"/>
      <c r="AG973" s="228"/>
      <c r="AH973" s="228"/>
      <c r="AI973" s="228"/>
      <c r="AJ973" s="228"/>
      <c r="AK973" s="228"/>
      <c r="AL973" s="228"/>
      <c r="AM973" s="228"/>
      <c r="AN973" s="228"/>
      <c r="AO973" s="228"/>
      <c r="AP973" s="228"/>
      <c r="AQ973" s="228"/>
      <c r="AR973" s="228"/>
      <c r="AS973" s="228"/>
      <c r="AT973" s="228"/>
      <c r="AU973" s="228"/>
      <c r="AV973" s="228"/>
      <c r="AW973" s="228"/>
      <c r="AX973" s="228"/>
      <c r="AY973" s="228"/>
      <c r="AZ973" s="228"/>
      <c r="BA973" s="228"/>
      <c r="BB973" s="228"/>
      <c r="BC973" s="228"/>
      <c r="BD973" s="228"/>
      <c r="BE973" s="228"/>
      <c r="BF973" s="228"/>
      <c r="BG973" s="228"/>
      <c r="BH973" s="228"/>
      <c r="BI973" s="228"/>
      <c r="BJ973" s="228"/>
      <c r="BK973" s="228"/>
      <c r="BL973" s="228"/>
      <c r="BM973" s="228"/>
      <c r="BN973" s="228"/>
      <c r="BO973" s="228"/>
      <c r="BP973" s="228"/>
      <c r="BQ973" s="228"/>
      <c r="BR973" s="228"/>
      <c r="BS973" s="228"/>
      <c r="BT973" s="228"/>
      <c r="BU973" s="228"/>
      <c r="BV973" s="228"/>
      <c r="BW973" s="228"/>
      <c r="BX973" s="228"/>
      <c r="BY973" s="228"/>
      <c r="BZ973" s="228"/>
      <c r="CA973" s="228"/>
      <c r="CB973" s="228"/>
      <c r="CC973" s="228"/>
      <c r="CD973" s="228"/>
      <c r="CE973" s="228"/>
      <c r="CF973" s="228"/>
      <c r="CG973" s="228"/>
      <c r="CH973" s="228"/>
      <c r="CI973" s="228"/>
      <c r="CJ973" s="228"/>
      <c r="CK973" s="228"/>
      <c r="CL973" s="228"/>
      <c r="CM973" s="228"/>
      <c r="CN973" s="228"/>
      <c r="CO973" s="228"/>
      <c r="CP973" s="228"/>
      <c r="CQ973" s="228"/>
      <c r="CR973" s="228"/>
      <c r="CS973" s="228"/>
      <c r="CT973" s="228"/>
      <c r="CU973" s="228"/>
      <c r="CV973" s="228"/>
      <c r="CW973" s="228"/>
      <c r="CX973" s="228"/>
      <c r="CY973" s="228"/>
      <c r="CZ973" s="228"/>
      <c r="DA973" s="228"/>
      <c r="DB973" s="228"/>
    </row>
    <row r="974" ht="12.0" customHeight="1">
      <c r="A974" s="228"/>
      <c r="B974" s="228"/>
      <c r="C974" s="228"/>
      <c r="D974" s="228"/>
      <c r="E974" s="228"/>
      <c r="F974" s="228"/>
      <c r="G974" s="228"/>
      <c r="H974" s="228"/>
      <c r="I974" s="228"/>
      <c r="J974" s="228"/>
      <c r="K974" s="228"/>
      <c r="L974" s="228"/>
      <c r="M974" s="228"/>
      <c r="N974" s="228"/>
      <c r="O974" s="228"/>
      <c r="P974" s="228"/>
      <c r="Q974" s="228"/>
      <c r="R974" s="228"/>
      <c r="S974" s="228"/>
      <c r="T974" s="228"/>
      <c r="U974" s="228"/>
      <c r="V974" s="228"/>
      <c r="W974" s="228"/>
      <c r="X974" s="228"/>
      <c r="Y974" s="228"/>
      <c r="Z974" s="228"/>
      <c r="AA974" s="228"/>
      <c r="AB974" s="228"/>
      <c r="AC974" s="228"/>
      <c r="AD974" s="228"/>
      <c r="AE974" s="228"/>
      <c r="AF974" s="228"/>
      <c r="AG974" s="228"/>
      <c r="AH974" s="228"/>
      <c r="AI974" s="228"/>
      <c r="AJ974" s="228"/>
      <c r="AK974" s="228"/>
      <c r="AL974" s="228"/>
      <c r="AM974" s="228"/>
      <c r="AN974" s="228"/>
      <c r="AO974" s="228"/>
      <c r="AP974" s="228"/>
      <c r="AQ974" s="228"/>
      <c r="AR974" s="228"/>
      <c r="AS974" s="228"/>
      <c r="AT974" s="228"/>
      <c r="AU974" s="228"/>
      <c r="AV974" s="228"/>
      <c r="AW974" s="228"/>
      <c r="AX974" s="228"/>
      <c r="AY974" s="228"/>
      <c r="AZ974" s="228"/>
      <c r="BA974" s="228"/>
      <c r="BB974" s="228"/>
      <c r="BC974" s="228"/>
      <c r="BD974" s="228"/>
      <c r="BE974" s="228"/>
      <c r="BF974" s="228"/>
      <c r="BG974" s="228"/>
      <c r="BH974" s="228"/>
      <c r="BI974" s="228"/>
      <c r="BJ974" s="228"/>
      <c r="BK974" s="228"/>
      <c r="BL974" s="228"/>
      <c r="BM974" s="228"/>
      <c r="BN974" s="228"/>
      <c r="BO974" s="228"/>
      <c r="BP974" s="228"/>
      <c r="BQ974" s="228"/>
      <c r="BR974" s="228"/>
      <c r="BS974" s="228"/>
      <c r="BT974" s="228"/>
      <c r="BU974" s="228"/>
      <c r="BV974" s="228"/>
      <c r="BW974" s="228"/>
      <c r="BX974" s="228"/>
      <c r="BY974" s="228"/>
      <c r="BZ974" s="228"/>
      <c r="CA974" s="228"/>
      <c r="CB974" s="228"/>
      <c r="CC974" s="228"/>
      <c r="CD974" s="228"/>
      <c r="CE974" s="228"/>
      <c r="CF974" s="228"/>
      <c r="CG974" s="228"/>
      <c r="CH974" s="228"/>
      <c r="CI974" s="228"/>
      <c r="CJ974" s="228"/>
      <c r="CK974" s="228"/>
      <c r="CL974" s="228"/>
      <c r="CM974" s="228"/>
      <c r="CN974" s="228"/>
      <c r="CO974" s="228"/>
      <c r="CP974" s="228"/>
      <c r="CQ974" s="228"/>
      <c r="CR974" s="228"/>
      <c r="CS974" s="228"/>
      <c r="CT974" s="228"/>
      <c r="CU974" s="228"/>
      <c r="CV974" s="228"/>
      <c r="CW974" s="228"/>
      <c r="CX974" s="228"/>
      <c r="CY974" s="228"/>
      <c r="CZ974" s="228"/>
      <c r="DA974" s="228"/>
      <c r="DB974" s="228"/>
    </row>
    <row r="975" ht="12.0" customHeight="1">
      <c r="A975" s="228"/>
      <c r="B975" s="228"/>
      <c r="C975" s="228"/>
      <c r="D975" s="228"/>
      <c r="E975" s="228"/>
      <c r="F975" s="228"/>
      <c r="G975" s="228"/>
      <c r="H975" s="228"/>
      <c r="I975" s="228"/>
      <c r="J975" s="228"/>
      <c r="K975" s="228"/>
      <c r="L975" s="228"/>
      <c r="M975" s="228"/>
      <c r="N975" s="228"/>
      <c r="O975" s="228"/>
      <c r="P975" s="228"/>
      <c r="Q975" s="228"/>
      <c r="R975" s="228"/>
      <c r="S975" s="228"/>
      <c r="T975" s="228"/>
      <c r="U975" s="228"/>
      <c r="V975" s="228"/>
      <c r="W975" s="228"/>
      <c r="X975" s="228"/>
      <c r="Y975" s="228"/>
      <c r="Z975" s="228"/>
      <c r="AA975" s="228"/>
      <c r="AB975" s="228"/>
      <c r="AC975" s="228"/>
      <c r="AD975" s="228"/>
      <c r="AE975" s="228"/>
      <c r="AF975" s="228"/>
      <c r="AG975" s="228"/>
      <c r="AH975" s="228"/>
      <c r="AI975" s="228"/>
      <c r="AJ975" s="228"/>
      <c r="AK975" s="228"/>
      <c r="AL975" s="228"/>
      <c r="AM975" s="228"/>
      <c r="AN975" s="228"/>
      <c r="AO975" s="228"/>
      <c r="AP975" s="228"/>
      <c r="AQ975" s="228"/>
      <c r="AR975" s="228"/>
      <c r="AS975" s="228"/>
      <c r="AT975" s="228"/>
      <c r="AU975" s="228"/>
      <c r="AV975" s="228"/>
      <c r="AW975" s="228"/>
      <c r="AX975" s="228"/>
      <c r="AY975" s="228"/>
      <c r="AZ975" s="228"/>
      <c r="BA975" s="228"/>
      <c r="BB975" s="228"/>
      <c r="BC975" s="228"/>
      <c r="BD975" s="228"/>
      <c r="BE975" s="228"/>
      <c r="BF975" s="228"/>
      <c r="BG975" s="228"/>
      <c r="BH975" s="228"/>
      <c r="BI975" s="228"/>
      <c r="BJ975" s="228"/>
      <c r="BK975" s="228"/>
      <c r="BL975" s="228"/>
      <c r="BM975" s="228"/>
      <c r="BN975" s="228"/>
      <c r="BO975" s="228"/>
      <c r="BP975" s="228"/>
      <c r="BQ975" s="228"/>
      <c r="BR975" s="228"/>
      <c r="BS975" s="228"/>
      <c r="BT975" s="228"/>
      <c r="BU975" s="228"/>
      <c r="BV975" s="228"/>
      <c r="BW975" s="228"/>
      <c r="BX975" s="228"/>
      <c r="BY975" s="228"/>
      <c r="BZ975" s="228"/>
      <c r="CA975" s="228"/>
      <c r="CB975" s="228"/>
      <c r="CC975" s="228"/>
      <c r="CD975" s="228"/>
      <c r="CE975" s="228"/>
      <c r="CF975" s="228"/>
      <c r="CG975" s="228"/>
      <c r="CH975" s="228"/>
      <c r="CI975" s="228"/>
      <c r="CJ975" s="228"/>
      <c r="CK975" s="228"/>
      <c r="CL975" s="228"/>
      <c r="CM975" s="228"/>
      <c r="CN975" s="228"/>
      <c r="CO975" s="228"/>
      <c r="CP975" s="228"/>
      <c r="CQ975" s="228"/>
      <c r="CR975" s="228"/>
      <c r="CS975" s="228"/>
      <c r="CT975" s="228"/>
      <c r="CU975" s="228"/>
      <c r="CV975" s="228"/>
      <c r="CW975" s="228"/>
      <c r="CX975" s="228"/>
      <c r="CY975" s="228"/>
      <c r="CZ975" s="228"/>
      <c r="DA975" s="228"/>
      <c r="DB975" s="228"/>
    </row>
    <row r="976" ht="12.0" customHeight="1">
      <c r="A976" s="228"/>
      <c r="B976" s="228"/>
      <c r="C976" s="228"/>
      <c r="D976" s="228"/>
      <c r="E976" s="228"/>
      <c r="F976" s="228"/>
      <c r="G976" s="228"/>
      <c r="H976" s="228"/>
      <c r="I976" s="228"/>
      <c r="J976" s="228"/>
      <c r="K976" s="228"/>
      <c r="L976" s="228"/>
      <c r="M976" s="228"/>
      <c r="N976" s="228"/>
      <c r="O976" s="228"/>
      <c r="P976" s="228"/>
      <c r="Q976" s="228"/>
      <c r="R976" s="228"/>
      <c r="S976" s="228"/>
      <c r="T976" s="228"/>
      <c r="U976" s="228"/>
      <c r="V976" s="228"/>
      <c r="W976" s="228"/>
      <c r="X976" s="228"/>
      <c r="Y976" s="228"/>
      <c r="Z976" s="228"/>
      <c r="AA976" s="228"/>
      <c r="AB976" s="228"/>
      <c r="AC976" s="228"/>
      <c r="AD976" s="228"/>
      <c r="AE976" s="228"/>
      <c r="AF976" s="228"/>
      <c r="AG976" s="228"/>
      <c r="AH976" s="228"/>
      <c r="AI976" s="228"/>
      <c r="AJ976" s="228"/>
      <c r="AK976" s="228"/>
      <c r="AL976" s="228"/>
      <c r="AM976" s="228"/>
      <c r="AN976" s="228"/>
      <c r="AO976" s="228"/>
      <c r="AP976" s="228"/>
      <c r="AQ976" s="228"/>
      <c r="AR976" s="228"/>
      <c r="AS976" s="228"/>
      <c r="AT976" s="228"/>
      <c r="AU976" s="228"/>
      <c r="AV976" s="228"/>
      <c r="AW976" s="228"/>
      <c r="AX976" s="228"/>
      <c r="AY976" s="228"/>
      <c r="AZ976" s="228"/>
      <c r="BA976" s="228"/>
      <c r="BB976" s="228"/>
      <c r="BC976" s="228"/>
      <c r="BD976" s="228"/>
      <c r="BE976" s="228"/>
      <c r="BF976" s="228"/>
      <c r="BG976" s="228"/>
      <c r="BH976" s="228"/>
      <c r="BI976" s="228"/>
      <c r="BJ976" s="228"/>
      <c r="BK976" s="228"/>
      <c r="BL976" s="228"/>
      <c r="BM976" s="228"/>
      <c r="BN976" s="228"/>
      <c r="BO976" s="228"/>
      <c r="BP976" s="228"/>
      <c r="BQ976" s="228"/>
      <c r="BR976" s="228"/>
      <c r="BS976" s="228"/>
      <c r="BT976" s="228"/>
      <c r="BU976" s="228"/>
      <c r="BV976" s="228"/>
      <c r="BW976" s="228"/>
      <c r="BX976" s="228"/>
      <c r="BY976" s="228"/>
      <c r="BZ976" s="228"/>
      <c r="CA976" s="228"/>
      <c r="CB976" s="228"/>
      <c r="CC976" s="228"/>
      <c r="CD976" s="228"/>
      <c r="CE976" s="228"/>
      <c r="CF976" s="228"/>
      <c r="CG976" s="228"/>
      <c r="CH976" s="228"/>
      <c r="CI976" s="228"/>
      <c r="CJ976" s="228"/>
      <c r="CK976" s="228"/>
      <c r="CL976" s="228"/>
      <c r="CM976" s="228"/>
      <c r="CN976" s="228"/>
      <c r="CO976" s="228"/>
      <c r="CP976" s="228"/>
      <c r="CQ976" s="228"/>
      <c r="CR976" s="228"/>
      <c r="CS976" s="228"/>
      <c r="CT976" s="228"/>
      <c r="CU976" s="228"/>
      <c r="CV976" s="228"/>
      <c r="CW976" s="228"/>
      <c r="CX976" s="228"/>
      <c r="CY976" s="228"/>
      <c r="CZ976" s="228"/>
      <c r="DA976" s="228"/>
      <c r="DB976" s="228"/>
    </row>
    <row r="977" ht="12.0" customHeight="1">
      <c r="A977" s="228"/>
      <c r="B977" s="228"/>
      <c r="C977" s="228"/>
      <c r="D977" s="228"/>
      <c r="E977" s="228"/>
      <c r="F977" s="228"/>
      <c r="G977" s="228"/>
      <c r="H977" s="228"/>
      <c r="I977" s="228"/>
      <c r="J977" s="228"/>
      <c r="K977" s="228"/>
      <c r="L977" s="228"/>
      <c r="M977" s="228"/>
      <c r="N977" s="228"/>
      <c r="O977" s="228"/>
      <c r="P977" s="228"/>
      <c r="Q977" s="228"/>
      <c r="R977" s="228"/>
      <c r="S977" s="228"/>
      <c r="T977" s="228"/>
      <c r="U977" s="228"/>
      <c r="V977" s="228"/>
      <c r="W977" s="228"/>
      <c r="X977" s="228"/>
      <c r="Y977" s="228"/>
      <c r="Z977" s="228"/>
      <c r="AA977" s="228"/>
      <c r="AB977" s="228"/>
      <c r="AC977" s="228"/>
      <c r="AD977" s="228"/>
      <c r="AE977" s="228"/>
      <c r="AF977" s="228"/>
      <c r="AG977" s="228"/>
      <c r="AH977" s="228"/>
      <c r="AI977" s="228"/>
      <c r="AJ977" s="228"/>
      <c r="AK977" s="228"/>
      <c r="AL977" s="228"/>
      <c r="AM977" s="228"/>
      <c r="AN977" s="228"/>
      <c r="AO977" s="228"/>
      <c r="AP977" s="228"/>
      <c r="AQ977" s="228"/>
      <c r="AR977" s="228"/>
      <c r="AS977" s="228"/>
      <c r="AT977" s="228"/>
      <c r="AU977" s="228"/>
      <c r="AV977" s="228"/>
      <c r="AW977" s="228"/>
      <c r="AX977" s="228"/>
      <c r="AY977" s="228"/>
      <c r="AZ977" s="228"/>
      <c r="BA977" s="228"/>
      <c r="BB977" s="228"/>
      <c r="BC977" s="228"/>
      <c r="BD977" s="228"/>
      <c r="BE977" s="228"/>
      <c r="BF977" s="228"/>
      <c r="BG977" s="228"/>
      <c r="BH977" s="228"/>
      <c r="BI977" s="228"/>
      <c r="BJ977" s="228"/>
      <c r="BK977" s="228"/>
      <c r="BL977" s="228"/>
      <c r="BM977" s="228"/>
      <c r="BN977" s="228"/>
      <c r="BO977" s="228"/>
      <c r="BP977" s="228"/>
      <c r="BQ977" s="228"/>
      <c r="BR977" s="228"/>
      <c r="BS977" s="228"/>
      <c r="BT977" s="228"/>
      <c r="BU977" s="228"/>
      <c r="BV977" s="228"/>
      <c r="BW977" s="228"/>
      <c r="BX977" s="228"/>
      <c r="BY977" s="228"/>
      <c r="BZ977" s="228"/>
      <c r="CA977" s="228"/>
      <c r="CB977" s="228"/>
      <c r="CC977" s="228"/>
      <c r="CD977" s="228"/>
      <c r="CE977" s="228"/>
      <c r="CF977" s="228"/>
      <c r="CG977" s="228"/>
      <c r="CH977" s="228"/>
      <c r="CI977" s="228"/>
      <c r="CJ977" s="228"/>
      <c r="CK977" s="228"/>
      <c r="CL977" s="228"/>
      <c r="CM977" s="228"/>
      <c r="CN977" s="228"/>
      <c r="CO977" s="228"/>
      <c r="CP977" s="228"/>
      <c r="CQ977" s="228"/>
      <c r="CR977" s="228"/>
      <c r="CS977" s="228"/>
      <c r="CT977" s="228"/>
      <c r="CU977" s="228"/>
      <c r="CV977" s="228"/>
      <c r="CW977" s="228"/>
      <c r="CX977" s="228"/>
      <c r="CY977" s="228"/>
      <c r="CZ977" s="228"/>
      <c r="DA977" s="228"/>
      <c r="DB977" s="228"/>
    </row>
    <row r="978" ht="12.0" customHeight="1">
      <c r="A978" s="228"/>
      <c r="B978" s="228"/>
      <c r="C978" s="228"/>
      <c r="D978" s="228"/>
      <c r="E978" s="228"/>
      <c r="F978" s="228"/>
      <c r="G978" s="228"/>
      <c r="H978" s="228"/>
      <c r="I978" s="228"/>
      <c r="J978" s="228"/>
      <c r="K978" s="228"/>
      <c r="L978" s="228"/>
      <c r="M978" s="228"/>
      <c r="N978" s="228"/>
      <c r="O978" s="228"/>
      <c r="P978" s="228"/>
      <c r="Q978" s="228"/>
      <c r="R978" s="228"/>
      <c r="S978" s="228"/>
      <c r="T978" s="228"/>
      <c r="U978" s="228"/>
      <c r="V978" s="228"/>
      <c r="W978" s="228"/>
      <c r="X978" s="228"/>
      <c r="Y978" s="228"/>
      <c r="Z978" s="228"/>
      <c r="AA978" s="228"/>
      <c r="AB978" s="228"/>
      <c r="AC978" s="228"/>
      <c r="AD978" s="228"/>
      <c r="AE978" s="228"/>
      <c r="AF978" s="228"/>
      <c r="AG978" s="228"/>
      <c r="AH978" s="228"/>
      <c r="AI978" s="228"/>
      <c r="AJ978" s="228"/>
      <c r="AK978" s="228"/>
      <c r="AL978" s="228"/>
      <c r="AM978" s="228"/>
      <c r="AN978" s="228"/>
      <c r="AO978" s="228"/>
      <c r="AP978" s="228"/>
      <c r="AQ978" s="228"/>
      <c r="AR978" s="228"/>
      <c r="AS978" s="228"/>
      <c r="AT978" s="228"/>
      <c r="AU978" s="228"/>
      <c r="AV978" s="228"/>
      <c r="AW978" s="228"/>
      <c r="AX978" s="228"/>
      <c r="AY978" s="228"/>
      <c r="AZ978" s="228"/>
      <c r="BA978" s="228"/>
      <c r="BB978" s="228"/>
      <c r="BC978" s="228"/>
      <c r="BD978" s="228"/>
      <c r="BE978" s="228"/>
      <c r="BF978" s="228"/>
      <c r="BG978" s="228"/>
      <c r="BH978" s="228"/>
      <c r="BI978" s="228"/>
      <c r="BJ978" s="228"/>
      <c r="BK978" s="228"/>
      <c r="BL978" s="228"/>
      <c r="BM978" s="228"/>
      <c r="BN978" s="228"/>
      <c r="BO978" s="228"/>
      <c r="BP978" s="228"/>
      <c r="BQ978" s="228"/>
      <c r="BR978" s="228"/>
      <c r="BS978" s="228"/>
      <c r="BT978" s="228"/>
      <c r="BU978" s="228"/>
      <c r="BV978" s="228"/>
      <c r="BW978" s="228"/>
      <c r="BX978" s="228"/>
      <c r="BY978" s="228"/>
      <c r="BZ978" s="228"/>
      <c r="CA978" s="228"/>
      <c r="CB978" s="228"/>
      <c r="CC978" s="228"/>
      <c r="CD978" s="228"/>
      <c r="CE978" s="228"/>
      <c r="CF978" s="228"/>
      <c r="CG978" s="228"/>
      <c r="CH978" s="228"/>
      <c r="CI978" s="228"/>
      <c r="CJ978" s="228"/>
      <c r="CK978" s="228"/>
      <c r="CL978" s="228"/>
      <c r="CM978" s="228"/>
      <c r="CN978" s="228"/>
      <c r="CO978" s="228"/>
      <c r="CP978" s="228"/>
      <c r="CQ978" s="228"/>
      <c r="CR978" s="228"/>
      <c r="CS978" s="228"/>
      <c r="CT978" s="228"/>
      <c r="CU978" s="228"/>
      <c r="CV978" s="228"/>
      <c r="CW978" s="228"/>
      <c r="CX978" s="228"/>
      <c r="CY978" s="228"/>
      <c r="CZ978" s="228"/>
      <c r="DA978" s="228"/>
      <c r="DB978" s="228"/>
    </row>
    <row r="979" ht="12.0" customHeight="1">
      <c r="A979" s="228"/>
      <c r="B979" s="228"/>
      <c r="C979" s="228"/>
      <c r="D979" s="228"/>
      <c r="E979" s="228"/>
      <c r="F979" s="228"/>
      <c r="G979" s="228"/>
      <c r="H979" s="228"/>
      <c r="I979" s="228"/>
      <c r="J979" s="228"/>
      <c r="K979" s="228"/>
      <c r="L979" s="228"/>
      <c r="M979" s="228"/>
      <c r="N979" s="228"/>
      <c r="O979" s="228"/>
      <c r="P979" s="228"/>
      <c r="Q979" s="228"/>
      <c r="R979" s="228"/>
      <c r="S979" s="228"/>
      <c r="T979" s="228"/>
      <c r="U979" s="228"/>
      <c r="V979" s="228"/>
      <c r="W979" s="228"/>
      <c r="X979" s="228"/>
      <c r="Y979" s="228"/>
      <c r="Z979" s="228"/>
      <c r="AA979" s="228"/>
      <c r="AB979" s="228"/>
      <c r="AC979" s="228"/>
      <c r="AD979" s="228"/>
      <c r="AE979" s="228"/>
      <c r="AF979" s="228"/>
      <c r="AG979" s="228"/>
      <c r="AH979" s="228"/>
      <c r="AI979" s="228"/>
      <c r="AJ979" s="228"/>
      <c r="AK979" s="228"/>
      <c r="AL979" s="228"/>
      <c r="AM979" s="228"/>
      <c r="AN979" s="228"/>
      <c r="AO979" s="228"/>
      <c r="AP979" s="228"/>
      <c r="AQ979" s="228"/>
      <c r="AR979" s="228"/>
      <c r="AS979" s="228"/>
      <c r="AT979" s="228"/>
      <c r="AU979" s="228"/>
      <c r="AV979" s="228"/>
      <c r="AW979" s="228"/>
      <c r="AX979" s="228"/>
      <c r="AY979" s="228"/>
      <c r="AZ979" s="228"/>
      <c r="BA979" s="228"/>
      <c r="BB979" s="228"/>
      <c r="BC979" s="228"/>
      <c r="BD979" s="228"/>
      <c r="BE979" s="228"/>
      <c r="BF979" s="228"/>
      <c r="BG979" s="228"/>
      <c r="BH979" s="228"/>
      <c r="BI979" s="228"/>
      <c r="BJ979" s="228"/>
      <c r="BK979" s="228"/>
      <c r="BL979" s="228"/>
      <c r="BM979" s="228"/>
      <c r="BN979" s="228"/>
      <c r="BO979" s="228"/>
      <c r="BP979" s="228"/>
      <c r="BQ979" s="228"/>
      <c r="BR979" s="228"/>
      <c r="BS979" s="228"/>
      <c r="BT979" s="228"/>
      <c r="BU979" s="228"/>
      <c r="BV979" s="228"/>
      <c r="BW979" s="228"/>
      <c r="BX979" s="228"/>
      <c r="BY979" s="228"/>
      <c r="BZ979" s="228"/>
      <c r="CA979" s="228"/>
      <c r="CB979" s="228"/>
      <c r="CC979" s="228"/>
      <c r="CD979" s="228"/>
      <c r="CE979" s="228"/>
      <c r="CF979" s="228"/>
      <c r="CG979" s="228"/>
      <c r="CH979" s="228"/>
      <c r="CI979" s="228"/>
      <c r="CJ979" s="228"/>
      <c r="CK979" s="228"/>
      <c r="CL979" s="228"/>
      <c r="CM979" s="228"/>
      <c r="CN979" s="228"/>
      <c r="CO979" s="228"/>
      <c r="CP979" s="228"/>
      <c r="CQ979" s="228"/>
      <c r="CR979" s="228"/>
      <c r="CS979" s="228"/>
      <c r="CT979" s="228"/>
      <c r="CU979" s="228"/>
      <c r="CV979" s="228"/>
      <c r="CW979" s="228"/>
      <c r="CX979" s="228"/>
      <c r="CY979" s="228"/>
      <c r="CZ979" s="228"/>
      <c r="DA979" s="228"/>
      <c r="DB979" s="228"/>
    </row>
    <row r="980" ht="12.0" customHeight="1">
      <c r="A980" s="228"/>
      <c r="B980" s="228"/>
      <c r="C980" s="228"/>
      <c r="D980" s="228"/>
      <c r="E980" s="228"/>
      <c r="F980" s="228"/>
      <c r="G980" s="228"/>
      <c r="H980" s="228"/>
      <c r="I980" s="228"/>
      <c r="J980" s="228"/>
      <c r="K980" s="228"/>
      <c r="L980" s="228"/>
      <c r="M980" s="228"/>
      <c r="N980" s="228"/>
      <c r="O980" s="228"/>
      <c r="P980" s="228"/>
      <c r="Q980" s="228"/>
      <c r="R980" s="228"/>
      <c r="S980" s="228"/>
      <c r="T980" s="228"/>
      <c r="U980" s="228"/>
      <c r="V980" s="228"/>
      <c r="W980" s="228"/>
      <c r="X980" s="228"/>
      <c r="Y980" s="228"/>
      <c r="Z980" s="228"/>
      <c r="AA980" s="228"/>
      <c r="AB980" s="228"/>
      <c r="AC980" s="228"/>
      <c r="AD980" s="228"/>
      <c r="AE980" s="228"/>
      <c r="AF980" s="228"/>
      <c r="AG980" s="228"/>
      <c r="AH980" s="228"/>
      <c r="AI980" s="228"/>
      <c r="AJ980" s="228"/>
      <c r="AK980" s="228"/>
      <c r="AL980" s="228"/>
      <c r="AM980" s="228"/>
      <c r="AN980" s="228"/>
      <c r="AO980" s="228"/>
      <c r="AP980" s="228"/>
      <c r="AQ980" s="228"/>
      <c r="AR980" s="228"/>
      <c r="AS980" s="228"/>
      <c r="AT980" s="228"/>
      <c r="AU980" s="228"/>
      <c r="AV980" s="228"/>
      <c r="AW980" s="228"/>
      <c r="AX980" s="228"/>
      <c r="AY980" s="228"/>
      <c r="AZ980" s="228"/>
      <c r="BA980" s="228"/>
      <c r="BB980" s="228"/>
      <c r="BC980" s="228"/>
      <c r="BD980" s="228"/>
      <c r="BE980" s="228"/>
      <c r="BF980" s="228"/>
      <c r="BG980" s="228"/>
      <c r="BH980" s="228"/>
      <c r="BI980" s="228"/>
      <c r="BJ980" s="228"/>
      <c r="BK980" s="228"/>
      <c r="BL980" s="228"/>
      <c r="BM980" s="228"/>
      <c r="BN980" s="228"/>
      <c r="BO980" s="228"/>
      <c r="BP980" s="228"/>
      <c r="BQ980" s="228"/>
      <c r="BR980" s="228"/>
      <c r="BS980" s="228"/>
      <c r="BT980" s="228"/>
      <c r="BU980" s="228"/>
      <c r="BV980" s="228"/>
      <c r="BW980" s="228"/>
      <c r="BX980" s="228"/>
      <c r="BY980" s="228"/>
      <c r="BZ980" s="228"/>
      <c r="CA980" s="228"/>
      <c r="CB980" s="228"/>
      <c r="CC980" s="228"/>
      <c r="CD980" s="228"/>
      <c r="CE980" s="228"/>
      <c r="CF980" s="228"/>
      <c r="CG980" s="228"/>
      <c r="CH980" s="228"/>
      <c r="CI980" s="228"/>
      <c r="CJ980" s="228"/>
      <c r="CK980" s="228"/>
      <c r="CL980" s="228"/>
      <c r="CM980" s="228"/>
      <c r="CN980" s="228"/>
      <c r="CO980" s="228"/>
      <c r="CP980" s="228"/>
      <c r="CQ980" s="228"/>
      <c r="CR980" s="228"/>
      <c r="CS980" s="228"/>
      <c r="CT980" s="228"/>
      <c r="CU980" s="228"/>
      <c r="CV980" s="228"/>
      <c r="CW980" s="228"/>
      <c r="CX980" s="228"/>
      <c r="CY980" s="228"/>
      <c r="CZ980" s="228"/>
      <c r="DA980" s="228"/>
      <c r="DB980" s="228"/>
    </row>
    <row r="981" ht="12.0" customHeight="1">
      <c r="A981" s="228"/>
      <c r="B981" s="228"/>
      <c r="C981" s="228"/>
      <c r="D981" s="228"/>
      <c r="E981" s="228"/>
      <c r="F981" s="228"/>
      <c r="G981" s="228"/>
      <c r="H981" s="228"/>
      <c r="I981" s="228"/>
      <c r="J981" s="228"/>
      <c r="K981" s="228"/>
      <c r="L981" s="228"/>
      <c r="M981" s="228"/>
      <c r="N981" s="228"/>
      <c r="O981" s="228"/>
      <c r="P981" s="228"/>
      <c r="Q981" s="228"/>
      <c r="R981" s="228"/>
      <c r="S981" s="228"/>
      <c r="T981" s="228"/>
      <c r="U981" s="228"/>
      <c r="V981" s="228"/>
      <c r="W981" s="228"/>
      <c r="X981" s="228"/>
      <c r="Y981" s="228"/>
      <c r="Z981" s="228"/>
      <c r="AA981" s="228"/>
      <c r="AB981" s="228"/>
      <c r="AC981" s="228"/>
      <c r="AD981" s="228"/>
      <c r="AE981" s="228"/>
      <c r="AF981" s="228"/>
      <c r="AG981" s="228"/>
      <c r="AH981" s="228"/>
      <c r="AI981" s="228"/>
      <c r="AJ981" s="228"/>
      <c r="AK981" s="228"/>
      <c r="AL981" s="228"/>
      <c r="AM981" s="228"/>
      <c r="AN981" s="228"/>
      <c r="AO981" s="228"/>
      <c r="AP981" s="228"/>
      <c r="AQ981" s="228"/>
      <c r="AR981" s="228"/>
      <c r="AS981" s="228"/>
      <c r="AT981" s="228"/>
      <c r="AU981" s="228"/>
      <c r="AV981" s="228"/>
      <c r="AW981" s="228"/>
      <c r="AX981" s="228"/>
      <c r="AY981" s="228"/>
      <c r="AZ981" s="228"/>
      <c r="BA981" s="228"/>
      <c r="BB981" s="228"/>
      <c r="BC981" s="228"/>
      <c r="BD981" s="228"/>
      <c r="BE981" s="228"/>
      <c r="BF981" s="228"/>
      <c r="BG981" s="228"/>
      <c r="BH981" s="228"/>
      <c r="BI981" s="228"/>
      <c r="BJ981" s="228"/>
      <c r="BK981" s="228"/>
      <c r="BL981" s="228"/>
      <c r="BM981" s="228"/>
      <c r="BN981" s="228"/>
      <c r="BO981" s="228"/>
      <c r="BP981" s="228"/>
      <c r="BQ981" s="228"/>
      <c r="BR981" s="228"/>
      <c r="BS981" s="228"/>
      <c r="BT981" s="228"/>
      <c r="BU981" s="228"/>
      <c r="BV981" s="228"/>
      <c r="BW981" s="228"/>
      <c r="BX981" s="228"/>
      <c r="BY981" s="228"/>
      <c r="BZ981" s="228"/>
      <c r="CA981" s="228"/>
      <c r="CB981" s="228"/>
      <c r="CC981" s="228"/>
      <c r="CD981" s="228"/>
      <c r="CE981" s="228"/>
      <c r="CF981" s="228"/>
      <c r="CG981" s="228"/>
      <c r="CH981" s="228"/>
      <c r="CI981" s="228"/>
      <c r="CJ981" s="228"/>
      <c r="CK981" s="228"/>
      <c r="CL981" s="228"/>
      <c r="CM981" s="228"/>
      <c r="CN981" s="228"/>
      <c r="CO981" s="228"/>
      <c r="CP981" s="228"/>
      <c r="CQ981" s="228"/>
      <c r="CR981" s="228"/>
      <c r="CS981" s="228"/>
      <c r="CT981" s="228"/>
      <c r="CU981" s="228"/>
      <c r="CV981" s="228"/>
      <c r="CW981" s="228"/>
      <c r="CX981" s="228"/>
      <c r="CY981" s="228"/>
      <c r="CZ981" s="228"/>
      <c r="DA981" s="228"/>
      <c r="DB981" s="228"/>
    </row>
    <row r="982" ht="12.0" customHeight="1">
      <c r="A982" s="228"/>
      <c r="B982" s="228"/>
      <c r="C982" s="228"/>
      <c r="D982" s="228"/>
      <c r="E982" s="228"/>
      <c r="F982" s="228"/>
      <c r="G982" s="228"/>
      <c r="H982" s="228"/>
      <c r="I982" s="228"/>
      <c r="J982" s="228"/>
      <c r="K982" s="228"/>
      <c r="L982" s="228"/>
      <c r="M982" s="228"/>
      <c r="N982" s="228"/>
      <c r="O982" s="228"/>
      <c r="P982" s="228"/>
      <c r="Q982" s="228"/>
      <c r="R982" s="228"/>
      <c r="S982" s="228"/>
      <c r="T982" s="228"/>
      <c r="U982" s="228"/>
      <c r="V982" s="228"/>
      <c r="W982" s="228"/>
      <c r="X982" s="228"/>
      <c r="Y982" s="228"/>
      <c r="Z982" s="228"/>
      <c r="AA982" s="228"/>
      <c r="AB982" s="228"/>
      <c r="AC982" s="228"/>
      <c r="AD982" s="228"/>
      <c r="AE982" s="228"/>
      <c r="AF982" s="228"/>
      <c r="AG982" s="228"/>
      <c r="AH982" s="228"/>
      <c r="AI982" s="228"/>
      <c r="AJ982" s="228"/>
      <c r="AK982" s="228"/>
      <c r="AL982" s="228"/>
      <c r="AM982" s="228"/>
      <c r="AN982" s="228"/>
      <c r="AO982" s="228"/>
      <c r="AP982" s="228"/>
      <c r="AQ982" s="228"/>
      <c r="AR982" s="228"/>
      <c r="AS982" s="228"/>
      <c r="AT982" s="228"/>
      <c r="AU982" s="228"/>
      <c r="AV982" s="228"/>
      <c r="AW982" s="228"/>
      <c r="AX982" s="228"/>
      <c r="AY982" s="228"/>
      <c r="AZ982" s="228"/>
      <c r="BA982" s="228"/>
      <c r="BB982" s="228"/>
      <c r="BC982" s="228"/>
      <c r="BD982" s="228"/>
      <c r="BE982" s="228"/>
      <c r="BF982" s="228"/>
      <c r="BG982" s="228"/>
      <c r="BH982" s="228"/>
      <c r="BI982" s="228"/>
      <c r="BJ982" s="228"/>
      <c r="BK982" s="228"/>
      <c r="BL982" s="228"/>
      <c r="BM982" s="228"/>
      <c r="BN982" s="228"/>
      <c r="BO982" s="228"/>
      <c r="BP982" s="228"/>
      <c r="BQ982" s="228"/>
      <c r="BR982" s="228"/>
      <c r="BS982" s="228"/>
      <c r="BT982" s="228"/>
      <c r="BU982" s="228"/>
      <c r="BV982" s="228"/>
      <c r="BW982" s="228"/>
      <c r="BX982" s="228"/>
      <c r="BY982" s="228"/>
      <c r="BZ982" s="228"/>
      <c r="CA982" s="228"/>
      <c r="CB982" s="228"/>
      <c r="CC982" s="228"/>
      <c r="CD982" s="228"/>
      <c r="CE982" s="228"/>
      <c r="CF982" s="228"/>
      <c r="CG982" s="228"/>
      <c r="CH982" s="228"/>
      <c r="CI982" s="228"/>
      <c r="CJ982" s="228"/>
      <c r="CK982" s="228"/>
      <c r="CL982" s="228"/>
      <c r="CM982" s="228"/>
      <c r="CN982" s="228"/>
      <c r="CO982" s="228"/>
      <c r="CP982" s="228"/>
      <c r="CQ982" s="228"/>
      <c r="CR982" s="228"/>
      <c r="CS982" s="228"/>
      <c r="CT982" s="228"/>
      <c r="CU982" s="228"/>
      <c r="CV982" s="228"/>
      <c r="CW982" s="228"/>
      <c r="CX982" s="228"/>
      <c r="CY982" s="228"/>
      <c r="CZ982" s="228"/>
      <c r="DA982" s="228"/>
      <c r="DB982" s="228"/>
    </row>
    <row r="983" ht="12.0" customHeight="1">
      <c r="A983" s="228"/>
      <c r="B983" s="228"/>
      <c r="C983" s="228"/>
      <c r="D983" s="228"/>
      <c r="E983" s="228"/>
      <c r="F983" s="228"/>
      <c r="G983" s="228"/>
      <c r="H983" s="228"/>
      <c r="I983" s="228"/>
      <c r="J983" s="228"/>
      <c r="K983" s="228"/>
      <c r="L983" s="228"/>
      <c r="M983" s="228"/>
      <c r="N983" s="228"/>
      <c r="O983" s="228"/>
      <c r="P983" s="228"/>
      <c r="Q983" s="228"/>
      <c r="R983" s="228"/>
      <c r="S983" s="228"/>
      <c r="T983" s="228"/>
      <c r="U983" s="228"/>
      <c r="V983" s="228"/>
      <c r="W983" s="228"/>
      <c r="X983" s="228"/>
      <c r="Y983" s="228"/>
      <c r="Z983" s="228"/>
      <c r="AA983" s="228"/>
      <c r="AB983" s="228"/>
      <c r="AC983" s="228"/>
      <c r="AD983" s="228"/>
      <c r="AE983" s="228"/>
      <c r="AF983" s="228"/>
      <c r="AG983" s="228"/>
      <c r="AH983" s="228"/>
      <c r="AI983" s="228"/>
      <c r="AJ983" s="228"/>
      <c r="AK983" s="228"/>
      <c r="AL983" s="228"/>
      <c r="AM983" s="228"/>
      <c r="AN983" s="228"/>
      <c r="AO983" s="228"/>
      <c r="AP983" s="228"/>
      <c r="AQ983" s="228"/>
      <c r="AR983" s="228"/>
      <c r="AS983" s="228"/>
      <c r="AT983" s="228"/>
      <c r="AU983" s="228"/>
      <c r="AV983" s="228"/>
      <c r="AW983" s="228"/>
      <c r="AX983" s="228"/>
      <c r="AY983" s="228"/>
      <c r="AZ983" s="228"/>
      <c r="BA983" s="228"/>
      <c r="BB983" s="228"/>
      <c r="BC983" s="228"/>
      <c r="BD983" s="228"/>
      <c r="BE983" s="228"/>
      <c r="BF983" s="228"/>
      <c r="BG983" s="228"/>
      <c r="BH983" s="228"/>
      <c r="BI983" s="228"/>
      <c r="BJ983" s="228"/>
      <c r="BK983" s="228"/>
      <c r="BL983" s="228"/>
      <c r="BM983" s="228"/>
      <c r="BN983" s="228"/>
      <c r="BO983" s="228"/>
      <c r="BP983" s="228"/>
      <c r="BQ983" s="228"/>
      <c r="BR983" s="228"/>
      <c r="BS983" s="228"/>
      <c r="BT983" s="228"/>
      <c r="BU983" s="228"/>
      <c r="BV983" s="228"/>
      <c r="BW983" s="228"/>
      <c r="BX983" s="228"/>
      <c r="BY983" s="228"/>
      <c r="BZ983" s="228"/>
      <c r="CA983" s="228"/>
      <c r="CB983" s="228"/>
      <c r="CC983" s="228"/>
      <c r="CD983" s="228"/>
      <c r="CE983" s="228"/>
      <c r="CF983" s="228"/>
      <c r="CG983" s="228"/>
      <c r="CH983" s="228"/>
      <c r="CI983" s="228"/>
      <c r="CJ983" s="228"/>
      <c r="CK983" s="228"/>
      <c r="CL983" s="228"/>
      <c r="CM983" s="228"/>
      <c r="CN983" s="228"/>
      <c r="CO983" s="228"/>
      <c r="CP983" s="228"/>
      <c r="CQ983" s="228"/>
      <c r="CR983" s="228"/>
      <c r="CS983" s="228"/>
      <c r="CT983" s="228"/>
      <c r="CU983" s="228"/>
      <c r="CV983" s="228"/>
      <c r="CW983" s="228"/>
      <c r="CX983" s="228"/>
      <c r="CY983" s="228"/>
      <c r="CZ983" s="228"/>
      <c r="DA983" s="228"/>
      <c r="DB983" s="228"/>
    </row>
    <row r="984" ht="12.0" customHeight="1">
      <c r="A984" s="228"/>
      <c r="B984" s="228"/>
      <c r="C984" s="228"/>
      <c r="D984" s="228"/>
      <c r="E984" s="228"/>
      <c r="F984" s="228"/>
      <c r="G984" s="228"/>
      <c r="H984" s="228"/>
      <c r="I984" s="228"/>
      <c r="J984" s="228"/>
      <c r="K984" s="228"/>
      <c r="L984" s="228"/>
      <c r="M984" s="228"/>
      <c r="N984" s="228"/>
      <c r="O984" s="228"/>
      <c r="P984" s="228"/>
      <c r="Q984" s="228"/>
      <c r="R984" s="228"/>
      <c r="S984" s="228"/>
      <c r="T984" s="228"/>
      <c r="U984" s="228"/>
      <c r="V984" s="228"/>
      <c r="W984" s="228"/>
      <c r="X984" s="228"/>
      <c r="Y984" s="228"/>
      <c r="Z984" s="228"/>
      <c r="AA984" s="228"/>
      <c r="AB984" s="228"/>
      <c r="AC984" s="228"/>
      <c r="AD984" s="228"/>
      <c r="AE984" s="228"/>
      <c r="AF984" s="228"/>
      <c r="AG984" s="228"/>
      <c r="AH984" s="228"/>
      <c r="AI984" s="228"/>
      <c r="AJ984" s="228"/>
      <c r="AK984" s="228"/>
      <c r="AL984" s="228"/>
      <c r="AM984" s="228"/>
      <c r="AN984" s="228"/>
      <c r="AO984" s="228"/>
      <c r="AP984" s="228"/>
      <c r="AQ984" s="228"/>
      <c r="AR984" s="228"/>
      <c r="AS984" s="228"/>
      <c r="AT984" s="228"/>
      <c r="AU984" s="228"/>
      <c r="AV984" s="228"/>
      <c r="AW984" s="228"/>
      <c r="AX984" s="228"/>
      <c r="AY984" s="228"/>
      <c r="AZ984" s="228"/>
      <c r="BA984" s="228"/>
      <c r="BB984" s="228"/>
      <c r="BC984" s="228"/>
      <c r="BD984" s="228"/>
      <c r="BE984" s="228"/>
      <c r="BF984" s="228"/>
      <c r="BG984" s="228"/>
      <c r="BH984" s="228"/>
      <c r="BI984" s="228"/>
      <c r="BJ984" s="228"/>
      <c r="BK984" s="228"/>
      <c r="BL984" s="228"/>
      <c r="BM984" s="228"/>
      <c r="BN984" s="228"/>
      <c r="BO984" s="228"/>
      <c r="BP984" s="228"/>
      <c r="BQ984" s="228"/>
      <c r="BR984" s="228"/>
      <c r="BS984" s="228"/>
      <c r="BT984" s="228"/>
      <c r="BU984" s="228"/>
      <c r="BV984" s="228"/>
      <c r="BW984" s="228"/>
      <c r="BX984" s="228"/>
      <c r="BY984" s="228"/>
      <c r="BZ984" s="228"/>
      <c r="CA984" s="228"/>
      <c r="CB984" s="228"/>
      <c r="CC984" s="228"/>
      <c r="CD984" s="228"/>
      <c r="CE984" s="228"/>
      <c r="CF984" s="228"/>
      <c r="CG984" s="228"/>
      <c r="CH984" s="228"/>
      <c r="CI984" s="228"/>
      <c r="CJ984" s="228"/>
      <c r="CK984" s="228"/>
      <c r="CL984" s="228"/>
      <c r="CM984" s="228"/>
      <c r="CN984" s="228"/>
      <c r="CO984" s="228"/>
      <c r="CP984" s="228"/>
      <c r="CQ984" s="228"/>
      <c r="CR984" s="228"/>
      <c r="CS984" s="228"/>
      <c r="CT984" s="228"/>
      <c r="CU984" s="228"/>
      <c r="CV984" s="228"/>
      <c r="CW984" s="228"/>
      <c r="CX984" s="228"/>
      <c r="CY984" s="228"/>
      <c r="CZ984" s="228"/>
      <c r="DA984" s="228"/>
      <c r="DB984" s="228"/>
    </row>
    <row r="985" ht="12.0" customHeight="1">
      <c r="A985" s="228"/>
      <c r="B985" s="228"/>
      <c r="C985" s="228"/>
      <c r="D985" s="228"/>
      <c r="E985" s="228"/>
      <c r="F985" s="228"/>
      <c r="G985" s="228"/>
      <c r="H985" s="228"/>
      <c r="I985" s="228"/>
      <c r="J985" s="228"/>
      <c r="K985" s="228"/>
      <c r="L985" s="228"/>
      <c r="M985" s="228"/>
      <c r="N985" s="228"/>
      <c r="O985" s="228"/>
      <c r="P985" s="228"/>
      <c r="Q985" s="228"/>
      <c r="R985" s="228"/>
      <c r="S985" s="228"/>
      <c r="T985" s="228"/>
      <c r="U985" s="228"/>
      <c r="V985" s="228"/>
      <c r="W985" s="228"/>
      <c r="X985" s="228"/>
      <c r="Y985" s="228"/>
      <c r="Z985" s="228"/>
      <c r="AA985" s="228"/>
      <c r="AB985" s="228"/>
      <c r="AC985" s="228"/>
      <c r="AD985" s="228"/>
      <c r="AE985" s="228"/>
      <c r="AF985" s="228"/>
      <c r="AG985" s="228"/>
      <c r="AH985" s="228"/>
      <c r="AI985" s="228"/>
      <c r="AJ985" s="228"/>
      <c r="AK985" s="228"/>
      <c r="AL985" s="228"/>
      <c r="AM985" s="228"/>
      <c r="AN985" s="228"/>
      <c r="AO985" s="228"/>
      <c r="AP985" s="228"/>
      <c r="AQ985" s="228"/>
      <c r="AR985" s="228"/>
      <c r="AS985" s="228"/>
      <c r="AT985" s="228"/>
      <c r="AU985" s="228"/>
      <c r="AV985" s="228"/>
      <c r="AW985" s="228"/>
      <c r="AX985" s="228"/>
      <c r="AY985" s="228"/>
      <c r="AZ985" s="228"/>
      <c r="BA985" s="228"/>
      <c r="BB985" s="228"/>
      <c r="BC985" s="228"/>
      <c r="BD985" s="228"/>
      <c r="BE985" s="228"/>
      <c r="BF985" s="228"/>
      <c r="BG985" s="228"/>
      <c r="BH985" s="228"/>
      <c r="BI985" s="228"/>
      <c r="BJ985" s="228"/>
      <c r="BK985" s="228"/>
      <c r="BL985" s="228"/>
      <c r="BM985" s="228"/>
      <c r="BN985" s="228"/>
      <c r="BO985" s="228"/>
      <c r="BP985" s="228"/>
      <c r="BQ985" s="228"/>
      <c r="BR985" s="228"/>
      <c r="BS985" s="228"/>
      <c r="BT985" s="228"/>
      <c r="BU985" s="228"/>
      <c r="BV985" s="228"/>
      <c r="BW985" s="228"/>
      <c r="BX985" s="228"/>
      <c r="BY985" s="228"/>
      <c r="BZ985" s="228"/>
      <c r="CA985" s="228"/>
      <c r="CB985" s="228"/>
      <c r="CC985" s="228"/>
      <c r="CD985" s="228"/>
      <c r="CE985" s="228"/>
      <c r="CF985" s="228"/>
      <c r="CG985" s="228"/>
      <c r="CH985" s="228"/>
      <c r="CI985" s="228"/>
      <c r="CJ985" s="228"/>
      <c r="CK985" s="228"/>
      <c r="CL985" s="228"/>
      <c r="CM985" s="228"/>
      <c r="CN985" s="228"/>
      <c r="CO985" s="228"/>
      <c r="CP985" s="228"/>
      <c r="CQ985" s="228"/>
      <c r="CR985" s="228"/>
      <c r="CS985" s="228"/>
      <c r="CT985" s="228"/>
      <c r="CU985" s="228"/>
      <c r="CV985" s="228"/>
      <c r="CW985" s="228"/>
      <c r="CX985" s="228"/>
      <c r="CY985" s="228"/>
      <c r="CZ985" s="228"/>
      <c r="DA985" s="228"/>
      <c r="DB985" s="228"/>
    </row>
    <row r="986" ht="12.0" customHeight="1">
      <c r="A986" s="228"/>
      <c r="B986" s="228"/>
      <c r="C986" s="228"/>
      <c r="D986" s="228"/>
      <c r="E986" s="228"/>
      <c r="F986" s="228"/>
      <c r="G986" s="228"/>
      <c r="H986" s="228"/>
      <c r="I986" s="228"/>
      <c r="J986" s="228"/>
      <c r="K986" s="228"/>
      <c r="L986" s="228"/>
      <c r="M986" s="228"/>
      <c r="N986" s="228"/>
      <c r="O986" s="228"/>
      <c r="P986" s="228"/>
      <c r="Q986" s="228"/>
      <c r="R986" s="228"/>
      <c r="S986" s="228"/>
      <c r="T986" s="228"/>
      <c r="U986" s="228"/>
      <c r="V986" s="228"/>
      <c r="W986" s="228"/>
      <c r="X986" s="228"/>
      <c r="Y986" s="228"/>
      <c r="Z986" s="228"/>
      <c r="AA986" s="228"/>
      <c r="AB986" s="228"/>
      <c r="AC986" s="228"/>
      <c r="AD986" s="228"/>
      <c r="AE986" s="228"/>
      <c r="AF986" s="228"/>
      <c r="AG986" s="228"/>
      <c r="AH986" s="228"/>
      <c r="AI986" s="228"/>
      <c r="AJ986" s="228"/>
      <c r="AK986" s="228"/>
      <c r="AL986" s="228"/>
      <c r="AM986" s="228"/>
      <c r="AN986" s="228"/>
      <c r="AO986" s="228"/>
      <c r="AP986" s="228"/>
      <c r="AQ986" s="228"/>
      <c r="AR986" s="228"/>
      <c r="AS986" s="228"/>
      <c r="AT986" s="228"/>
      <c r="AU986" s="228"/>
      <c r="AV986" s="228"/>
      <c r="AW986" s="228"/>
      <c r="AX986" s="228"/>
      <c r="AY986" s="228"/>
      <c r="AZ986" s="228"/>
      <c r="BA986" s="228"/>
      <c r="BB986" s="228"/>
      <c r="BC986" s="228"/>
      <c r="BD986" s="228"/>
      <c r="BE986" s="228"/>
      <c r="BF986" s="228"/>
      <c r="BG986" s="228"/>
      <c r="BH986" s="228"/>
      <c r="BI986" s="228"/>
      <c r="BJ986" s="228"/>
      <c r="BK986" s="228"/>
      <c r="BL986" s="228"/>
      <c r="BM986" s="228"/>
      <c r="BN986" s="228"/>
      <c r="BO986" s="228"/>
      <c r="BP986" s="228"/>
      <c r="BQ986" s="228"/>
      <c r="BR986" s="228"/>
      <c r="BS986" s="228"/>
      <c r="BT986" s="228"/>
      <c r="BU986" s="228"/>
      <c r="BV986" s="228"/>
      <c r="BW986" s="228"/>
      <c r="BX986" s="228"/>
      <c r="BY986" s="228"/>
      <c r="BZ986" s="228"/>
      <c r="CA986" s="228"/>
      <c r="CB986" s="228"/>
      <c r="CC986" s="228"/>
      <c r="CD986" s="228"/>
      <c r="CE986" s="228"/>
      <c r="CF986" s="228"/>
      <c r="CG986" s="228"/>
      <c r="CH986" s="228"/>
      <c r="CI986" s="228"/>
      <c r="CJ986" s="228"/>
      <c r="CK986" s="228"/>
      <c r="CL986" s="228"/>
      <c r="CM986" s="228"/>
      <c r="CN986" s="228"/>
      <c r="CO986" s="228"/>
      <c r="CP986" s="228"/>
      <c r="CQ986" s="228"/>
      <c r="CR986" s="228"/>
      <c r="CS986" s="228"/>
      <c r="CT986" s="228"/>
      <c r="CU986" s="228"/>
      <c r="CV986" s="228"/>
      <c r="CW986" s="228"/>
      <c r="CX986" s="228"/>
      <c r="CY986" s="228"/>
      <c r="CZ986" s="228"/>
      <c r="DA986" s="228"/>
      <c r="DB986" s="228"/>
    </row>
    <row r="987" ht="12.0" customHeight="1">
      <c r="A987" s="228"/>
      <c r="B987" s="228"/>
      <c r="C987" s="228"/>
      <c r="D987" s="228"/>
      <c r="E987" s="228"/>
      <c r="F987" s="228"/>
      <c r="G987" s="228"/>
      <c r="H987" s="228"/>
      <c r="I987" s="228"/>
      <c r="J987" s="228"/>
      <c r="K987" s="228"/>
      <c r="L987" s="228"/>
      <c r="M987" s="228"/>
      <c r="N987" s="228"/>
      <c r="O987" s="228"/>
      <c r="P987" s="228"/>
      <c r="Q987" s="228"/>
      <c r="R987" s="228"/>
      <c r="S987" s="228"/>
      <c r="T987" s="228"/>
      <c r="U987" s="228"/>
      <c r="V987" s="228"/>
      <c r="W987" s="228"/>
      <c r="X987" s="228"/>
      <c r="Y987" s="228"/>
      <c r="Z987" s="228"/>
      <c r="AA987" s="228"/>
      <c r="AB987" s="228"/>
      <c r="AC987" s="228"/>
      <c r="AD987" s="228"/>
      <c r="AE987" s="228"/>
      <c r="AF987" s="228"/>
      <c r="AG987" s="228"/>
      <c r="AH987" s="228"/>
      <c r="AI987" s="228"/>
      <c r="AJ987" s="228"/>
      <c r="AK987" s="228"/>
      <c r="AL987" s="228"/>
      <c r="AM987" s="228"/>
      <c r="AN987" s="228"/>
      <c r="AO987" s="228"/>
      <c r="AP987" s="228"/>
      <c r="AQ987" s="228"/>
      <c r="AR987" s="228"/>
      <c r="AS987" s="228"/>
      <c r="AT987" s="228"/>
      <c r="AU987" s="228"/>
      <c r="AV987" s="228"/>
      <c r="AW987" s="228"/>
      <c r="AX987" s="228"/>
      <c r="AY987" s="228"/>
      <c r="AZ987" s="228"/>
      <c r="BA987" s="228"/>
      <c r="BB987" s="228"/>
      <c r="BC987" s="228"/>
      <c r="BD987" s="228"/>
      <c r="BE987" s="228"/>
      <c r="BF987" s="228"/>
      <c r="BG987" s="228"/>
      <c r="BH987" s="228"/>
      <c r="BI987" s="228"/>
      <c r="BJ987" s="228"/>
      <c r="BK987" s="228"/>
      <c r="BL987" s="228"/>
      <c r="BM987" s="228"/>
      <c r="BN987" s="228"/>
      <c r="BO987" s="228"/>
      <c r="BP987" s="228"/>
      <c r="BQ987" s="228"/>
      <c r="BR987" s="228"/>
      <c r="BS987" s="228"/>
      <c r="BT987" s="228"/>
      <c r="BU987" s="228"/>
      <c r="BV987" s="228"/>
      <c r="BW987" s="228"/>
      <c r="BX987" s="228"/>
      <c r="BY987" s="228"/>
      <c r="BZ987" s="228"/>
      <c r="CA987" s="228"/>
      <c r="CB987" s="228"/>
      <c r="CC987" s="228"/>
      <c r="CD987" s="228"/>
      <c r="CE987" s="228"/>
      <c r="CF987" s="228"/>
      <c r="CG987" s="228"/>
      <c r="CH987" s="228"/>
      <c r="CI987" s="228"/>
      <c r="CJ987" s="228"/>
      <c r="CK987" s="228"/>
      <c r="CL987" s="228"/>
      <c r="CM987" s="228"/>
      <c r="CN987" s="228"/>
      <c r="CO987" s="228"/>
      <c r="CP987" s="228"/>
      <c r="CQ987" s="228"/>
      <c r="CR987" s="228"/>
      <c r="CS987" s="228"/>
      <c r="CT987" s="228"/>
      <c r="CU987" s="228"/>
      <c r="CV987" s="228"/>
      <c r="CW987" s="228"/>
      <c r="CX987" s="228"/>
      <c r="CY987" s="228"/>
      <c r="CZ987" s="228"/>
      <c r="DA987" s="228"/>
      <c r="DB987" s="228"/>
    </row>
    <row r="988" ht="12.0" customHeight="1">
      <c r="A988" s="228"/>
      <c r="B988" s="228"/>
      <c r="C988" s="228"/>
      <c r="D988" s="228"/>
      <c r="E988" s="228"/>
      <c r="F988" s="228"/>
      <c r="G988" s="228"/>
      <c r="H988" s="228"/>
      <c r="I988" s="228"/>
      <c r="J988" s="228"/>
      <c r="K988" s="228"/>
      <c r="L988" s="228"/>
      <c r="M988" s="228"/>
      <c r="N988" s="228"/>
      <c r="O988" s="228"/>
      <c r="P988" s="228"/>
      <c r="Q988" s="228"/>
      <c r="R988" s="228"/>
      <c r="S988" s="228"/>
      <c r="T988" s="228"/>
      <c r="U988" s="228"/>
      <c r="V988" s="228"/>
      <c r="W988" s="228"/>
      <c r="X988" s="228"/>
      <c r="Y988" s="228"/>
      <c r="Z988" s="228"/>
      <c r="AA988" s="228"/>
      <c r="AB988" s="228"/>
      <c r="AC988" s="228"/>
      <c r="AD988" s="228"/>
      <c r="AE988" s="228"/>
      <c r="AF988" s="228"/>
      <c r="AG988" s="228"/>
      <c r="AH988" s="228"/>
      <c r="AI988" s="228"/>
      <c r="AJ988" s="228"/>
      <c r="AK988" s="228"/>
      <c r="AL988" s="228"/>
      <c r="AM988" s="228"/>
      <c r="AN988" s="228"/>
      <c r="AO988" s="228"/>
      <c r="AP988" s="228"/>
      <c r="AQ988" s="228"/>
      <c r="AR988" s="228"/>
      <c r="AS988" s="228"/>
      <c r="AT988" s="228"/>
      <c r="AU988" s="228"/>
      <c r="AV988" s="228"/>
      <c r="AW988" s="228"/>
      <c r="AX988" s="228"/>
      <c r="AY988" s="228"/>
      <c r="AZ988" s="228"/>
      <c r="BA988" s="228"/>
      <c r="BB988" s="228"/>
      <c r="BC988" s="228"/>
      <c r="BD988" s="228"/>
      <c r="BE988" s="228"/>
      <c r="BF988" s="228"/>
      <c r="BG988" s="228"/>
      <c r="BH988" s="228"/>
      <c r="BI988" s="228"/>
      <c r="BJ988" s="228"/>
      <c r="BK988" s="228"/>
      <c r="BL988" s="228"/>
      <c r="BM988" s="228"/>
      <c r="BN988" s="228"/>
      <c r="BO988" s="228"/>
      <c r="BP988" s="228"/>
      <c r="BQ988" s="228"/>
      <c r="BR988" s="228"/>
      <c r="BS988" s="228"/>
      <c r="BT988" s="228"/>
      <c r="BU988" s="228"/>
      <c r="BV988" s="228"/>
      <c r="BW988" s="228"/>
      <c r="BX988" s="228"/>
      <c r="BY988" s="228"/>
      <c r="BZ988" s="228"/>
      <c r="CA988" s="228"/>
      <c r="CB988" s="228"/>
      <c r="CC988" s="228"/>
      <c r="CD988" s="228"/>
      <c r="CE988" s="228"/>
      <c r="CF988" s="228"/>
      <c r="CG988" s="228"/>
      <c r="CH988" s="228"/>
      <c r="CI988" s="228"/>
      <c r="CJ988" s="228"/>
      <c r="CK988" s="228"/>
      <c r="CL988" s="228"/>
      <c r="CM988" s="228"/>
      <c r="CN988" s="228"/>
      <c r="CO988" s="228"/>
      <c r="CP988" s="228"/>
      <c r="CQ988" s="228"/>
      <c r="CR988" s="228"/>
      <c r="CS988" s="228"/>
      <c r="CT988" s="228"/>
      <c r="CU988" s="228"/>
      <c r="CV988" s="228"/>
      <c r="CW988" s="228"/>
      <c r="CX988" s="228"/>
      <c r="CY988" s="228"/>
      <c r="CZ988" s="228"/>
      <c r="DA988" s="228"/>
      <c r="DB988" s="228"/>
    </row>
    <row r="989" ht="12.0" customHeight="1">
      <c r="A989" s="228"/>
      <c r="B989" s="228"/>
      <c r="C989" s="228"/>
      <c r="D989" s="228"/>
      <c r="E989" s="228"/>
      <c r="F989" s="228"/>
      <c r="G989" s="228"/>
      <c r="H989" s="228"/>
      <c r="I989" s="228"/>
      <c r="J989" s="228"/>
      <c r="K989" s="228"/>
      <c r="L989" s="228"/>
      <c r="M989" s="228"/>
      <c r="N989" s="228"/>
      <c r="O989" s="228"/>
      <c r="P989" s="228"/>
      <c r="Q989" s="228"/>
      <c r="R989" s="228"/>
      <c r="S989" s="228"/>
      <c r="T989" s="228"/>
      <c r="U989" s="228"/>
      <c r="V989" s="228"/>
      <c r="W989" s="228"/>
      <c r="X989" s="228"/>
      <c r="Y989" s="228"/>
      <c r="Z989" s="228"/>
      <c r="AA989" s="228"/>
      <c r="AB989" s="228"/>
      <c r="AC989" s="228"/>
      <c r="AD989" s="228"/>
      <c r="AE989" s="228"/>
      <c r="AF989" s="228"/>
      <c r="AG989" s="228"/>
      <c r="AH989" s="228"/>
      <c r="AI989" s="228"/>
      <c r="AJ989" s="228"/>
      <c r="AK989" s="228"/>
      <c r="AL989" s="228"/>
      <c r="AM989" s="228"/>
      <c r="AN989" s="228"/>
      <c r="AO989" s="228"/>
      <c r="AP989" s="228"/>
      <c r="AQ989" s="228"/>
      <c r="AR989" s="228"/>
      <c r="AS989" s="228"/>
      <c r="AT989" s="228"/>
      <c r="AU989" s="228"/>
      <c r="AV989" s="228"/>
      <c r="AW989" s="228"/>
      <c r="AX989" s="228"/>
      <c r="AY989" s="228"/>
      <c r="AZ989" s="228"/>
      <c r="BA989" s="228"/>
      <c r="BB989" s="228"/>
      <c r="BC989" s="228"/>
      <c r="BD989" s="228"/>
      <c r="BE989" s="228"/>
      <c r="BF989" s="228"/>
      <c r="BG989" s="228"/>
      <c r="BH989" s="228"/>
      <c r="BI989" s="228"/>
      <c r="BJ989" s="228"/>
      <c r="BK989" s="228"/>
      <c r="BL989" s="228"/>
      <c r="BM989" s="228"/>
      <c r="BN989" s="228"/>
      <c r="BO989" s="228"/>
      <c r="BP989" s="228"/>
      <c r="BQ989" s="228"/>
      <c r="BR989" s="228"/>
      <c r="BS989" s="228"/>
      <c r="BT989" s="228"/>
      <c r="BU989" s="228"/>
      <c r="BV989" s="228"/>
      <c r="BW989" s="228"/>
      <c r="BX989" s="228"/>
      <c r="BY989" s="228"/>
      <c r="BZ989" s="228"/>
      <c r="CA989" s="228"/>
      <c r="CB989" s="228"/>
      <c r="CC989" s="228"/>
      <c r="CD989" s="228"/>
      <c r="CE989" s="228"/>
      <c r="CF989" s="228"/>
      <c r="CG989" s="228"/>
      <c r="CH989" s="228"/>
      <c r="CI989" s="228"/>
      <c r="CJ989" s="228"/>
      <c r="CK989" s="228"/>
      <c r="CL989" s="228"/>
      <c r="CM989" s="228"/>
      <c r="CN989" s="228"/>
      <c r="CO989" s="228"/>
      <c r="CP989" s="228"/>
      <c r="CQ989" s="228"/>
      <c r="CR989" s="228"/>
      <c r="CS989" s="228"/>
      <c r="CT989" s="228"/>
      <c r="CU989" s="228"/>
      <c r="CV989" s="228"/>
      <c r="CW989" s="228"/>
      <c r="CX989" s="228"/>
      <c r="CY989" s="228"/>
      <c r="CZ989" s="228"/>
      <c r="DA989" s="228"/>
      <c r="DB989" s="228"/>
    </row>
    <row r="990" ht="12.0" customHeight="1">
      <c r="A990" s="228"/>
      <c r="B990" s="228"/>
      <c r="C990" s="228"/>
      <c r="D990" s="228"/>
      <c r="E990" s="228"/>
      <c r="F990" s="228"/>
      <c r="G990" s="228"/>
      <c r="H990" s="228"/>
      <c r="I990" s="228"/>
      <c r="J990" s="228"/>
      <c r="K990" s="228"/>
      <c r="L990" s="228"/>
      <c r="M990" s="228"/>
      <c r="N990" s="228"/>
      <c r="O990" s="228"/>
      <c r="P990" s="228"/>
      <c r="Q990" s="228"/>
      <c r="R990" s="228"/>
      <c r="S990" s="228"/>
      <c r="T990" s="228"/>
      <c r="U990" s="228"/>
      <c r="V990" s="228"/>
      <c r="W990" s="228"/>
      <c r="X990" s="228"/>
      <c r="Y990" s="228"/>
      <c r="Z990" s="228"/>
      <c r="AA990" s="228"/>
      <c r="AB990" s="228"/>
      <c r="AC990" s="228"/>
      <c r="AD990" s="228"/>
      <c r="AE990" s="228"/>
      <c r="AF990" s="228"/>
      <c r="AG990" s="228"/>
      <c r="AH990" s="228"/>
      <c r="AI990" s="228"/>
      <c r="AJ990" s="228"/>
      <c r="AK990" s="228"/>
      <c r="AL990" s="228"/>
      <c r="AM990" s="228"/>
      <c r="AN990" s="228"/>
      <c r="AO990" s="228"/>
      <c r="AP990" s="228"/>
      <c r="AQ990" s="228"/>
      <c r="AR990" s="228"/>
      <c r="AS990" s="228"/>
      <c r="AT990" s="228"/>
      <c r="AU990" s="228"/>
      <c r="AV990" s="228"/>
      <c r="AW990" s="228"/>
      <c r="AX990" s="228"/>
      <c r="AY990" s="228"/>
      <c r="AZ990" s="228"/>
      <c r="BA990" s="228"/>
      <c r="BB990" s="228"/>
      <c r="BC990" s="228"/>
      <c r="BD990" s="228"/>
      <c r="BE990" s="228"/>
      <c r="BF990" s="228"/>
      <c r="BG990" s="228"/>
      <c r="BH990" s="228"/>
      <c r="BI990" s="228"/>
      <c r="BJ990" s="228"/>
      <c r="BK990" s="228"/>
      <c r="BL990" s="228"/>
      <c r="BM990" s="228"/>
      <c r="BN990" s="228"/>
      <c r="BO990" s="228"/>
      <c r="BP990" s="228"/>
      <c r="BQ990" s="228"/>
      <c r="BR990" s="228"/>
      <c r="BS990" s="228"/>
      <c r="BT990" s="228"/>
      <c r="BU990" s="228"/>
      <c r="BV990" s="228"/>
      <c r="BW990" s="228"/>
      <c r="BX990" s="228"/>
      <c r="BY990" s="228"/>
      <c r="BZ990" s="228"/>
      <c r="CA990" s="228"/>
      <c r="CB990" s="228"/>
      <c r="CC990" s="228"/>
      <c r="CD990" s="228"/>
      <c r="CE990" s="228"/>
      <c r="CF990" s="228"/>
      <c r="CG990" s="228"/>
      <c r="CH990" s="228"/>
      <c r="CI990" s="228"/>
      <c r="CJ990" s="228"/>
      <c r="CK990" s="228"/>
      <c r="CL990" s="228"/>
      <c r="CM990" s="228"/>
      <c r="CN990" s="228"/>
      <c r="CO990" s="228"/>
      <c r="CP990" s="228"/>
      <c r="CQ990" s="228"/>
      <c r="CR990" s="228"/>
      <c r="CS990" s="228"/>
      <c r="CT990" s="228"/>
      <c r="CU990" s="228"/>
      <c r="CV990" s="228"/>
      <c r="CW990" s="228"/>
      <c r="CX990" s="228"/>
      <c r="CY990" s="228"/>
      <c r="CZ990" s="228"/>
      <c r="DA990" s="228"/>
      <c r="DB990" s="228"/>
    </row>
    <row r="991" ht="12.0" customHeight="1">
      <c r="A991" s="228"/>
      <c r="B991" s="228"/>
      <c r="C991" s="228"/>
      <c r="D991" s="228"/>
      <c r="E991" s="228"/>
      <c r="F991" s="228"/>
      <c r="G991" s="228"/>
      <c r="H991" s="228"/>
      <c r="I991" s="228"/>
      <c r="J991" s="228"/>
      <c r="K991" s="228"/>
      <c r="L991" s="228"/>
      <c r="M991" s="228"/>
      <c r="N991" s="228"/>
      <c r="O991" s="228"/>
      <c r="P991" s="228"/>
      <c r="Q991" s="228"/>
      <c r="R991" s="228"/>
      <c r="S991" s="228"/>
      <c r="T991" s="228"/>
      <c r="U991" s="228"/>
      <c r="V991" s="228"/>
      <c r="W991" s="228"/>
      <c r="X991" s="228"/>
      <c r="Y991" s="228"/>
      <c r="Z991" s="228"/>
      <c r="AA991" s="228"/>
      <c r="AB991" s="228"/>
      <c r="AC991" s="228"/>
      <c r="AD991" s="228"/>
      <c r="AE991" s="228"/>
      <c r="AF991" s="228"/>
      <c r="AG991" s="228"/>
      <c r="AH991" s="228"/>
      <c r="AI991" s="228"/>
      <c r="AJ991" s="228"/>
      <c r="AK991" s="228"/>
      <c r="AL991" s="228"/>
      <c r="AM991" s="228"/>
      <c r="AN991" s="228"/>
      <c r="AO991" s="228"/>
      <c r="AP991" s="228"/>
      <c r="AQ991" s="228"/>
      <c r="AR991" s="228"/>
      <c r="AS991" s="228"/>
      <c r="AT991" s="228"/>
      <c r="AU991" s="228"/>
      <c r="AV991" s="228"/>
      <c r="AW991" s="228"/>
      <c r="AX991" s="228"/>
      <c r="AY991" s="228"/>
      <c r="AZ991" s="228"/>
      <c r="BA991" s="228"/>
      <c r="BB991" s="228"/>
      <c r="BC991" s="228"/>
      <c r="BD991" s="228"/>
      <c r="BE991" s="228"/>
      <c r="BF991" s="228"/>
      <c r="BG991" s="228"/>
      <c r="BH991" s="228"/>
      <c r="BI991" s="228"/>
      <c r="BJ991" s="228"/>
      <c r="BK991" s="228"/>
      <c r="BL991" s="228"/>
      <c r="BM991" s="228"/>
      <c r="BN991" s="228"/>
      <c r="BO991" s="228"/>
      <c r="BP991" s="228"/>
      <c r="BQ991" s="228"/>
      <c r="BR991" s="228"/>
      <c r="BS991" s="228"/>
      <c r="BT991" s="228"/>
      <c r="BU991" s="228"/>
      <c r="BV991" s="228"/>
      <c r="BW991" s="228"/>
      <c r="BX991" s="228"/>
      <c r="BY991" s="228"/>
      <c r="BZ991" s="228"/>
      <c r="CA991" s="228"/>
      <c r="CB991" s="228"/>
      <c r="CC991" s="228"/>
      <c r="CD991" s="228"/>
      <c r="CE991" s="228"/>
      <c r="CF991" s="228"/>
      <c r="CG991" s="228"/>
      <c r="CH991" s="228"/>
      <c r="CI991" s="228"/>
      <c r="CJ991" s="228"/>
      <c r="CK991" s="228"/>
      <c r="CL991" s="228"/>
      <c r="CM991" s="228"/>
      <c r="CN991" s="228"/>
      <c r="CO991" s="228"/>
      <c r="CP991" s="228"/>
      <c r="CQ991" s="228"/>
      <c r="CR991" s="228"/>
      <c r="CS991" s="228"/>
      <c r="CT991" s="228"/>
      <c r="CU991" s="228"/>
      <c r="CV991" s="228"/>
      <c r="CW991" s="228"/>
      <c r="CX991" s="228"/>
      <c r="CY991" s="228"/>
      <c r="CZ991" s="228"/>
      <c r="DA991" s="228"/>
      <c r="DB991" s="228"/>
    </row>
    <row r="992" ht="12.0" customHeight="1">
      <c r="A992" s="228"/>
      <c r="B992" s="228"/>
      <c r="C992" s="228"/>
      <c r="D992" s="228"/>
      <c r="E992" s="228"/>
      <c r="F992" s="228"/>
      <c r="G992" s="228"/>
      <c r="H992" s="228"/>
      <c r="I992" s="228"/>
      <c r="J992" s="228"/>
      <c r="K992" s="228"/>
      <c r="L992" s="228"/>
      <c r="M992" s="228"/>
      <c r="N992" s="228"/>
      <c r="O992" s="228"/>
      <c r="P992" s="228"/>
      <c r="Q992" s="228"/>
      <c r="R992" s="228"/>
      <c r="S992" s="228"/>
      <c r="T992" s="228"/>
      <c r="U992" s="228"/>
      <c r="V992" s="228"/>
      <c r="W992" s="228"/>
      <c r="X992" s="228"/>
      <c r="Y992" s="228"/>
      <c r="Z992" s="228"/>
      <c r="AA992" s="228"/>
      <c r="AB992" s="228"/>
      <c r="AC992" s="228"/>
      <c r="AD992" s="228"/>
      <c r="AE992" s="228"/>
      <c r="AF992" s="228"/>
      <c r="AG992" s="228"/>
      <c r="AH992" s="228"/>
      <c r="AI992" s="228"/>
      <c r="AJ992" s="228"/>
      <c r="AK992" s="228"/>
      <c r="AL992" s="228"/>
      <c r="AM992" s="228"/>
      <c r="AN992" s="228"/>
      <c r="AO992" s="228"/>
      <c r="AP992" s="228"/>
      <c r="AQ992" s="228"/>
      <c r="AR992" s="228"/>
      <c r="AS992" s="228"/>
      <c r="AT992" s="228"/>
      <c r="AU992" s="228"/>
      <c r="AV992" s="228"/>
      <c r="AW992" s="228"/>
      <c r="AX992" s="228"/>
      <c r="AY992" s="228"/>
      <c r="AZ992" s="228"/>
      <c r="BA992" s="228"/>
      <c r="BB992" s="228"/>
      <c r="BC992" s="228"/>
      <c r="BD992" s="228"/>
      <c r="BE992" s="228"/>
      <c r="BF992" s="228"/>
      <c r="BG992" s="228"/>
      <c r="BH992" s="228"/>
      <c r="BI992" s="228"/>
      <c r="BJ992" s="228"/>
      <c r="BK992" s="228"/>
      <c r="BL992" s="228"/>
      <c r="BM992" s="228"/>
      <c r="BN992" s="228"/>
      <c r="BO992" s="228"/>
      <c r="BP992" s="228"/>
      <c r="BQ992" s="228"/>
      <c r="BR992" s="228"/>
      <c r="BS992" s="228"/>
      <c r="BT992" s="228"/>
      <c r="BU992" s="228"/>
      <c r="BV992" s="228"/>
      <c r="BW992" s="228"/>
      <c r="BX992" s="228"/>
      <c r="BY992" s="228"/>
      <c r="BZ992" s="228"/>
      <c r="CA992" s="228"/>
      <c r="CB992" s="228"/>
      <c r="CC992" s="228"/>
      <c r="CD992" s="228"/>
      <c r="CE992" s="228"/>
      <c r="CF992" s="228"/>
      <c r="CG992" s="228"/>
      <c r="CH992" s="228"/>
      <c r="CI992" s="228"/>
      <c r="CJ992" s="228"/>
      <c r="CK992" s="228"/>
      <c r="CL992" s="228"/>
      <c r="CM992" s="228"/>
      <c r="CN992" s="228"/>
      <c r="CO992" s="228"/>
      <c r="CP992" s="228"/>
      <c r="CQ992" s="228"/>
      <c r="CR992" s="228"/>
      <c r="CS992" s="228"/>
      <c r="CT992" s="228"/>
      <c r="CU992" s="228"/>
      <c r="CV992" s="228"/>
      <c r="CW992" s="228"/>
      <c r="CX992" s="228"/>
      <c r="CY992" s="228"/>
      <c r="CZ992" s="228"/>
      <c r="DA992" s="228"/>
      <c r="DB992" s="228"/>
    </row>
    <row r="993" ht="12.0" customHeight="1">
      <c r="A993" s="228"/>
      <c r="B993" s="228"/>
      <c r="C993" s="228"/>
      <c r="D993" s="228"/>
      <c r="E993" s="228"/>
      <c r="F993" s="228"/>
      <c r="G993" s="228"/>
      <c r="H993" s="228"/>
      <c r="I993" s="228"/>
      <c r="J993" s="228"/>
      <c r="K993" s="228"/>
      <c r="L993" s="228"/>
      <c r="M993" s="228"/>
      <c r="N993" s="228"/>
      <c r="O993" s="228"/>
      <c r="P993" s="228"/>
      <c r="Q993" s="228"/>
      <c r="R993" s="228"/>
      <c r="S993" s="228"/>
      <c r="T993" s="228"/>
      <c r="U993" s="228"/>
      <c r="V993" s="228"/>
      <c r="W993" s="228"/>
      <c r="X993" s="228"/>
      <c r="Y993" s="228"/>
      <c r="Z993" s="228"/>
      <c r="AA993" s="228"/>
      <c r="AB993" s="228"/>
      <c r="AC993" s="228"/>
      <c r="AD993" s="228"/>
      <c r="AE993" s="228"/>
      <c r="AF993" s="228"/>
      <c r="AG993" s="228"/>
      <c r="AH993" s="228"/>
      <c r="AI993" s="228"/>
      <c r="AJ993" s="228"/>
      <c r="AK993" s="228"/>
      <c r="AL993" s="228"/>
      <c r="AM993" s="228"/>
      <c r="AN993" s="228"/>
      <c r="AO993" s="228"/>
      <c r="AP993" s="228"/>
      <c r="AQ993" s="228"/>
      <c r="AR993" s="228"/>
      <c r="AS993" s="228"/>
      <c r="AT993" s="228"/>
      <c r="AU993" s="228"/>
      <c r="AV993" s="228"/>
      <c r="AW993" s="228"/>
      <c r="AX993" s="228"/>
      <c r="AY993" s="228"/>
      <c r="AZ993" s="228"/>
      <c r="BA993" s="228"/>
      <c r="BB993" s="228"/>
      <c r="BC993" s="228"/>
      <c r="BD993" s="228"/>
      <c r="BE993" s="228"/>
      <c r="BF993" s="228"/>
      <c r="BG993" s="228"/>
      <c r="BH993" s="228"/>
      <c r="BI993" s="228"/>
      <c r="BJ993" s="228"/>
      <c r="BK993" s="228"/>
      <c r="BL993" s="228"/>
      <c r="BM993" s="228"/>
      <c r="BN993" s="228"/>
      <c r="BO993" s="228"/>
      <c r="BP993" s="228"/>
      <c r="BQ993" s="228"/>
      <c r="BR993" s="228"/>
      <c r="BS993" s="228"/>
      <c r="BT993" s="228"/>
      <c r="BU993" s="228"/>
      <c r="BV993" s="228"/>
      <c r="BW993" s="228"/>
      <c r="BX993" s="228"/>
      <c r="BY993" s="228"/>
      <c r="BZ993" s="228"/>
      <c r="CA993" s="228"/>
      <c r="CB993" s="228"/>
      <c r="CC993" s="228"/>
      <c r="CD993" s="228"/>
      <c r="CE993" s="228"/>
      <c r="CF993" s="228"/>
      <c r="CG993" s="228"/>
      <c r="CH993" s="228"/>
      <c r="CI993" s="228"/>
      <c r="CJ993" s="228"/>
      <c r="CK993" s="228"/>
      <c r="CL993" s="228"/>
      <c r="CM993" s="228"/>
      <c r="CN993" s="228"/>
      <c r="CO993" s="228"/>
      <c r="CP993" s="228"/>
      <c r="CQ993" s="228"/>
      <c r="CR993" s="228"/>
      <c r="CS993" s="228"/>
      <c r="CT993" s="228"/>
      <c r="CU993" s="228"/>
      <c r="CV993" s="228"/>
      <c r="CW993" s="228"/>
      <c r="CX993" s="228"/>
      <c r="CY993" s="228"/>
      <c r="CZ993" s="228"/>
      <c r="DA993" s="228"/>
      <c r="DB993" s="228"/>
    </row>
    <row r="994" ht="12.0" customHeight="1">
      <c r="A994" s="228"/>
      <c r="B994" s="228"/>
      <c r="C994" s="228"/>
      <c r="D994" s="228"/>
      <c r="E994" s="228"/>
      <c r="F994" s="228"/>
      <c r="G994" s="228"/>
      <c r="H994" s="228"/>
      <c r="I994" s="228"/>
      <c r="J994" s="228"/>
      <c r="K994" s="228"/>
      <c r="L994" s="228"/>
      <c r="M994" s="228"/>
      <c r="N994" s="228"/>
      <c r="O994" s="228"/>
      <c r="P994" s="228"/>
      <c r="Q994" s="228"/>
      <c r="R994" s="228"/>
      <c r="S994" s="228"/>
      <c r="T994" s="228"/>
      <c r="U994" s="228"/>
      <c r="V994" s="228"/>
      <c r="W994" s="228"/>
      <c r="X994" s="228"/>
      <c r="Y994" s="228"/>
      <c r="Z994" s="228"/>
      <c r="AA994" s="228"/>
      <c r="AB994" s="228"/>
      <c r="AC994" s="228"/>
      <c r="AD994" s="228"/>
      <c r="AE994" s="228"/>
      <c r="AF994" s="228"/>
      <c r="AG994" s="228"/>
      <c r="AH994" s="228"/>
      <c r="AI994" s="228"/>
      <c r="AJ994" s="228"/>
      <c r="AK994" s="228"/>
      <c r="AL994" s="228"/>
      <c r="AM994" s="228"/>
      <c r="AN994" s="228"/>
      <c r="AO994" s="228"/>
      <c r="AP994" s="228"/>
      <c r="AQ994" s="228"/>
      <c r="AR994" s="228"/>
      <c r="AS994" s="228"/>
      <c r="AT994" s="228"/>
      <c r="AU994" s="228"/>
      <c r="AV994" s="228"/>
      <c r="AW994" s="228"/>
      <c r="AX994" s="228"/>
      <c r="AY994" s="228"/>
      <c r="AZ994" s="228"/>
      <c r="BA994" s="228"/>
      <c r="BB994" s="228"/>
      <c r="BC994" s="228"/>
      <c r="BD994" s="228"/>
      <c r="BE994" s="228"/>
      <c r="BF994" s="228"/>
      <c r="BG994" s="228"/>
      <c r="BH994" s="228"/>
      <c r="BI994" s="228"/>
      <c r="BJ994" s="228"/>
      <c r="BK994" s="228"/>
      <c r="BL994" s="228"/>
      <c r="BM994" s="228"/>
      <c r="BN994" s="228"/>
      <c r="BO994" s="228"/>
      <c r="BP994" s="228"/>
      <c r="BQ994" s="228"/>
      <c r="BR994" s="228"/>
      <c r="BS994" s="228"/>
      <c r="BT994" s="228"/>
      <c r="BU994" s="228"/>
      <c r="BV994" s="228"/>
      <c r="BW994" s="228"/>
      <c r="BX994" s="228"/>
      <c r="BY994" s="228"/>
      <c r="BZ994" s="228"/>
      <c r="CA994" s="228"/>
      <c r="CB994" s="228"/>
      <c r="CC994" s="228"/>
      <c r="CD994" s="228"/>
      <c r="CE994" s="228"/>
      <c r="CF994" s="228"/>
      <c r="CG994" s="228"/>
      <c r="CH994" s="228"/>
      <c r="CI994" s="228"/>
      <c r="CJ994" s="228"/>
      <c r="CK994" s="228"/>
      <c r="CL994" s="228"/>
      <c r="CM994" s="228"/>
      <c r="CN994" s="228"/>
      <c r="CO994" s="228"/>
      <c r="CP994" s="228"/>
      <c r="CQ994" s="228"/>
      <c r="CR994" s="228"/>
      <c r="CS994" s="228"/>
      <c r="CT994" s="228"/>
      <c r="CU994" s="228"/>
      <c r="CV994" s="228"/>
      <c r="CW994" s="228"/>
      <c r="CX994" s="228"/>
      <c r="CY994" s="228"/>
      <c r="CZ994" s="228"/>
      <c r="DA994" s="228"/>
      <c r="DB994" s="228"/>
    </row>
    <row r="995" ht="12.0" customHeight="1">
      <c r="A995" s="228"/>
      <c r="B995" s="228"/>
      <c r="C995" s="228"/>
      <c r="D995" s="228"/>
      <c r="E995" s="228"/>
      <c r="F995" s="228"/>
      <c r="G995" s="228"/>
      <c r="H995" s="228"/>
      <c r="I995" s="228"/>
      <c r="J995" s="228"/>
      <c r="K995" s="228"/>
      <c r="L995" s="228"/>
      <c r="M995" s="228"/>
      <c r="N995" s="228"/>
      <c r="O995" s="228"/>
      <c r="P995" s="228"/>
      <c r="Q995" s="228"/>
      <c r="R995" s="228"/>
      <c r="S995" s="228"/>
      <c r="T995" s="228"/>
      <c r="U995" s="228"/>
      <c r="V995" s="228"/>
      <c r="W995" s="228"/>
      <c r="X995" s="228"/>
      <c r="Y995" s="228"/>
      <c r="Z995" s="228"/>
      <c r="AA995" s="228"/>
      <c r="AB995" s="228"/>
      <c r="AC995" s="228"/>
      <c r="AD995" s="228"/>
      <c r="AE995" s="228"/>
      <c r="AF995" s="228"/>
      <c r="AG995" s="228"/>
      <c r="AH995" s="228"/>
      <c r="AI995" s="228"/>
      <c r="AJ995" s="228"/>
      <c r="AK995" s="228"/>
      <c r="AL995" s="228"/>
      <c r="AM995" s="228"/>
      <c r="AN995" s="228"/>
      <c r="AO995" s="228"/>
      <c r="AP995" s="228"/>
      <c r="AQ995" s="228"/>
      <c r="AR995" s="228"/>
      <c r="AS995" s="228"/>
      <c r="AT995" s="228"/>
      <c r="AU995" s="228"/>
      <c r="AV995" s="228"/>
      <c r="AW995" s="228"/>
      <c r="AX995" s="228"/>
      <c r="AY995" s="228"/>
      <c r="AZ995" s="228"/>
      <c r="BA995" s="228"/>
      <c r="BB995" s="228"/>
      <c r="BC995" s="228"/>
      <c r="BD995" s="228"/>
      <c r="BE995" s="228"/>
      <c r="BF995" s="228"/>
      <c r="BG995" s="228"/>
      <c r="BH995" s="228"/>
      <c r="BI995" s="228"/>
      <c r="BJ995" s="228"/>
      <c r="BK995" s="228"/>
      <c r="BL995" s="228"/>
      <c r="BM995" s="228"/>
      <c r="BN995" s="228"/>
      <c r="BO995" s="228"/>
      <c r="BP995" s="228"/>
      <c r="BQ995" s="228"/>
      <c r="BR995" s="228"/>
      <c r="BS995" s="228"/>
      <c r="BT995" s="228"/>
      <c r="BU995" s="228"/>
      <c r="BV995" s="228"/>
      <c r="BW995" s="228"/>
      <c r="BX995" s="228"/>
      <c r="BY995" s="228"/>
      <c r="BZ995" s="228"/>
      <c r="CA995" s="228"/>
      <c r="CB995" s="228"/>
      <c r="CC995" s="228"/>
      <c r="CD995" s="228"/>
      <c r="CE995" s="228"/>
      <c r="CF995" s="228"/>
      <c r="CG995" s="228"/>
      <c r="CH995" s="228"/>
      <c r="CI995" s="228"/>
      <c r="CJ995" s="228"/>
      <c r="CK995" s="228"/>
      <c r="CL995" s="228"/>
      <c r="CM995" s="228"/>
      <c r="CN995" s="228"/>
      <c r="CO995" s="228"/>
      <c r="CP995" s="228"/>
      <c r="CQ995" s="228"/>
      <c r="CR995" s="228"/>
      <c r="CS995" s="228"/>
      <c r="CT995" s="228"/>
      <c r="CU995" s="228"/>
      <c r="CV995" s="228"/>
      <c r="CW995" s="228"/>
      <c r="CX995" s="228"/>
      <c r="CY995" s="228"/>
      <c r="CZ995" s="228"/>
      <c r="DA995" s="228"/>
      <c r="DB995" s="228"/>
    </row>
    <row r="996" ht="12.0" customHeight="1">
      <c r="A996" s="228"/>
      <c r="B996" s="228"/>
      <c r="C996" s="228"/>
      <c r="D996" s="228"/>
      <c r="E996" s="228"/>
      <c r="F996" s="228"/>
      <c r="G996" s="228"/>
      <c r="H996" s="228"/>
      <c r="I996" s="228"/>
      <c r="J996" s="228"/>
      <c r="K996" s="228"/>
      <c r="L996" s="228"/>
      <c r="M996" s="228"/>
      <c r="N996" s="228"/>
      <c r="O996" s="228"/>
      <c r="P996" s="228"/>
      <c r="Q996" s="228"/>
      <c r="R996" s="228"/>
      <c r="S996" s="228"/>
      <c r="T996" s="228"/>
      <c r="U996" s="228"/>
      <c r="V996" s="228"/>
      <c r="W996" s="228"/>
      <c r="X996" s="228"/>
      <c r="Y996" s="228"/>
      <c r="Z996" s="228"/>
      <c r="AA996" s="228"/>
      <c r="AB996" s="228"/>
      <c r="AC996" s="228"/>
      <c r="AD996" s="228"/>
      <c r="AE996" s="228"/>
      <c r="AF996" s="228"/>
      <c r="AG996" s="228"/>
      <c r="AH996" s="228"/>
      <c r="AI996" s="228"/>
      <c r="AJ996" s="228"/>
      <c r="AK996" s="228"/>
      <c r="AL996" s="228"/>
      <c r="AM996" s="228"/>
      <c r="AN996" s="228"/>
      <c r="AO996" s="228"/>
      <c r="AP996" s="228"/>
      <c r="AQ996" s="228"/>
      <c r="AR996" s="228"/>
      <c r="AS996" s="228"/>
      <c r="AT996" s="228"/>
      <c r="AU996" s="228"/>
      <c r="AV996" s="228"/>
      <c r="AW996" s="228"/>
      <c r="AX996" s="228"/>
      <c r="AY996" s="228"/>
      <c r="AZ996" s="228"/>
      <c r="BA996" s="228"/>
      <c r="BB996" s="228"/>
      <c r="BC996" s="228"/>
      <c r="BD996" s="228"/>
      <c r="BE996" s="228"/>
      <c r="BF996" s="228"/>
      <c r="BG996" s="228"/>
      <c r="BH996" s="228"/>
      <c r="BI996" s="228"/>
      <c r="BJ996" s="228"/>
      <c r="BK996" s="228"/>
      <c r="BL996" s="228"/>
      <c r="BM996" s="228"/>
      <c r="BN996" s="228"/>
      <c r="BO996" s="228"/>
      <c r="BP996" s="228"/>
      <c r="BQ996" s="228"/>
      <c r="BR996" s="228"/>
      <c r="BS996" s="228"/>
      <c r="BT996" s="228"/>
      <c r="BU996" s="228"/>
      <c r="BV996" s="228"/>
      <c r="BW996" s="228"/>
      <c r="BX996" s="228"/>
      <c r="BY996" s="228"/>
      <c r="BZ996" s="228"/>
      <c r="CA996" s="228"/>
      <c r="CB996" s="228"/>
      <c r="CC996" s="228"/>
      <c r="CD996" s="228"/>
      <c r="CE996" s="228"/>
      <c r="CF996" s="228"/>
      <c r="CG996" s="228"/>
      <c r="CH996" s="228"/>
      <c r="CI996" s="228"/>
      <c r="CJ996" s="228"/>
      <c r="CK996" s="228"/>
      <c r="CL996" s="228"/>
      <c r="CM996" s="228"/>
      <c r="CN996" s="228"/>
      <c r="CO996" s="228"/>
      <c r="CP996" s="228"/>
      <c r="CQ996" s="228"/>
      <c r="CR996" s="228"/>
      <c r="CS996" s="228"/>
      <c r="CT996" s="228"/>
      <c r="CU996" s="228"/>
      <c r="CV996" s="228"/>
      <c r="CW996" s="228"/>
      <c r="CX996" s="228"/>
      <c r="CY996" s="228"/>
      <c r="CZ996" s="228"/>
      <c r="DA996" s="228"/>
      <c r="DB996" s="228"/>
    </row>
    <row r="997" ht="12.0" customHeight="1">
      <c r="A997" s="228"/>
      <c r="B997" s="228"/>
      <c r="C997" s="228"/>
      <c r="D997" s="228"/>
      <c r="E997" s="228"/>
      <c r="F997" s="228"/>
      <c r="G997" s="228"/>
      <c r="H997" s="228"/>
      <c r="I997" s="228"/>
      <c r="J997" s="228"/>
      <c r="K997" s="228"/>
      <c r="L997" s="228"/>
      <c r="M997" s="228"/>
      <c r="N997" s="228"/>
      <c r="O997" s="228"/>
      <c r="P997" s="228"/>
      <c r="Q997" s="228"/>
      <c r="R997" s="228"/>
      <c r="S997" s="228"/>
      <c r="T997" s="228"/>
      <c r="U997" s="228"/>
      <c r="V997" s="228"/>
      <c r="W997" s="228"/>
      <c r="X997" s="228"/>
      <c r="Y997" s="228"/>
      <c r="Z997" s="228"/>
      <c r="AA997" s="228"/>
      <c r="AB997" s="228"/>
      <c r="AC997" s="228"/>
      <c r="AD997" s="228"/>
      <c r="AE997" s="228"/>
      <c r="AF997" s="228"/>
      <c r="AG997" s="228"/>
      <c r="AH997" s="228"/>
      <c r="AI997" s="228"/>
      <c r="AJ997" s="228"/>
      <c r="AK997" s="228"/>
      <c r="AL997" s="228"/>
      <c r="AM997" s="228"/>
      <c r="AN997" s="228"/>
      <c r="AO997" s="228"/>
      <c r="AP997" s="228"/>
      <c r="AQ997" s="228"/>
      <c r="AR997" s="228"/>
      <c r="AS997" s="228"/>
      <c r="AT997" s="228"/>
      <c r="AU997" s="228"/>
      <c r="AV997" s="228"/>
      <c r="AW997" s="228"/>
      <c r="AX997" s="228"/>
      <c r="AY997" s="228"/>
      <c r="AZ997" s="228"/>
      <c r="BA997" s="228"/>
      <c r="BB997" s="228"/>
      <c r="BC997" s="228"/>
      <c r="BD997" s="228"/>
      <c r="BE997" s="228"/>
      <c r="BF997" s="228"/>
      <c r="BG997" s="228"/>
      <c r="BH997" s="228"/>
      <c r="BI997" s="228"/>
      <c r="BJ997" s="228"/>
      <c r="BK997" s="228"/>
      <c r="BL997" s="228"/>
      <c r="BM997" s="228"/>
      <c r="BN997" s="228"/>
      <c r="BO997" s="228"/>
      <c r="BP997" s="228"/>
      <c r="BQ997" s="228"/>
      <c r="BR997" s="228"/>
      <c r="BS997" s="228"/>
      <c r="BT997" s="228"/>
      <c r="BU997" s="228"/>
      <c r="BV997" s="228"/>
      <c r="BW997" s="228"/>
      <c r="BX997" s="228"/>
      <c r="BY997" s="228"/>
      <c r="BZ997" s="228"/>
      <c r="CA997" s="228"/>
      <c r="CB997" s="228"/>
      <c r="CC997" s="228"/>
      <c r="CD997" s="228"/>
      <c r="CE997" s="228"/>
      <c r="CF997" s="228"/>
      <c r="CG997" s="228"/>
      <c r="CH997" s="228"/>
      <c r="CI997" s="228"/>
      <c r="CJ997" s="228"/>
      <c r="CK997" s="228"/>
      <c r="CL997" s="228"/>
      <c r="CM997" s="228"/>
      <c r="CN997" s="228"/>
      <c r="CO997" s="228"/>
      <c r="CP997" s="228"/>
      <c r="CQ997" s="228"/>
      <c r="CR997" s="228"/>
      <c r="CS997" s="228"/>
      <c r="CT997" s="228"/>
      <c r="CU997" s="228"/>
      <c r="CV997" s="228"/>
      <c r="CW997" s="228"/>
      <c r="CX997" s="228"/>
      <c r="CY997" s="228"/>
      <c r="CZ997" s="228"/>
      <c r="DA997" s="228"/>
      <c r="DB997" s="228"/>
    </row>
    <row r="998" ht="12.0" customHeight="1">
      <c r="A998" s="228"/>
      <c r="B998" s="228"/>
      <c r="C998" s="228"/>
      <c r="D998" s="228"/>
      <c r="E998" s="228"/>
      <c r="F998" s="228"/>
      <c r="G998" s="228"/>
      <c r="H998" s="228"/>
      <c r="I998" s="228"/>
      <c r="J998" s="228"/>
      <c r="K998" s="228"/>
      <c r="L998" s="228"/>
      <c r="M998" s="228"/>
      <c r="N998" s="228"/>
      <c r="O998" s="228"/>
      <c r="P998" s="228"/>
      <c r="Q998" s="228"/>
      <c r="R998" s="228"/>
      <c r="S998" s="228"/>
      <c r="T998" s="228"/>
      <c r="U998" s="228"/>
      <c r="V998" s="228"/>
      <c r="W998" s="228"/>
      <c r="X998" s="228"/>
      <c r="Y998" s="228"/>
      <c r="Z998" s="228"/>
      <c r="AA998" s="228"/>
      <c r="AB998" s="228"/>
      <c r="AC998" s="228"/>
      <c r="AD998" s="228"/>
      <c r="AE998" s="228"/>
      <c r="AF998" s="228"/>
      <c r="AG998" s="228"/>
      <c r="AH998" s="228"/>
      <c r="AI998" s="228"/>
      <c r="AJ998" s="228"/>
      <c r="AK998" s="228"/>
      <c r="AL998" s="228"/>
      <c r="AM998" s="228"/>
      <c r="AN998" s="228"/>
      <c r="AO998" s="228"/>
      <c r="AP998" s="228"/>
      <c r="AQ998" s="228"/>
      <c r="AR998" s="228"/>
      <c r="AS998" s="228"/>
      <c r="AT998" s="228"/>
      <c r="AU998" s="228"/>
      <c r="AV998" s="228"/>
      <c r="AW998" s="228"/>
      <c r="AX998" s="228"/>
      <c r="AY998" s="228"/>
      <c r="AZ998" s="228"/>
      <c r="BA998" s="228"/>
      <c r="BB998" s="228"/>
      <c r="BC998" s="228"/>
      <c r="BD998" s="228"/>
      <c r="BE998" s="228"/>
      <c r="BF998" s="228"/>
      <c r="BG998" s="228"/>
      <c r="BH998" s="228"/>
      <c r="BI998" s="228"/>
      <c r="BJ998" s="228"/>
      <c r="BK998" s="228"/>
      <c r="BL998" s="228"/>
      <c r="BM998" s="228"/>
      <c r="BN998" s="228"/>
      <c r="BO998" s="228"/>
      <c r="BP998" s="228"/>
      <c r="BQ998" s="228"/>
      <c r="BR998" s="228"/>
      <c r="BS998" s="228"/>
      <c r="BT998" s="228"/>
      <c r="BU998" s="228"/>
      <c r="BV998" s="228"/>
      <c r="BW998" s="228"/>
      <c r="BX998" s="228"/>
      <c r="BY998" s="228"/>
      <c r="BZ998" s="228"/>
      <c r="CA998" s="228"/>
      <c r="CB998" s="228"/>
      <c r="CC998" s="228"/>
      <c r="CD998" s="228"/>
      <c r="CE998" s="228"/>
      <c r="CF998" s="228"/>
      <c r="CG998" s="228"/>
      <c r="CH998" s="228"/>
      <c r="CI998" s="228"/>
      <c r="CJ998" s="228"/>
      <c r="CK998" s="228"/>
      <c r="CL998" s="228"/>
      <c r="CM998" s="228"/>
      <c r="CN998" s="228"/>
      <c r="CO998" s="228"/>
      <c r="CP998" s="228"/>
      <c r="CQ998" s="228"/>
      <c r="CR998" s="228"/>
      <c r="CS998" s="228"/>
      <c r="CT998" s="228"/>
      <c r="CU998" s="228"/>
      <c r="CV998" s="228"/>
      <c r="CW998" s="228"/>
      <c r="CX998" s="228"/>
      <c r="CY998" s="228"/>
      <c r="CZ998" s="228"/>
      <c r="DA998" s="228"/>
      <c r="DB998" s="228"/>
    </row>
    <row r="999" ht="12.0" customHeight="1">
      <c r="A999" s="228"/>
      <c r="B999" s="228"/>
      <c r="C999" s="228"/>
      <c r="D999" s="228"/>
      <c r="E999" s="228"/>
      <c r="F999" s="228"/>
      <c r="G999" s="228"/>
      <c r="H999" s="228"/>
      <c r="I999" s="228"/>
      <c r="J999" s="228"/>
      <c r="K999" s="228"/>
      <c r="L999" s="228"/>
      <c r="M999" s="228"/>
      <c r="N999" s="228"/>
      <c r="O999" s="228"/>
      <c r="P999" s="228"/>
      <c r="Q999" s="228"/>
      <c r="R999" s="228"/>
      <c r="S999" s="228"/>
      <c r="T999" s="228"/>
      <c r="U999" s="228"/>
      <c r="V999" s="228"/>
      <c r="W999" s="228"/>
      <c r="X999" s="228"/>
      <c r="Y999" s="228"/>
      <c r="Z999" s="228"/>
      <c r="AA999" s="228"/>
      <c r="AB999" s="228"/>
      <c r="AC999" s="228"/>
      <c r="AD999" s="228"/>
      <c r="AE999" s="228"/>
      <c r="AF999" s="228"/>
      <c r="AG999" s="228"/>
      <c r="AH999" s="228"/>
      <c r="AI999" s="228"/>
      <c r="AJ999" s="228"/>
      <c r="AK999" s="228"/>
      <c r="AL999" s="228"/>
      <c r="AM999" s="228"/>
      <c r="AN999" s="228"/>
      <c r="AO999" s="228"/>
      <c r="AP999" s="228"/>
      <c r="AQ999" s="228"/>
      <c r="AR999" s="228"/>
      <c r="AS999" s="228"/>
      <c r="AT999" s="228"/>
      <c r="AU999" s="228"/>
      <c r="AV999" s="228"/>
      <c r="AW999" s="228"/>
      <c r="AX999" s="228"/>
      <c r="AY999" s="228"/>
      <c r="AZ999" s="228"/>
      <c r="BA999" s="228"/>
      <c r="BB999" s="228"/>
      <c r="BC999" s="228"/>
      <c r="BD999" s="228"/>
      <c r="BE999" s="228"/>
      <c r="BF999" s="228"/>
      <c r="BG999" s="228"/>
      <c r="BH999" s="228"/>
      <c r="BI999" s="228"/>
      <c r="BJ999" s="228"/>
      <c r="BK999" s="228"/>
      <c r="BL999" s="228"/>
      <c r="BM999" s="228"/>
      <c r="BN999" s="228"/>
      <c r="BO999" s="228"/>
      <c r="BP999" s="228"/>
      <c r="BQ999" s="228"/>
      <c r="BR999" s="228"/>
      <c r="BS999" s="228"/>
      <c r="BT999" s="228"/>
      <c r="BU999" s="228"/>
      <c r="BV999" s="228"/>
      <c r="BW999" s="228"/>
      <c r="BX999" s="228"/>
      <c r="BY999" s="228"/>
      <c r="BZ999" s="228"/>
      <c r="CA999" s="228"/>
      <c r="CB999" s="228"/>
      <c r="CC999" s="228"/>
      <c r="CD999" s="228"/>
      <c r="CE999" s="228"/>
      <c r="CF999" s="228"/>
      <c r="CG999" s="228"/>
      <c r="CH999" s="228"/>
      <c r="CI999" s="228"/>
      <c r="CJ999" s="228"/>
      <c r="CK999" s="228"/>
      <c r="CL999" s="228"/>
      <c r="CM999" s="228"/>
      <c r="CN999" s="228"/>
      <c r="CO999" s="228"/>
      <c r="CP999" s="228"/>
      <c r="CQ999" s="228"/>
      <c r="CR999" s="228"/>
      <c r="CS999" s="228"/>
      <c r="CT999" s="228"/>
      <c r="CU999" s="228"/>
      <c r="CV999" s="228"/>
      <c r="CW999" s="228"/>
      <c r="CX999" s="228"/>
      <c r="CY999" s="228"/>
      <c r="CZ999" s="228"/>
      <c r="DA999" s="228"/>
      <c r="DB999" s="228"/>
    </row>
    <row r="1000" ht="12.0" customHeight="1">
      <c r="A1000" s="228"/>
      <c r="B1000" s="228"/>
      <c r="C1000" s="228"/>
      <c r="D1000" s="228"/>
      <c r="E1000" s="228"/>
      <c r="F1000" s="228"/>
      <c r="G1000" s="228"/>
      <c r="H1000" s="228"/>
      <c r="I1000" s="228"/>
      <c r="J1000" s="228"/>
      <c r="K1000" s="228"/>
      <c r="L1000" s="228"/>
      <c r="M1000" s="228"/>
      <c r="N1000" s="228"/>
      <c r="O1000" s="228"/>
      <c r="P1000" s="228"/>
      <c r="Q1000" s="228"/>
      <c r="R1000" s="228"/>
      <c r="S1000" s="228"/>
      <c r="T1000" s="228"/>
      <c r="U1000" s="228"/>
      <c r="V1000" s="228"/>
      <c r="W1000" s="228"/>
      <c r="X1000" s="228"/>
      <c r="Y1000" s="228"/>
      <c r="Z1000" s="228"/>
      <c r="AA1000" s="228"/>
      <c r="AB1000" s="228"/>
      <c r="AC1000" s="228"/>
      <c r="AD1000" s="228"/>
      <c r="AE1000" s="228"/>
      <c r="AF1000" s="228"/>
      <c r="AG1000" s="228"/>
      <c r="AH1000" s="228"/>
      <c r="AI1000" s="228"/>
      <c r="AJ1000" s="228"/>
      <c r="AK1000" s="228"/>
      <c r="AL1000" s="228"/>
      <c r="AM1000" s="228"/>
      <c r="AN1000" s="228"/>
      <c r="AO1000" s="228"/>
      <c r="AP1000" s="228"/>
      <c r="AQ1000" s="228"/>
      <c r="AR1000" s="228"/>
      <c r="AS1000" s="228"/>
      <c r="AT1000" s="228"/>
      <c r="AU1000" s="228"/>
      <c r="AV1000" s="228"/>
      <c r="AW1000" s="228"/>
      <c r="AX1000" s="228"/>
      <c r="AY1000" s="228"/>
      <c r="AZ1000" s="228"/>
      <c r="BA1000" s="228"/>
      <c r="BB1000" s="228"/>
      <c r="BC1000" s="228"/>
      <c r="BD1000" s="228"/>
      <c r="BE1000" s="228"/>
      <c r="BF1000" s="228"/>
      <c r="BG1000" s="228"/>
      <c r="BH1000" s="228"/>
      <c r="BI1000" s="228"/>
      <c r="BJ1000" s="228"/>
      <c r="BK1000" s="228"/>
      <c r="BL1000" s="228"/>
      <c r="BM1000" s="228"/>
      <c r="BN1000" s="228"/>
      <c r="BO1000" s="228"/>
      <c r="BP1000" s="228"/>
      <c r="BQ1000" s="228"/>
      <c r="BR1000" s="228"/>
      <c r="BS1000" s="228"/>
      <c r="BT1000" s="228"/>
      <c r="BU1000" s="228"/>
      <c r="BV1000" s="228"/>
      <c r="BW1000" s="228"/>
      <c r="BX1000" s="228"/>
      <c r="BY1000" s="228"/>
      <c r="BZ1000" s="228"/>
      <c r="CA1000" s="228"/>
      <c r="CB1000" s="228"/>
      <c r="CC1000" s="228"/>
      <c r="CD1000" s="228"/>
      <c r="CE1000" s="228"/>
      <c r="CF1000" s="228"/>
      <c r="CG1000" s="228"/>
      <c r="CH1000" s="228"/>
      <c r="CI1000" s="228"/>
      <c r="CJ1000" s="228"/>
      <c r="CK1000" s="228"/>
      <c r="CL1000" s="228"/>
      <c r="CM1000" s="228"/>
      <c r="CN1000" s="228"/>
      <c r="CO1000" s="228"/>
      <c r="CP1000" s="228"/>
      <c r="CQ1000" s="228"/>
      <c r="CR1000" s="228"/>
      <c r="CS1000" s="228"/>
      <c r="CT1000" s="228"/>
      <c r="CU1000" s="228"/>
      <c r="CV1000" s="228"/>
      <c r="CW1000" s="228"/>
      <c r="CX1000" s="228"/>
      <c r="CY1000" s="228"/>
      <c r="CZ1000" s="228"/>
      <c r="DA1000" s="228"/>
      <c r="DB1000" s="228"/>
    </row>
  </sheetData>
  <mergeCells count="36">
    <mergeCell ref="E2:F2"/>
    <mergeCell ref="G2:H2"/>
    <mergeCell ref="I2:J2"/>
    <mergeCell ref="K2:L2"/>
    <mergeCell ref="M2:N2"/>
    <mergeCell ref="O2:P2"/>
    <mergeCell ref="Q2:R2"/>
    <mergeCell ref="S2:T2"/>
    <mergeCell ref="U2:V2"/>
    <mergeCell ref="W2:X2"/>
    <mergeCell ref="Y2:Z2"/>
    <mergeCell ref="AA2:AB2"/>
    <mergeCell ref="AC2:AD2"/>
    <mergeCell ref="AE2:AF2"/>
    <mergeCell ref="AG2:AH2"/>
    <mergeCell ref="AI2:AJ2"/>
    <mergeCell ref="AK2:AL2"/>
    <mergeCell ref="AM2:BC2"/>
    <mergeCell ref="BE2:BF2"/>
    <mergeCell ref="BG2:BH2"/>
    <mergeCell ref="BI2:BJ2"/>
    <mergeCell ref="BY2:BZ2"/>
    <mergeCell ref="CA2:CB2"/>
    <mergeCell ref="CC2:CD2"/>
    <mergeCell ref="CE2:CF2"/>
    <mergeCell ref="CG2:CH2"/>
    <mergeCell ref="CI2:CJ2"/>
    <mergeCell ref="CK2:CL2"/>
    <mergeCell ref="CS2:CW2"/>
    <mergeCell ref="BK2:BL2"/>
    <mergeCell ref="BM2:BN2"/>
    <mergeCell ref="BO2:BP2"/>
    <mergeCell ref="BQ2:BR2"/>
    <mergeCell ref="BS2:BT2"/>
    <mergeCell ref="BU2:BV2"/>
    <mergeCell ref="BW2:BX2"/>
  </mergeCells>
  <printOptions/>
  <pageMargins bottom="0.75" footer="0.0" header="0.0" left="0.7" right="0.7" top="0.75"/>
  <pageSetup orientation="portrait"/>
  <drawing r:id="rId1"/>
</worksheet>
</file>