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me office 2022\Peticiones\3. Tutela JFSS 24042023\DIÁLOGO SOCIAL\Final\"/>
    </mc:Choice>
  </mc:AlternateContent>
  <bookViews>
    <workbookView xWindow="0" yWindow="0" windowWidth="21600" windowHeight="11900" firstSheet="5" activeTab="10"/>
  </bookViews>
  <sheets>
    <sheet name="2017000100107" sheetId="4" r:id="rId1"/>
    <sheet name="2019000100044" sheetId="1" r:id="rId2"/>
    <sheet name="2019000100057" sheetId="2" r:id="rId3"/>
    <sheet name="2019000100060" sheetId="3" r:id="rId4"/>
    <sheet name="2020000100115" sheetId="5" r:id="rId5"/>
    <sheet name="2021000100001" sheetId="7" r:id="rId6"/>
    <sheet name="2021000100100" sheetId="8" r:id="rId7"/>
    <sheet name="2021000100384" sheetId="9" r:id="rId8"/>
    <sheet name="202000070012" sheetId="10" r:id="rId9"/>
    <sheet name="2022005500023" sheetId="11" r:id="rId10"/>
    <sheet name="2022005500054" sheetId="12" r:id="rId11"/>
  </sheets>
  <definedNames>
    <definedName name="_xlnm._FilterDatabase" localSheetId="2" hidden="1">'2019000100057'!$A$12:$AZ$71</definedName>
  </definedNames>
  <calcPr calcId="162913"/>
</workbook>
</file>

<file path=xl/calcChain.xml><?xml version="1.0" encoding="utf-8"?>
<calcChain xmlns="http://schemas.openxmlformats.org/spreadsheetml/2006/main">
  <c r="Q59" i="3" l="1"/>
  <c r="AH53" i="3"/>
  <c r="AI41" i="3"/>
  <c r="AK33" i="3"/>
  <c r="AG14" i="11" l="1"/>
  <c r="AZ15" i="5"/>
  <c r="AZ16" i="5"/>
  <c r="AZ17" i="5"/>
  <c r="AZ18" i="5"/>
  <c r="AZ19" i="5"/>
  <c r="AZ20" i="5"/>
  <c r="AZ21" i="5"/>
  <c r="AZ22" i="5"/>
  <c r="AZ23" i="5"/>
  <c r="AZ24" i="5"/>
  <c r="AZ25" i="5"/>
  <c r="AZ26" i="5"/>
  <c r="AZ27" i="5"/>
  <c r="AZ28" i="5"/>
  <c r="AZ29" i="5"/>
  <c r="AZ30" i="5"/>
  <c r="AZ31" i="5"/>
  <c r="AZ32" i="5"/>
  <c r="AZ33" i="5"/>
  <c r="AZ34" i="5"/>
  <c r="AZ35" i="5"/>
  <c r="AZ36" i="5"/>
  <c r="AZ37" i="5"/>
  <c r="AZ38" i="5"/>
  <c r="AZ39" i="5"/>
  <c r="AZ40" i="5"/>
  <c r="AZ41" i="5"/>
  <c r="AZ42" i="5"/>
  <c r="AZ43" i="5"/>
  <c r="AZ44" i="5"/>
  <c r="AZ45" i="5"/>
  <c r="AZ46" i="5"/>
  <c r="AZ47" i="5"/>
  <c r="AZ48" i="5"/>
  <c r="AZ49" i="5"/>
  <c r="AZ50" i="5"/>
  <c r="AZ51" i="5"/>
  <c r="AZ52" i="5"/>
  <c r="AZ53" i="5"/>
  <c r="AZ54" i="5"/>
  <c r="AZ55" i="5"/>
  <c r="AZ56" i="5"/>
  <c r="AZ57" i="5"/>
  <c r="AZ58" i="5"/>
  <c r="AZ59" i="5"/>
  <c r="AZ60" i="5"/>
  <c r="AZ61" i="5"/>
  <c r="AZ62" i="5"/>
  <c r="AZ63" i="5"/>
  <c r="AZ64" i="5"/>
  <c r="AZ65" i="5"/>
  <c r="AZ66" i="5"/>
  <c r="AZ67" i="5"/>
  <c r="AZ68" i="5"/>
  <c r="AZ69" i="5"/>
  <c r="AZ70" i="5"/>
  <c r="AZ71" i="5"/>
  <c r="AZ72" i="5"/>
  <c r="AZ73" i="5"/>
  <c r="AZ74" i="5"/>
  <c r="AZ75" i="5"/>
  <c r="AZ76" i="5"/>
  <c r="AZ77" i="5"/>
  <c r="AZ78" i="5"/>
  <c r="AZ79" i="5"/>
  <c r="AZ80" i="5"/>
  <c r="AZ81" i="5"/>
  <c r="AZ82" i="5"/>
  <c r="AZ83" i="5"/>
  <c r="AZ84" i="5"/>
  <c r="AZ85" i="5"/>
  <c r="AZ86" i="5"/>
  <c r="AZ87" i="5"/>
  <c r="AZ88" i="5"/>
  <c r="AZ89" i="5"/>
  <c r="AZ14" i="5"/>
  <c r="BD55" i="3"/>
  <c r="AE15" i="12" l="1"/>
  <c r="AE16" i="12"/>
  <c r="AE17" i="12"/>
  <c r="AE18" i="12"/>
  <c r="AE19" i="12"/>
  <c r="AE14" i="12"/>
  <c r="AG15" i="11"/>
  <c r="AG16" i="11" l="1"/>
  <c r="AG17" i="11"/>
  <c r="AU15" i="9"/>
  <c r="AU16" i="9"/>
  <c r="AU17" i="9"/>
  <c r="AU18" i="9"/>
  <c r="AU19" i="9"/>
  <c r="AU20" i="9"/>
  <c r="AU21" i="9"/>
  <c r="AU22" i="9"/>
  <c r="AU23" i="9"/>
  <c r="AU24" i="9"/>
  <c r="AU25" i="9"/>
  <c r="AU26" i="9"/>
  <c r="AU27" i="9"/>
  <c r="AU28" i="9"/>
  <c r="AU29" i="9"/>
  <c r="AU30" i="9"/>
  <c r="AU31" i="9"/>
  <c r="AU32" i="9"/>
  <c r="AU33" i="9"/>
  <c r="AU34" i="9"/>
  <c r="AU35" i="9"/>
  <c r="AU36" i="9"/>
  <c r="AU37" i="9"/>
  <c r="AU38" i="9"/>
  <c r="AU39" i="9"/>
  <c r="AU40" i="9"/>
  <c r="AU41" i="9"/>
  <c r="AU42" i="9"/>
  <c r="AU43" i="9"/>
  <c r="AU44" i="9"/>
  <c r="AU45" i="9"/>
  <c r="AU46" i="9"/>
  <c r="AU47" i="9"/>
  <c r="AU48" i="9"/>
  <c r="AU49" i="9"/>
  <c r="AU50" i="9"/>
  <c r="AU51" i="9"/>
  <c r="AU52" i="9"/>
  <c r="AU53" i="9"/>
  <c r="AU54" i="9"/>
  <c r="AU55" i="9"/>
  <c r="AU56" i="9"/>
  <c r="AU57" i="9"/>
  <c r="AU58" i="9"/>
  <c r="AU59" i="9"/>
  <c r="AU60" i="9"/>
  <c r="AU61" i="9"/>
  <c r="AU62" i="9"/>
  <c r="AU63" i="9"/>
  <c r="AU64" i="9"/>
  <c r="AU65" i="9"/>
  <c r="AU66" i="9"/>
  <c r="AU67" i="9"/>
  <c r="AU68" i="9"/>
  <c r="AU69" i="9"/>
  <c r="AU70" i="9"/>
  <c r="AU71" i="9"/>
  <c r="AU72" i="9"/>
  <c r="AU73" i="9"/>
  <c r="AU74" i="9"/>
  <c r="AU75" i="9"/>
  <c r="AU76" i="9"/>
  <c r="AU77" i="9"/>
  <c r="AU78" i="9"/>
  <c r="AU79" i="9"/>
  <c r="AU80" i="9"/>
  <c r="AU81" i="9"/>
  <c r="AU82" i="9"/>
  <c r="AU83" i="9"/>
  <c r="AU84" i="9"/>
  <c r="AU85" i="9"/>
  <c r="AU86" i="9"/>
  <c r="AU87" i="9"/>
  <c r="AU88" i="9"/>
  <c r="AU89" i="9"/>
  <c r="AU90" i="9"/>
  <c r="AU91" i="9"/>
  <c r="AU92" i="9"/>
  <c r="AU93" i="9"/>
  <c r="AU94" i="9"/>
  <c r="AU95" i="9"/>
  <c r="AU96" i="9"/>
  <c r="AU97" i="9"/>
  <c r="AU98" i="9"/>
  <c r="AU99" i="9"/>
  <c r="AU100" i="9"/>
  <c r="AU101" i="9"/>
  <c r="AU102" i="9"/>
  <c r="AU103" i="9"/>
  <c r="AU104" i="9"/>
  <c r="AU105" i="9"/>
  <c r="AU106" i="9"/>
  <c r="AU107" i="9"/>
  <c r="AU108" i="9"/>
  <c r="AU109" i="9"/>
  <c r="AU14" i="9"/>
  <c r="N97" i="9"/>
  <c r="N47" i="9"/>
  <c r="N59" i="9"/>
  <c r="N65" i="9"/>
  <c r="N71" i="9"/>
  <c r="N83" i="9"/>
  <c r="DC15" i="8" l="1"/>
  <c r="DC16" i="8"/>
  <c r="DC17" i="8"/>
  <c r="DC18" i="8"/>
  <c r="DC19" i="8"/>
  <c r="DC20" i="8"/>
  <c r="DC21" i="8"/>
  <c r="DC22" i="8"/>
  <c r="DC23" i="8"/>
  <c r="DC24" i="8"/>
  <c r="DC25" i="8"/>
  <c r="DC26" i="8"/>
  <c r="DC27" i="8"/>
  <c r="DC28" i="8"/>
  <c r="DC29" i="8"/>
  <c r="DC14" i="8"/>
  <c r="DB19" i="7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43" i="5"/>
  <c r="AY44" i="5"/>
  <c r="AY45" i="5"/>
  <c r="AY46" i="5"/>
  <c r="AY47" i="5"/>
  <c r="AY48" i="5"/>
  <c r="AY49" i="5"/>
  <c r="AY50" i="5"/>
  <c r="AY51" i="5"/>
  <c r="AY52" i="5"/>
  <c r="AY53" i="5"/>
  <c r="AY54" i="5"/>
  <c r="AY55" i="5"/>
  <c r="AY56" i="5"/>
  <c r="AY57" i="5"/>
  <c r="AY58" i="5"/>
  <c r="AY59" i="5"/>
  <c r="AY60" i="5"/>
  <c r="AY61" i="5"/>
  <c r="AY62" i="5"/>
  <c r="AY63" i="5"/>
  <c r="AY64" i="5"/>
  <c r="AY65" i="5"/>
  <c r="AY66" i="5"/>
  <c r="AY67" i="5"/>
  <c r="AY68" i="5"/>
  <c r="AY69" i="5"/>
  <c r="AY70" i="5"/>
  <c r="AY71" i="5"/>
  <c r="AY72" i="5"/>
  <c r="AY73" i="5"/>
  <c r="AY74" i="5"/>
  <c r="AY75" i="5"/>
  <c r="AY76" i="5"/>
  <c r="AY77" i="5"/>
  <c r="AY78" i="5"/>
  <c r="AY79" i="5"/>
  <c r="AY80" i="5"/>
  <c r="AY81" i="5"/>
  <c r="AY82" i="5"/>
  <c r="AY83" i="5"/>
  <c r="AY84" i="5"/>
  <c r="AY85" i="5"/>
  <c r="AY86" i="5"/>
  <c r="AY87" i="5"/>
  <c r="AY88" i="5"/>
  <c r="AY89" i="5"/>
  <c r="AY91" i="5" l="1"/>
  <c r="AY90" i="5"/>
  <c r="T59" i="3"/>
  <c r="BD59" i="3"/>
  <c r="BD53" i="3"/>
  <c r="BD71" i="3"/>
  <c r="AK65" i="3"/>
  <c r="AK45" i="3"/>
  <c r="AK29" i="3"/>
  <c r="AJ65" i="3"/>
  <c r="AJ45" i="3"/>
  <c r="AJ33" i="3"/>
  <c r="AJ29" i="3"/>
  <c r="AI65" i="3"/>
  <c r="AI45" i="3"/>
  <c r="AI33" i="3"/>
  <c r="AI29" i="3"/>
  <c r="AH65" i="3"/>
  <c r="AH45" i="3"/>
  <c r="AH41" i="3"/>
  <c r="AH33" i="3"/>
  <c r="AG33" i="3"/>
  <c r="AH29" i="3"/>
  <c r="AG41" i="3"/>
  <c r="AG45" i="3"/>
  <c r="AG65" i="3"/>
  <c r="AG57" i="3"/>
  <c r="AG53" i="3"/>
  <c r="AG29" i="3"/>
  <c r="AF65" i="3"/>
  <c r="AF41" i="3"/>
  <c r="AE65" i="3"/>
  <c r="AF57" i="3"/>
  <c r="AF53" i="3"/>
  <c r="AF45" i="3"/>
  <c r="AF33" i="3"/>
  <c r="AF29" i="3"/>
  <c r="AE29" i="3"/>
  <c r="AE57" i="3"/>
  <c r="AE53" i="3"/>
  <c r="AE45" i="3"/>
  <c r="AE41" i="3"/>
  <c r="AE33" i="3"/>
  <c r="AD59" i="3"/>
  <c r="AD57" i="3"/>
  <c r="AD53" i="3"/>
  <c r="AD45" i="3"/>
  <c r="AD41" i="3"/>
  <c r="AD33" i="3"/>
  <c r="AD29" i="3"/>
  <c r="AC59" i="3"/>
  <c r="AC57" i="3"/>
  <c r="AC53" i="3"/>
  <c r="AC45" i="3"/>
  <c r="AC41" i="3"/>
  <c r="AC33" i="3"/>
  <c r="AC29" i="3"/>
  <c r="AB59" i="3"/>
  <c r="AB57" i="3"/>
  <c r="AB53" i="3"/>
  <c r="AB45" i="3"/>
  <c r="AB41" i="3"/>
  <c r="AB33" i="3"/>
  <c r="AB29" i="3"/>
  <c r="AA59" i="3"/>
  <c r="AA57" i="3"/>
  <c r="Z57" i="3"/>
  <c r="AA53" i="3"/>
  <c r="AA45" i="3"/>
  <c r="AA41" i="3"/>
  <c r="AA33" i="3"/>
  <c r="AA29" i="3"/>
  <c r="Z29" i="3"/>
  <c r="Z33" i="3"/>
  <c r="Z41" i="3"/>
  <c r="Z45" i="3"/>
  <c r="Z53" i="3"/>
  <c r="Z59" i="3"/>
  <c r="Y59" i="3"/>
  <c r="Y57" i="3"/>
  <c r="Y53" i="3"/>
  <c r="Y45" i="3"/>
  <c r="Y41" i="3"/>
  <c r="Y33" i="3"/>
  <c r="Y29" i="3"/>
  <c r="X45" i="3"/>
  <c r="X53" i="3"/>
  <c r="X57" i="3"/>
  <c r="X59" i="3"/>
  <c r="W41" i="3"/>
  <c r="W33" i="3"/>
  <c r="X29" i="3"/>
  <c r="W29" i="3"/>
  <c r="X41" i="3"/>
  <c r="X33" i="3"/>
  <c r="W59" i="3"/>
  <c r="W57" i="3"/>
  <c r="W45" i="3"/>
  <c r="W53" i="3"/>
  <c r="V59" i="3"/>
  <c r="V57" i="3"/>
  <c r="V53" i="3"/>
  <c r="V45" i="3"/>
  <c r="V41" i="3"/>
  <c r="V33" i="3"/>
  <c r="V29" i="3"/>
  <c r="V21" i="3"/>
  <c r="U21" i="3"/>
  <c r="U29" i="3"/>
  <c r="U33" i="3"/>
  <c r="U41" i="3"/>
  <c r="U59" i="3"/>
  <c r="T41" i="3"/>
  <c r="S41" i="3"/>
  <c r="T33" i="3"/>
  <c r="T29" i="3"/>
  <c r="T21" i="3"/>
  <c r="T17" i="3"/>
  <c r="S59" i="3"/>
  <c r="S33" i="3"/>
  <c r="S29" i="3"/>
  <c r="S21" i="3"/>
  <c r="S17" i="3"/>
  <c r="R17" i="3"/>
  <c r="R21" i="3"/>
  <c r="R29" i="3"/>
  <c r="R33" i="3"/>
  <c r="R41" i="3"/>
  <c r="R59" i="3"/>
  <c r="Q17" i="3"/>
  <c r="Q21" i="3"/>
  <c r="Q29" i="3"/>
  <c r="Q33" i="3"/>
  <c r="P59" i="3"/>
  <c r="P33" i="3"/>
  <c r="P29" i="3"/>
  <c r="P21" i="3"/>
  <c r="P17" i="3"/>
  <c r="O33" i="3"/>
  <c r="O21" i="3"/>
  <c r="O17" i="3"/>
  <c r="N17" i="3"/>
  <c r="N33" i="3"/>
  <c r="N21" i="3"/>
  <c r="M33" i="3"/>
  <c r="M21" i="3"/>
  <c r="M17" i="3"/>
  <c r="BD67" i="3"/>
  <c r="AX21" i="2"/>
  <c r="AX25" i="2"/>
  <c r="AX14" i="2"/>
  <c r="AX16" i="2"/>
  <c r="AX17" i="2"/>
  <c r="AX18" i="2"/>
  <c r="AX19" i="2"/>
  <c r="AX20" i="2"/>
  <c r="AX22" i="2"/>
  <c r="AX23" i="2"/>
  <c r="AX24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15" i="2"/>
  <c r="CR16" i="1"/>
  <c r="CR17" i="1"/>
  <c r="CR18" i="1"/>
  <c r="CR19" i="1"/>
  <c r="CR14" i="1"/>
  <c r="CR15" i="1"/>
  <c r="DB15" i="7" l="1"/>
  <c r="DB16" i="7"/>
  <c r="DB17" i="7"/>
  <c r="DB18" i="7"/>
  <c r="DB20" i="7"/>
  <c r="DB14" i="7"/>
  <c r="CP21" i="7" l="1"/>
  <c r="DB21" i="7" l="1"/>
  <c r="BD15" i="3" l="1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4" i="3"/>
  <c r="BD56" i="3"/>
  <c r="BD57" i="3"/>
  <c r="BD58" i="3"/>
  <c r="BD60" i="3"/>
  <c r="BD61" i="3"/>
  <c r="BD62" i="3"/>
  <c r="BD63" i="3"/>
  <c r="BD64" i="3"/>
  <c r="BD65" i="3"/>
  <c r="BD66" i="3"/>
  <c r="BD68" i="3"/>
  <c r="BD69" i="3"/>
  <c r="BD70" i="3"/>
  <c r="BD14" i="3"/>
  <c r="BC72" i="3"/>
  <c r="BC24" i="3"/>
  <c r="BC22" i="3"/>
  <c r="BC20" i="3"/>
  <c r="BC18" i="3"/>
  <c r="BC16" i="3"/>
  <c r="BC14" i="3"/>
  <c r="CQ15" i="1" l="1"/>
  <c r="CQ16" i="1"/>
  <c r="CQ17" i="1"/>
  <c r="CQ18" i="1"/>
  <c r="CQ19" i="1"/>
  <c r="CQ14" i="1"/>
</calcChain>
</file>

<file path=xl/comments1.xml><?xml version="1.0" encoding="utf-8"?>
<comments xmlns="http://schemas.openxmlformats.org/spreadsheetml/2006/main">
  <authors>
    <author/>
  </authors>
  <commentList>
    <comment ref="AB26" authorId="0" shapeId="0">
      <text>
        <r>
          <rPr>
            <sz val="11"/>
            <color theme="1"/>
            <rFont val="Arial"/>
            <family val="2"/>
          </rPr>
          <t>======
ID#AAAAS6CaXvk
Ivonne    (2021-12-13 21:47:18)
El total de infraestructura más los $21.000.000 correspondientes a imprevistos adecuación infraestructura</t>
        </r>
      </text>
    </comment>
  </commentList>
</comments>
</file>

<file path=xl/sharedStrings.xml><?xml version="1.0" encoding="utf-8"?>
<sst xmlns="http://schemas.openxmlformats.org/spreadsheetml/2006/main" count="1284" uniqueCount="478">
  <si>
    <t>Producto MGA</t>
  </si>
  <si>
    <t>Actividad MGA</t>
  </si>
  <si>
    <t>Detalle Actividad</t>
  </si>
  <si>
    <t>Unidad</t>
  </si>
  <si>
    <t>Fecha Inicio</t>
  </si>
  <si>
    <t>Fecha Terminación</t>
  </si>
  <si>
    <t>Valor o Cantidad Total</t>
  </si>
  <si>
    <t>Valor Total</t>
  </si>
  <si>
    <t>% Ponderación</t>
  </si>
  <si>
    <t>Aporte Especie</t>
  </si>
  <si>
    <t>2020 / 05</t>
  </si>
  <si>
    <t>2020 / 06</t>
  </si>
  <si>
    <t>2020 / 07</t>
  </si>
  <si>
    <t>2020 / 08</t>
  </si>
  <si>
    <t>2020 / 09</t>
  </si>
  <si>
    <t>2020 / 10</t>
  </si>
  <si>
    <t>2020 / 11</t>
  </si>
  <si>
    <t>2020 / 12</t>
  </si>
  <si>
    <t>2021 / 01</t>
  </si>
  <si>
    <t>2021 / 02</t>
  </si>
  <si>
    <t>2021 / 03</t>
  </si>
  <si>
    <t>2021 / 04</t>
  </si>
  <si>
    <t>2021 / 05</t>
  </si>
  <si>
    <t>2021 / 06</t>
  </si>
  <si>
    <t>2021 / 07</t>
  </si>
  <si>
    <t>2021 / 08</t>
  </si>
  <si>
    <t>2021 / 09</t>
  </si>
  <si>
    <t>2021 / 10</t>
  </si>
  <si>
    <t>2021 / 11</t>
  </si>
  <si>
    <t>2021 / 12</t>
  </si>
  <si>
    <t>2022 / 01</t>
  </si>
  <si>
    <t>2022 / 02</t>
  </si>
  <si>
    <t>2022 / 03</t>
  </si>
  <si>
    <t>2022 / 04</t>
  </si>
  <si>
    <t>2022 / 05</t>
  </si>
  <si>
    <t>2022 / 06</t>
  </si>
  <si>
    <t>2022 / 07</t>
  </si>
  <si>
    <t>2022 / 08</t>
  </si>
  <si>
    <t>2022 / 09</t>
  </si>
  <si>
    <t>2022 / 10</t>
  </si>
  <si>
    <t>2022 / 11</t>
  </si>
  <si>
    <t>2022 / 12</t>
  </si>
  <si>
    <t>2023 / 01</t>
  </si>
  <si>
    <t>2023 / 02</t>
  </si>
  <si>
    <t>2023 / 03</t>
  </si>
  <si>
    <t>2023 / 04</t>
  </si>
  <si>
    <t>2023 / 05</t>
  </si>
  <si>
    <t>2023 / 06</t>
  </si>
  <si>
    <t>2023 / 07</t>
  </si>
  <si>
    <t>2023 / 08</t>
  </si>
  <si>
    <t>2023 / 09</t>
  </si>
  <si>
    <t>2023 / 10</t>
  </si>
  <si>
    <t>2023 / 11</t>
  </si>
  <si>
    <t>2023 / 12</t>
  </si>
  <si>
    <t>2024 / 01</t>
  </si>
  <si>
    <t>2024 / 02</t>
  </si>
  <si>
    <t>2024 / 03</t>
  </si>
  <si>
    <t>2024 / 04</t>
  </si>
  <si>
    <t>2024 / 05</t>
  </si>
  <si>
    <t>2024 / 06</t>
  </si>
  <si>
    <t>2024 / 07</t>
  </si>
  <si>
    <t>2024 / 08</t>
  </si>
  <si>
    <t>2024 / 09</t>
  </si>
  <si>
    <t>2024 / 10</t>
  </si>
  <si>
    <t>2024 / 11</t>
  </si>
  <si>
    <t>2024 / 12</t>
  </si>
  <si>
    <t>2025 / 01</t>
  </si>
  <si>
    <t>2025 / 02</t>
  </si>
  <si>
    <t>2025 / 03</t>
  </si>
  <si>
    <t>2025 / 04</t>
  </si>
  <si>
    <t>2025 / 05</t>
  </si>
  <si>
    <t>2025 / 06</t>
  </si>
  <si>
    <t>2025 / 07</t>
  </si>
  <si>
    <t>2025 / 08</t>
  </si>
  <si>
    <t>2025 / 09</t>
  </si>
  <si>
    <t>2025 / 10</t>
  </si>
  <si>
    <t>2025 / 11</t>
  </si>
  <si>
    <t>2025 / 12</t>
  </si>
  <si>
    <t>2026 / 01</t>
  </si>
  <si>
    <t>2026 / 02</t>
  </si>
  <si>
    <t>2026 / 03</t>
  </si>
  <si>
    <t>2026 / 04</t>
  </si>
  <si>
    <t>2026 / 05</t>
  </si>
  <si>
    <t>2026 / 06</t>
  </si>
  <si>
    <t>2026 / 07</t>
  </si>
  <si>
    <t>2026 / 08</t>
  </si>
  <si>
    <t>2026 / 09</t>
  </si>
  <si>
    <t>2026 / 10</t>
  </si>
  <si>
    <t>2026 / 11</t>
  </si>
  <si>
    <t>2026 / 12</t>
  </si>
  <si>
    <t>2027 / 01</t>
  </si>
  <si>
    <t>2027 / 02</t>
  </si>
  <si>
    <t>2027 / 03</t>
  </si>
  <si>
    <t>2027 / 04</t>
  </si>
  <si>
    <t>Servicio de apoyo financiero para la formación de nivel doctoral</t>
  </si>
  <si>
    <t>Apoyar la supervisión del proyecto</t>
  </si>
  <si>
    <t>$</t>
  </si>
  <si>
    <t>N</t>
  </si>
  <si>
    <t>Financiar los créditos educativos condonables</t>
  </si>
  <si>
    <t>Realizar el seguimiento académico y financiero de los créditos educativos.</t>
  </si>
  <si>
    <t>EJECUTADO</t>
  </si>
  <si>
    <t xml:space="preserve">PROGRAMADO </t>
  </si>
  <si>
    <t>BPIN</t>
  </si>
  <si>
    <t>NOMBRE DEL PROYECTO</t>
  </si>
  <si>
    <t xml:space="preserve">Formación de Capital Humano de alto nivel Universidad de los Llanos Nacional
</t>
  </si>
  <si>
    <t xml:space="preserve">MESES </t>
  </si>
  <si>
    <t>Valor total</t>
  </si>
  <si>
    <t>Valor SGR</t>
  </si>
  <si>
    <t xml:space="preserve">Estado </t>
  </si>
  <si>
    <t xml:space="preserve">Plazo de ejecución </t>
  </si>
  <si>
    <t>% Avance físico</t>
  </si>
  <si>
    <t>% Avance financiero</t>
  </si>
  <si>
    <t>CRONOGRAMA DE EJECUCIÓN</t>
  </si>
  <si>
    <r>
      <rPr>
        <b/>
        <sz val="11"/>
        <color theme="1"/>
        <rFont val="Arial Narrow"/>
        <family val="2"/>
      </rPr>
      <t>Plan Nacional de Desarrollo</t>
    </r>
    <r>
      <rPr>
        <sz val="11"/>
        <color theme="1"/>
        <rFont val="Arial Narrow"/>
        <family val="2"/>
      </rPr>
      <t xml:space="preserve"> (2018-2022) Pacto por Colombia, pacto por la equidad
</t>
    </r>
    <r>
      <rPr>
        <sz val="11"/>
        <color theme="1"/>
        <rFont val="Arial Narrow"/>
        <family val="2"/>
      </rPr>
      <t xml:space="preserve">
</t>
    </r>
  </si>
  <si>
    <r>
      <rPr>
        <b/>
        <sz val="11"/>
        <color theme="1"/>
        <rFont val="Arial Narrow"/>
        <family val="2"/>
      </rPr>
      <t>Plan Departamental de Desarrollo:</t>
    </r>
    <r>
      <rPr>
        <sz val="11"/>
        <color theme="1"/>
        <rFont val="Arial Narrow"/>
        <family val="2"/>
      </rPr>
      <t xml:space="preserve">
-Departamento del Meta "El META, Tierra de Oportunidades. Inclusión - Reconciliación Equidad 
- Departamento de Boyacá Creemos en Boyacá Tierra de Paz y Libertad
- Departamento del Güaianía Vamos Pa' Lante Guainía
</t>
    </r>
    <r>
      <rPr>
        <b/>
        <sz val="11"/>
        <color theme="1"/>
        <rFont val="Arial Narrow"/>
        <family val="2"/>
      </rPr>
      <t/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</si>
  <si>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
- Departamento del Meta: Eje 3: Sustentabilidad económica y del territorio
- Departamento de Boyacá: Eje 1: Fomentará la investigación para el conocimiento, protección y aprovechamiento de ecosistemas productores
y protectores de fuentes hídricas como los páramos, bosques alto andinos y otros que hay en el Dpto.
- Departamento de Guainía: Eje 1 Movilidad social con enfoque diferencial</t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</si>
  <si>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 
3005 - V. Pacto por la Ciencia, la Tecnología y la Innovación: un sistema para construir el conocimiento de la Colombia del futuro</t>
    </r>
  </si>
  <si>
    <t>Líneas programática:</t>
  </si>
  <si>
    <t>96 meses</t>
  </si>
  <si>
    <t>En ejecución</t>
  </si>
  <si>
    <t xml:space="preserve">Investigación de la transformación productiva del suelo de altillanura mediante la producción de cerdos de engorde a campo abierto, en predios de pequeños y medianos productores, generando empoderamiento de la mujer en Puerto López
</t>
  </si>
  <si>
    <r>
      <t xml:space="preserve">Programa
</t>
    </r>
    <r>
      <rPr>
        <sz val="11"/>
        <color theme="1"/>
        <rFont val="Arial Narrow"/>
        <family val="2"/>
      </rPr>
      <t>3902 - Investigación con calidad e impacto</t>
    </r>
  </si>
  <si>
    <r>
      <rPr>
        <b/>
        <sz val="11"/>
        <color theme="1"/>
        <rFont val="Arial Narrow"/>
        <family val="2"/>
      </rPr>
      <t>Programa</t>
    </r>
    <r>
      <rPr>
        <sz val="11"/>
        <color theme="1"/>
        <rFont val="Arial Narrow"/>
        <family val="2"/>
      </rPr>
      <t xml:space="preserve">
- Departamento del Meta: Programa 2: Ciencia, Tecnología e Innovación CTeI
- Departamento de Boyacá: Programa 1.2.1: Creemos condiciones para la CTeI
- Departamento de Guainía: Programa 3: Educación Superior</t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</si>
  <si>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
- Departamento del Meta: Eje 3: Sustentabilidad económica y del territorio
- Departamento de Arauca Eje estratégico 3. Productividad y competitividad para el desarrollo
- Departamento de Casanare Desarrollo económico sostenible
- Departamento de Guainia Eje estratégico 2. Económico desarrollo del campo y aumento de productividad 
- Departamento de Guaviare Eje Estratégico 2: El Campo, Motor de Futuro y Desarrollo Económico
- Departamento de Vaupes Eje estratégico: Ciencia tecnología e innovación compromiso de todos
- Departamento de Vichada Eje estratégico 2. Vichada productivo y sostenible</t>
    </r>
  </si>
  <si>
    <r>
      <rPr>
        <b/>
        <sz val="11"/>
        <color theme="1"/>
        <rFont val="Arial Narrow"/>
        <family val="2"/>
      </rPr>
      <t>Programa</t>
    </r>
    <r>
      <rPr>
        <sz val="11"/>
        <color theme="1"/>
        <rFont val="Arial Narrow"/>
        <family val="2"/>
      </rPr>
      <t xml:space="preserve">
- Dpto del Meta Programa "Ciencia, Tecnología e Innovación"
- Dpto de Arauca Programa 3. Ciencia, Tecnología e Innovación
- Dpto de Casanare Programa 4.2.1.2. Fortalecimiento de las apuestas productivas estratégicas Guainia Programa. Producción agrícola y pecuaria
- Dpto de Guaviare Programa 2.2. Producción competitiva, desarrollo efectivo para el Departamento Vaupes Programa: Desarrollo rural agropecuario
compromiso de todos
- Dpto de Vichada Programa c. Programa de investigación agropecuaria de vichada</t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</si>
  <si>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 
3005 - V. Pacto por la Ciencia, la Tecnología y la Innovación: un sistema para construir el conocimiento de la Colombia del futuro
</t>
    </r>
    <r>
      <rPr>
        <b/>
        <sz val="11"/>
        <color theme="1"/>
        <rFont val="Arial Narrow"/>
        <family val="2"/>
      </rPr>
      <t>Línea</t>
    </r>
    <r>
      <rPr>
        <sz val="11"/>
        <color theme="1"/>
        <rFont val="Arial Narrow"/>
        <family val="2"/>
      </rPr>
      <t xml:space="preserve">
300503 - 3. Tecnología e investigación para el desarrollo productivo y social</t>
    </r>
  </si>
  <si>
    <r>
      <rPr>
        <b/>
        <sz val="11"/>
        <color theme="1"/>
        <rFont val="Arial Narrow"/>
        <family val="2"/>
      </rPr>
      <t>Plan Departamental de Desarrollo:</t>
    </r>
    <r>
      <rPr>
        <sz val="11"/>
        <color theme="1"/>
        <rFont val="Arial Narrow"/>
        <family val="2"/>
      </rPr>
      <t xml:space="preserve">
- Departamental Meta 2016 - 2019 "Tierra de Oportunidades. Inclusión -Reconciliación -Equidad 
- Departamento de Arauca Humanizando el desarrollo 2016 2019  
- Departamento de Casanare con paso firme 2016 - 2019
- Departamento de Guainía Vamos pa' lante Guainía 2016 - 2019
- Departamento Guaviare Paz y Desarrollo Social 2016 - 2019 
- DepartamentoVaupés Un compromiso de todos 2016 - 2019 
-  Departamento de Vichada Construyamos Vichada 2016 - 2019
</t>
    </r>
    <r>
      <rPr>
        <b/>
        <sz val="11"/>
        <color theme="1"/>
        <rFont val="Arial Narrow"/>
        <family val="2"/>
      </rPr>
      <t/>
    </r>
  </si>
  <si>
    <r>
      <rPr>
        <b/>
        <sz val="11"/>
        <color theme="1"/>
        <rFont val="Arial Narrow"/>
        <family val="2"/>
      </rPr>
      <t>Plan Departamental de Desarrollo:</t>
    </r>
    <r>
      <rPr>
        <sz val="11"/>
        <color theme="1"/>
        <rFont val="Arial Narrow"/>
        <family val="2"/>
      </rPr>
      <t xml:space="preserve">
- Departamental Meta 2016 - 2019 "Tierra de Oportunidades. Inclusión -Reconciliación -Equidad 
- Departamento de Arauca Humanizando el desarrollo 2016 2019  
- Departamento de Casanare con paso firme 2016 - 2019
- Departamento de Guainía Vamos pa' lante Guainía 2016 - 2019
- Departamento Guaviare Paz y Desarrollo Social 2016 - 2019 
- DepartamentoVaupés Un compromiso de todos 2016 - 2019 
-  Departamento de Vichada Construyamos Vichada  2016 - 2019
</t>
    </r>
    <r>
      <rPr>
        <b/>
        <sz val="11"/>
        <color theme="1"/>
        <rFont val="Arial Narrow"/>
        <family val="2"/>
      </rPr>
      <t/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</si>
  <si>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
- Departamento del Meta: : Desarrollo Humano Incluyente y Equitativo -Eje 3: Sustentabilidad económica y del territorio
- Departamento de Arauca  Reducción de brechas de pobreza para la igualdad- Eje estratégico 3. Productividad y competitividad para el desarrollo
- Departamento de Casanare  Reto 6: Casanare transparente y eficiente 
- Departamento de Guainia :CTeI
- Departamento de Guaviare Componente transversal de innovación y TICs
- Departamento de Vaupes Estrategia: Ciencia tecnología e innovación compromiso de todos
- Departamento de Vichada Eje estratégico 3 Por un Vichada competitivo</t>
    </r>
  </si>
  <si>
    <r>
      <rPr>
        <b/>
        <sz val="11"/>
        <color theme="1"/>
        <rFont val="Arial Narrow"/>
        <family val="2"/>
      </rPr>
      <t>Programa</t>
    </r>
    <r>
      <rPr>
        <sz val="11"/>
        <color theme="1"/>
        <rFont val="Arial Narrow"/>
        <family val="2"/>
      </rPr>
      <t xml:space="preserve">
- Dpto del Meta EE1: Política de Salud. EE1: Política de Educación. EE3: Política de TIC, Ciencia, Investigación e Innovación
- Dpto de Arauca Reducción de brechas de pobreza para la igualdad
- Dpto de Casanare Reto 4: Casanare social, solidario e incluyente. Reto 6: Casanare transparente y eficiente
 - Departamento de Guainia :CTeI
- Dpto de Guaviare  Componente transversal de innovación y TICs
- Dpto Vaupes E: Ciencia, Tecnología e Innovación
- Dpto de Vichada: EE1 Programa vidas saludables y condiciones no transmisibles</t>
    </r>
  </si>
  <si>
    <t>44 meses</t>
  </si>
  <si>
    <t>1.1.1 Adquisición de dos escáneres que permitan la captura y digitalización láminas para la Universidad de los Llanos y la Universidad Nacional de Colombia</t>
  </si>
  <si>
    <t>Adquisición de dos escáneres que permitan la captura y digitalización láminas para la Universidad de los Llanos y la Universidad Nacional de Colombia</t>
  </si>
  <si>
    <t>1.1.2 Adquisición de dos escáneres que permitan la captura y digitalización láminas para la Universidad de los Llanos y la Universidad Nacional de Colombia</t>
  </si>
  <si>
    <t>Adquisición de dos escáneres que permitan la captura y digitalización láminas para la Universidad de los Llanos y la Universidad Nacional de Colombia (especie)</t>
  </si>
  <si>
    <t>S</t>
  </si>
  <si>
    <t>1.2.1 Convocar una red local de actores clave para el uso del servicio de patología digital que reúna el conocimiento y material disponible en la región de los Llanos</t>
  </si>
  <si>
    <t>Convocar una red local de actores clave para el uso del servicio de patología digital que reúna el conocimiento y material disponible en la región de los Llanos</t>
  </si>
  <si>
    <t>1.2.2 Convocar una red local de actores clave para el uso del servicio de patología digital que reúna el conocimiento y material disponible en la región de los Llanos</t>
  </si>
  <si>
    <t>Convocar una red local de actores clave para el uso del servicio de patología digital que reúna el conocimiento y material disponible en la región de los Llanos (especie)</t>
  </si>
  <si>
    <t>1.3.1 Estandarización de rutas y procedimientos de entrega de material biológico</t>
  </si>
  <si>
    <t>Estandarización de rutas y procedimientos de entrega de material biológico</t>
  </si>
  <si>
    <t>1.3.2 Estandarización de rutas y procedimientos de entrega de material biológico</t>
  </si>
  <si>
    <t>Estandarización de rutas y procedimientos de entrega de material biológico (especie)</t>
  </si>
  <si>
    <t>1.4.1 Captura y almacenamiento de láminas de patología</t>
  </si>
  <si>
    <t>Captura y almacenamiento de láminas de patología</t>
  </si>
  <si>
    <t>1.4.2 Captura y almacenamiento de láminas de patología</t>
  </si>
  <si>
    <t>Captura y almacenamiento de láminas de patología (especie)</t>
  </si>
  <si>
    <t>2.1.1 Construcción de prototipo de escáner de bajo costo para digitalización de placas</t>
  </si>
  <si>
    <t>Construcción de prototipo de escáner de bajo costo para digitalización de placas</t>
  </si>
  <si>
    <t>2.1.2 Construcción de prototipo de escáner de bajo costo para digitalización de placas</t>
  </si>
  <si>
    <t>Construcción de prototipo de escáner de bajo costo para digitalización de placas (especie)</t>
  </si>
  <si>
    <t>2.2.1 Diseño y desarrollo de sistema web con un módulo para la visualización y navegación de las láminas a diferentes escalas</t>
  </si>
  <si>
    <t>Diseño y desarrollo de sistema web con un módulo para la visualización y navegación de las láminas a diferentes escalas</t>
  </si>
  <si>
    <t>2.2.2 Diseño y desarrollo de sistema web con un módulo para la visualización y navegación de las láminas a diferentes escalas</t>
  </si>
  <si>
    <t>Diseño y desarrollo de sistema web con un módulo para la visualización y navegación de las láminas a diferentes escalas (especie)</t>
  </si>
  <si>
    <t>2.3.1 Diseño y construcción de un módulo para facilitar la navegación de profesionales de patología</t>
  </si>
  <si>
    <t>Diseño y construcción de un módulo para facilitar la navegación de profesionales de patología</t>
  </si>
  <si>
    <t>2.3.2 Diseño y construcción de un módulo para facilitar la navegación de profesionales de patología</t>
  </si>
  <si>
    <t>Diseño y construcción de un módulo para facilitar la navegación de profesionales de patología (especie)</t>
  </si>
  <si>
    <t>2.4.1 Elaboración y validación de los protocolos de digitalización y navegación</t>
  </si>
  <si>
    <t>Elaboración y validación de los protocolos de digitalización y navegación</t>
  </si>
  <si>
    <t>2.4.2 Elaboración y validación de los protocolos de digitalización y navegación</t>
  </si>
  <si>
    <t>Elaboración y validación de los protocolos de digitalización y navegación (especie)</t>
  </si>
  <si>
    <t>3.1.1 Diseño de índices o indicadores de la arquitectura del tejido, la morfología celular y la intensidad de la coloración del tejido.</t>
  </si>
  <si>
    <t>Diseño de índices o indicadores de la arquitectura del tejido, la morfología celular y la intensidad de la coloración del tejido.</t>
  </si>
  <si>
    <t>3.1.2 Diseño de índices o indicadores de la arquitectura del tejido, la morfología celular y la intensidad de la coloración del tejido.</t>
  </si>
  <si>
    <t>Diseño de índices o indicadores de la arquitectura del tejido, la morfología celular y la intensidad de la coloración del tejido (especie)</t>
  </si>
  <si>
    <t>3.2.1 Diseño y construcción un sistema de apoyo al diagnóstico que aprenda del proceso de exploración diagnóstica que realiza un experto</t>
  </si>
  <si>
    <t>Diseño y construcción un sistema de apoyo al diagnóstico que aprenda del proceso de exploración diagnóstica que realiza un experto</t>
  </si>
  <si>
    <t>3.2.2 Diseño y construcción un sistema de apoyo al diagnóstico que aprenda del proceso de exploración diagnóstica que realiza un experto</t>
  </si>
  <si>
    <t>Diseño y construcción un sistema de apoyo al diagnóstico que aprenda del proceso de exploración diagnóstica que realiza un experto (especie)</t>
  </si>
  <si>
    <t>3.3.1 Validación de los modelos comparando la predicción obtenida el diagnóstico emitido por profesionales de patología</t>
  </si>
  <si>
    <t>Validación de los modelos comparando la predicción obtenida el diagnóstico emitido por profesionales de patología</t>
  </si>
  <si>
    <t>3.3.2 Validación de los modelos comparando la predicción obtenida el diagnóstico emitido por profesionales de patología</t>
  </si>
  <si>
    <t>Validación de los modelos comparando la predicción obtenida el diagnóstico emitido por profesionales de patología (especie)</t>
  </si>
  <si>
    <t>3.4.1 Recolección y agrupación de casos sobre los cuales se pueda establecer de manera clásica un tipo de pronóstico/riesgo que tengan láminas tanto de hematoxilina &amp; eosina y marcadores bioquímicos definidos por la inmunohistoquímica</t>
  </si>
  <si>
    <t>Recolección y agrupación de casos sobre los cuales se pueda establecer de manera clásica un tipo de pronóstico/riesgo que tengan láminas tanto de hematoxilina &amp; eosina y marcadores bioquímicos definidos por la inmunohistoquímica (especie)</t>
  </si>
  <si>
    <t>3.4.2 Recolección y agrupación de casos sobre los cuales se pueda establecer de manera clásica un tipo de pronóstico/riesgo que tengan láminas tanto de hematoxilina &amp; eosina y marcadores bioquímicos definidos por la inmunohistoquímica</t>
  </si>
  <si>
    <t>Recolección y agrupación de casos sobre los cuales se pueda establecer de manera clásica un tipo de pronóstico/riesgo que tengan láminas tanto de hematoxilina &amp; eosina y marcadores bioquímicos definidos por la inmunohistoquímica</t>
  </si>
  <si>
    <t>3.5.1 Etiquetar los casos de acuerdo a su marcador bioquímico particular y determinar patrones histológicos característicos de cada grupo</t>
  </si>
  <si>
    <t>Etiquetar los casos de acuerdo a su marcador bioquímico particular y determinar patrones histológicos característicos de cada grupo</t>
  </si>
  <si>
    <t>3.5.2 Etiquetar los casos de acuerdo a su marcador bioquímico particular y determinar patrones histológicos característicos de cada grupo</t>
  </si>
  <si>
    <t>Etiquetar los casos de acuerdo a su marcador bioquímico particular y determinar patrones histológicos característicos de cada grupo (especie)</t>
  </si>
  <si>
    <t>3.6.1 Administración integral del proyecto</t>
  </si>
  <si>
    <t>Administración integral del proyecto</t>
  </si>
  <si>
    <t>3.6.2 Administración integral del proyecto</t>
  </si>
  <si>
    <t>Administración integral del proyecto (especie)</t>
  </si>
  <si>
    <t>3.7.1 Apoyo a la supervisión del proyecto</t>
  </si>
  <si>
    <t>Apoyo a la supervisión del proyecto</t>
  </si>
  <si>
    <t xml:space="preserve">Implementación de un modelo de apropiación social de conocimiento para la optimización de la produccción agropecuaria con pequeños productores  Vichada
</t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</si>
  <si>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 
1052 - Competitividad e infraestructura estratégicas
</t>
    </r>
    <r>
      <rPr>
        <b/>
        <sz val="11"/>
        <color theme="1"/>
        <rFont val="Arial Narrow"/>
        <family val="2"/>
      </rPr>
      <t>Objetivo</t>
    </r>
    <r>
      <rPr>
        <sz val="11"/>
        <color theme="1"/>
        <rFont val="Arial Narrow"/>
        <family val="2"/>
      </rPr>
      <t xml:space="preserve">
10522 - Contribuir al desarrollo productivo y la solución de los desafios sociales del país, a través de la ciencia, tecnología e innovación</t>
    </r>
  </si>
  <si>
    <r>
      <rPr>
        <b/>
        <sz val="11"/>
        <color theme="1"/>
        <rFont val="Arial Narrow"/>
        <family val="2"/>
      </rPr>
      <t>Plan Departamental de Desarrollo:</t>
    </r>
    <r>
      <rPr>
        <sz val="11"/>
        <color theme="1"/>
        <rFont val="Arial Narrow"/>
        <family val="2"/>
      </rPr>
      <t xml:space="preserve">
Construyamos Vichada  2016 - 2019
</t>
    </r>
    <r>
      <rPr>
        <b/>
        <sz val="11"/>
        <color theme="1"/>
        <rFont val="Arial Narrow"/>
        <family val="2"/>
      </rPr>
      <t/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</si>
  <si>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
Vichada productivo y sostenible</t>
    </r>
  </si>
  <si>
    <r>
      <t xml:space="preserve">Programa
</t>
    </r>
    <r>
      <rPr>
        <sz val="11"/>
        <color theme="1"/>
        <rFont val="Arial Narrow"/>
        <family val="2"/>
      </rPr>
      <t>3904 - Generación de una cultura que valora y gestiona el conocimiento y la innovación</t>
    </r>
  </si>
  <si>
    <r>
      <rPr>
        <b/>
        <sz val="11"/>
        <color theme="1"/>
        <rFont val="Arial Narrow"/>
        <family val="2"/>
      </rPr>
      <t xml:space="preserve">Programa
</t>
    </r>
    <r>
      <rPr>
        <sz val="11"/>
        <color theme="1"/>
        <rFont val="Arial Narrow"/>
        <family val="2"/>
      </rPr>
      <t xml:space="preserve">
Programa de reconocimiento de la productividad agropecuaria de Vichada</t>
    </r>
  </si>
  <si>
    <t>45 meses</t>
  </si>
  <si>
    <r>
      <rPr>
        <b/>
        <sz val="11"/>
        <color theme="1"/>
        <rFont val="Arial Narrow"/>
        <family val="2"/>
      </rPr>
      <t>Plan Nacional de Desarrollo</t>
    </r>
    <r>
      <rPr>
        <sz val="11"/>
        <color theme="1"/>
        <rFont val="Arial Narrow"/>
        <family val="2"/>
      </rPr>
      <t xml:space="preserve"> (2018-2022)
Pacto por Colombia, pacto por la equidad
</t>
    </r>
  </si>
  <si>
    <t>1.1.1  Socializar el proyecto con los actores de los sectores agro y CTeI</t>
  </si>
  <si>
    <t>2.4.1 Socializaciones</t>
  </si>
  <si>
    <t>und</t>
  </si>
  <si>
    <t>1.2.1 Convocar a los pequeños productores, grupos de investigación, funcionarios y gremios.</t>
  </si>
  <si>
    <t>2.5.1 Convocatorias</t>
  </si>
  <si>
    <t>1.3.1 Sensibilizar a técnicos y estudiantes de carreras relacionadas con el sector para desarrollar tareas de acompañamiento en procesos de ASCTI a pequeños productores agropecuarios.</t>
  </si>
  <si>
    <t>2.1.1 Evento de Sensibilización</t>
  </si>
  <si>
    <t>1.4.1 Concertar Ruta de Articulación Entre los actores del proyecto: productores agropecuarios, instituciones generadoras de conocimiento e instituciones del sector</t>
  </si>
  <si>
    <t>2.3.1 Ciclo de eventos</t>
  </si>
  <si>
    <t>1.5.1 Crear redes de conocimiento con los productores agropecuarios para la Participación ciudadana en proyectos CTI</t>
  </si>
  <si>
    <t>2.2.1 Ciclo de eventos</t>
  </si>
  <si>
    <t>2.1.1 Caracterizar las prácticas culturales en torno a la CTeI y la actividad agropecuaria de los participantes</t>
  </si>
  <si>
    <t>1.2.1 Documento de Caracterización</t>
  </si>
  <si>
    <t>2.2.1 Implementar estrategia de diálogo de saberes entre la comunidad científica y la comunidad de productores</t>
  </si>
  <si>
    <t>1.1.1 Ciclo de visitas a fincas</t>
  </si>
  <si>
    <t>2.2.2 Implementar estrategia de diálogo de saberes entre la comunidad científica y la comunidad de productores</t>
  </si>
  <si>
    <t>1.1.2 Contrapartida de acompañamiento por parte de la Universidad</t>
  </si>
  <si>
    <t>%</t>
  </si>
  <si>
    <t>2.3.1  Co crear planes estratégicos de articulación para la democratización del conocimiento científico</t>
  </si>
  <si>
    <t>1.4.1 Documentos</t>
  </si>
  <si>
    <t>2.4.1 Desarrollar estrategias de comunicación del conocimiento</t>
  </si>
  <si>
    <t>1.3.1 Visitas / Productos de comunicación</t>
  </si>
  <si>
    <t>3.4.1 Evento final y entrega de sistema de gestión</t>
  </si>
  <si>
    <t>3.2.1 Documentos</t>
  </si>
  <si>
    <t>3.3.1 Realizar participativamente el seguimiento a indicadores de apropiación</t>
  </si>
  <si>
    <t>3.3.1 Plataforma / bateria documento</t>
  </si>
  <si>
    <t>3.3.2. Realizar participativamente el seguimiento a indicadores de apropiación</t>
  </si>
  <si>
    <t>3.3.2 Bateria Documento</t>
  </si>
  <si>
    <t>3.4.1 Administración</t>
  </si>
  <si>
    <t>3.1.1 administración</t>
  </si>
  <si>
    <t>3.4.2 Administración</t>
  </si>
  <si>
    <t>3.1.2 Contrapartida administración</t>
  </si>
  <si>
    <t>3.5.1 INTERVENTORIA</t>
  </si>
  <si>
    <t>3.5.1 Interventoria</t>
  </si>
  <si>
    <t xml:space="preserve">Fortalecimiento de capacidades instaladas de ciencia y tecnología de la Universidad de los Llanos para atender problemáticas asociadas con agentes biológicos y de contaminación con alto riesgo para la salud pública y ambiental en el Departamento del Meta
</t>
  </si>
  <si>
    <t>39,6 meses</t>
  </si>
  <si>
    <r>
      <rPr>
        <b/>
        <sz val="11"/>
        <color theme="1"/>
        <rFont val="Arial Narrow"/>
        <family val="2"/>
      </rPr>
      <t>Plan Departamental de Desarrollo:</t>
    </r>
    <r>
      <rPr>
        <sz val="11"/>
        <color theme="1"/>
        <rFont val="Arial Narrow"/>
        <family val="2"/>
      </rPr>
      <t xml:space="preserve">
- Departamental Meta 2016 - 2019 "Tierra de Oportunidades. Inclusión -Reconciliación -Equidad </t>
    </r>
    <r>
      <rPr>
        <b/>
        <sz val="11"/>
        <color theme="1"/>
        <rFont val="Arial Narrow"/>
        <family val="2"/>
      </rPr>
      <t/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</si>
  <si>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
- Departamento del Meta: Eje 3: Sustentabilidad económica y del territorio
</t>
    </r>
  </si>
  <si>
    <r>
      <t xml:space="preserve">Programa
</t>
    </r>
    <r>
      <rPr>
        <sz val="11"/>
        <color theme="1"/>
        <rFont val="Arial Narrow"/>
        <family val="2"/>
      </rPr>
      <t>3902 - Investigación con calidad e impacto</t>
    </r>
  </si>
  <si>
    <r>
      <rPr>
        <b/>
        <sz val="11"/>
        <color theme="1"/>
        <rFont val="Arial Narrow"/>
        <family val="2"/>
      </rPr>
      <t>Programa</t>
    </r>
    <r>
      <rPr>
        <sz val="11"/>
        <color theme="1"/>
        <rFont val="Arial Narrow"/>
        <family val="2"/>
      </rPr>
      <t xml:space="preserve">
- Dpto del Meta Programa "Ciencia, Tecnología e Innovación"
</t>
    </r>
  </si>
  <si>
    <t>Realizar la administración del objetivo 1.</t>
  </si>
  <si>
    <t>Diseñar, implementar y validar los documentos de lineamientos de bioseguridad de los espacios a intervenir y el comisionamiento.</t>
  </si>
  <si>
    <t>Realizar las adecuaciones en la infraestructura del Laboratorio de Toxicología y Biotecnología: etapa preparatoria y precontractual</t>
  </si>
  <si>
    <t>Realizar las adecuaciones en la infraestructura del Laboratorio de Toxicología y Biotecnología: etapa contractual</t>
  </si>
  <si>
    <t>Supervisión del objetivo 1.</t>
  </si>
  <si>
    <t>Realizar entrenamiento especializado al capital humano de la institución ejecutora en técnicas de diagnóstico  en salud pblica y salud ambiental.</t>
  </si>
  <si>
    <t>Estudio de mercado de los servicios a ofrecer en los Laboratorios de Toxicología y Biotecnología y del Laboratorio de Farmacología</t>
  </si>
  <si>
    <t>Ajustar y revisar protocolos de los servicios a ofrecer en los Laboratorios de Toxicología y Biotecnología y del Laboratorio de Farmacología</t>
  </si>
  <si>
    <t>Establecer costos de los servicios a ofrecer en los Laboratorios de Toxicología y Biotecnología y del Laboratorio de Farmacología</t>
  </si>
  <si>
    <t>Revision de documentacion para la aplicación de la norma ISO17025</t>
  </si>
  <si>
    <t>Definicion de la estructura del portafolio de los servicios a ofrecer en los Laboratorios de Toxicología y Biotecnología y del Laboratorio de Farmacología</t>
  </si>
  <si>
    <t>Realizar la administración del objetivo 2.</t>
  </si>
  <si>
    <t>Realizar el proceso de contratación de equipos especializados modernos en tres etapas: Etapa preparatoria y etapa precontractual.</t>
  </si>
  <si>
    <t>Realizar el proceso de contratación de equipos especializados modernos en tres etapas: Etapa contractual.</t>
  </si>
  <si>
    <t>Realizar el proceso de contratación de reactivos y materiales para los Laboratorios de Toxicología y Biotecnología y de Farmacología en tres etapas: Etapa preparatoria y etapa precontractual.</t>
  </si>
  <si>
    <t>Realizar el proceso de contratación de reactivos y materiales para los Laboratorios de Toxicología y Biotecnología y de Farmacología en tres etapas: etapa contractual.</t>
  </si>
  <si>
    <t>Realizar el proceso de contratación de mobiliario para los Laboratorios de Toxicología y Biotecnología y de Farmacología en tres etapas: Etapa preparatoria y etapa precontractual.</t>
  </si>
  <si>
    <t>Realizar el proceso de contratación de mobiliario para los Laboratorios de Toxicología y Biotecnología y de Farmacología en tres etapas: etapa contractual.</t>
  </si>
  <si>
    <t>Supervisión del objetivo 2.</t>
  </si>
  <si>
    <t>1.3 Realizar las adecuaciones en la infraestructura del Laboratorio de Toxicología y Biotecnología</t>
  </si>
  <si>
    <t>2.2 Establecer la estructura del portafolio de servicios de los Laboratorios de Toxicología y Biotecnología y del Laboratorio de Farmacología</t>
  </si>
  <si>
    <t>3.1 Realizar la administración del objetivo 2.</t>
  </si>
  <si>
    <t>3.2 Realizar el proceso de contratación de equipos especializados modernos en tres etapas: Etapa preparatoria, etapa precontractual y etapa contractual.</t>
  </si>
  <si>
    <t>3.3 Realizar el proceso de contratación de reactivos y materiales para los Laboratorios de Toxicología y Biotecnología y de Farmacología en tres etapas: Etapa preparatoria, etapa precontractual y etapa contractual.</t>
  </si>
  <si>
    <t>3.4 Realizar el proceso de contratación de mobiliario para los Laboratorios de Toxicología y Biotecnología y de Farmacología en tres etapas: Etapa preparatoria, etapa precontractual y etapa contractual.</t>
  </si>
  <si>
    <t>Formación DE CAPITAL HUMANO DE ALTO NIVEL UNIVERSIDAD DE LOS LLANOS CORTE II Nacional</t>
  </si>
  <si>
    <r>
      <rPr>
        <b/>
        <sz val="11"/>
        <color theme="1"/>
        <rFont val="Arial Narrow"/>
        <family val="2"/>
      </rPr>
      <t>Plan Departamental de Desarrollo:</t>
    </r>
    <r>
      <rPr>
        <sz val="11"/>
        <color theme="1"/>
        <rFont val="Arial Narrow"/>
        <family val="2"/>
      </rPr>
      <t xml:space="preserve">
- Departamental Meta 2016 - 2019 "Tierra de Oportunidades. Inclusión -Reconciliación -Equidad 
- Departamento de Arauca Humanizando el desarrollo 2016 2019  
</t>
    </r>
    <r>
      <rPr>
        <b/>
        <sz val="11"/>
        <color theme="1"/>
        <rFont val="Arial Narrow"/>
        <family val="2"/>
      </rPr>
      <t/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</si>
  <si>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
- Departamento del Meta: Capítulo III Dimensiones del desarrollo 1 "Hagamos grande al Meta en lo productivo", Sector 17 "Agricultura y desarrollo rural" y Sector 39 "Ciencia Tecnología e Innovación"
- Departamento de Arauca Arauca: Línea Estratégica No.1³Arauca con trabajo´ Sector Tecnologías de la Información y las Comunicaciones, Ciencia, Tecnología e Innovación´y en la Línea Estratégica No.2 Arauca con Desarrollo Rural Sostenible´
</t>
    </r>
  </si>
  <si>
    <r>
      <rPr>
        <b/>
        <sz val="11"/>
        <color theme="1"/>
        <rFont val="Arial Narrow"/>
        <family val="2"/>
      </rPr>
      <t>Programa</t>
    </r>
    <r>
      <rPr>
        <sz val="11"/>
        <color theme="1"/>
        <rFont val="Arial Narrow"/>
        <family val="2"/>
      </rPr>
      <t xml:space="preserve">
- Dpto del Meta Programa "Hagamos Grande al Meta Con Ciencia, tecnología e innovación agropecuaria"
- Dpto de Arauca Sector "Desarrollo Rural y Agroindustria"y Sector "Medio Ambiente y Cambio Climático"</t>
    </r>
  </si>
  <si>
    <t>Realizar el seguimiento académico y financiero de los créditos educativos - Administración del crédito educativo</t>
  </si>
  <si>
    <t>Coordinación del proyecto</t>
  </si>
  <si>
    <t>1.1 Financiar los créditos educativos condonables</t>
  </si>
  <si>
    <t>1.2.1  Realizar el seguimiento académico y financiero de los créditos educativos</t>
  </si>
  <si>
    <t>1.2.2  Realizar el seguimiento académico y financiero de los créditos educativos</t>
  </si>
  <si>
    <t>1.3 Apoyar la supervisión del proyecto</t>
  </si>
  <si>
    <t xml:space="preserve">Formación de alto nivel de talento humano en articulación con las potencialidades y vocaciones del Departamento del Meta - Universidad de los Llanos Meta
</t>
  </si>
  <si>
    <r>
      <rPr>
        <b/>
        <sz val="11"/>
        <color theme="1"/>
        <rFont val="Arial Narrow"/>
        <family val="2"/>
      </rPr>
      <t>Plan Departamental de Desarrollo:</t>
    </r>
    <r>
      <rPr>
        <sz val="11"/>
        <color theme="1"/>
        <rFont val="Arial Narrow"/>
        <family val="2"/>
      </rPr>
      <t xml:space="preserve">
- Departamental Meta  2020 - 2023 "Hagamos grande al Meta"
</t>
    </r>
    <r>
      <rPr>
        <b/>
        <sz val="11"/>
        <color theme="1"/>
        <rFont val="Arial Narrow"/>
        <family val="2"/>
      </rPr>
      <t/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</si>
  <si>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
- Departamento del Meta: Pilar número cuatro, "Hagamos grande al meta en estructura y productividad"
</t>
    </r>
  </si>
  <si>
    <r>
      <rPr>
        <b/>
        <sz val="11"/>
        <color theme="1"/>
        <rFont val="Arial Narrow"/>
        <family val="2"/>
      </rPr>
      <t>Programa</t>
    </r>
    <r>
      <rPr>
        <sz val="11"/>
        <color theme="1"/>
        <rFont val="Arial Narrow"/>
        <family val="2"/>
      </rPr>
      <t xml:space="preserve">
- Dpto del Meta Programa "Investigación con calidad e impacto al servicio de la gente".</t>
    </r>
  </si>
  <si>
    <t>Financiar créditos educativos condonables para doctorado</t>
  </si>
  <si>
    <t>Realizar la administración del proyecto</t>
  </si>
  <si>
    <t>Realizar la administración del proyecto Especie</t>
  </si>
  <si>
    <t>Realizar la supervisión</t>
  </si>
  <si>
    <t>Seleccionar los beneficiarios a los créditos educativos condonables para doctorado. (hace parte de la administración)</t>
  </si>
  <si>
    <t>Financiar créditos educativos condonables para maestría.</t>
  </si>
  <si>
    <t>Seleccionar los beneficiarios a los créditos educativos condonables para maestría. (hace parte de la administración).</t>
  </si>
  <si>
    <t>Seleccionar los beneficiarios a los créditos educativos condonables para maestría. Especie</t>
  </si>
  <si>
    <t>1.1 Seleccionar los beneficiarios a los créditos educativos condonables para doctorado. (hace parte de la administración)</t>
  </si>
  <si>
    <t>1.2 Financiar créditos educativos condonables para doctorado</t>
  </si>
  <si>
    <t>1.3.1 Realizar la administración del proyecto</t>
  </si>
  <si>
    <t>2.2 Financiar créditos educativos condonables para maestría.</t>
  </si>
  <si>
    <t>2.1.1  Seleccionar los beneficiarios a los créditos educativos condonables para maestría. (hace parte de la administración).</t>
  </si>
  <si>
    <t>Investigación de biocarbonos para enmiendas y retención de cadmio en suelos: Una alternativa de aprovechamiento de residuos lignocelulósicos del departamento del Meta</t>
  </si>
  <si>
    <t>36 meses</t>
  </si>
  <si>
    <r>
      <rPr>
        <b/>
        <sz val="11"/>
        <color theme="1"/>
        <rFont val="Arial Narrow"/>
        <family val="2"/>
      </rPr>
      <t>Plan Departamental de Desarrollo:</t>
    </r>
    <r>
      <rPr>
        <sz val="11"/>
        <color theme="1"/>
        <rFont val="Arial Narrow"/>
        <family val="2"/>
      </rPr>
      <t xml:space="preserve">
- Departamental Meta Hagamos grande al Meta - para el periodo constitucional 2020-2023.
</t>
    </r>
    <r>
      <rPr>
        <b/>
        <sz val="11"/>
        <color theme="1"/>
        <rFont val="Arial Narrow"/>
        <family val="2"/>
      </rPr>
      <t/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</si>
  <si>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
- Departamento del Meta: Dimensión 1. Hagamos grande al Meta en lo productivo. Sector 17. Agricultura y desarrollo rural. 
Dimensión 2. Hagamos grande al Meta con sostenibilidad ambiental. Sector 32: Ambiente y desarrollo sostenible</t>
    </r>
  </si>
  <si>
    <t>Administrar el OE3</t>
  </si>
  <si>
    <t>1.1.1 Realizar los procesos requeridos para la adquisición y contratación de los bienes y servicios para la correcta ejecución del objetivo específico 3 del proyecto.</t>
  </si>
  <si>
    <t>1.1.2 Unillanos Realizar los procesos requeridos para la adquisición y contratación de los bienes y servicios para la correcta ejecución del objetivo específico 3 del proyecto.</t>
  </si>
  <si>
    <t>Evaluar los cambios en las propiedades fisicoquímicas de suelos después de la adición de Biocarbonos obtenidos a partir de residuos lignocelulósicos</t>
  </si>
  <si>
    <t>1.3.1 Definición del Diseño experimental y establecimiento del plan de muestreo de los suelos a utilizar en el desarrollo del proyecto.</t>
  </si>
  <si>
    <t>1.3.2 Caracterización fisicoquímica de los suelos a utilizar en el desarrollo del proyecto y de los biocarbonos empleados en los ensayos de invernadero.</t>
  </si>
  <si>
    <t>1.3.3 Preparación y alistamiento de los suelos y biocarbonizadosa, y realización de los ensayos del invernadero</t>
  </si>
  <si>
    <t>1.3.4 Nacional Definición del Diseño experimental y establecimiento del plan de muestreo de los suelos a utilizar en el desarrollo del proyecto.</t>
  </si>
  <si>
    <t>1.3.5 Nacional Caracterización fisicoquímica de los suelos a utilizar en el desarrollo del proyecto y de los biocarbonos empleados en los ensayos de invernadero.</t>
  </si>
  <si>
    <t>1.3.6 Nacional Preparación y alistamiento de los suelos y biocarbonizadosa, y realización de los ensayos del invernadero</t>
  </si>
  <si>
    <t>1.3.7 Unillanos Definición del Diseño experimental y establecimiento del plan de muestreo de los suelos a utilizar en el desarrollo del proyecto.</t>
  </si>
  <si>
    <t>1.3.8 Unillanos Caracterización fisicoquímica de los suelos a utilizar en el desarrollo del proyecto y de los biocarbonos empleados en los ensayos de invernadero.</t>
  </si>
  <si>
    <t>1.3.9 Unillanos Preparación y alistamiento de los suelos y biocarbonizadosa, y realización de los ensayos del invernadero</t>
  </si>
  <si>
    <t>Formular alternativas de manejo o mitigación de cadmio en suelos de cultivo</t>
  </si>
  <si>
    <t>1.4.1 Formular alternativas de manejo o mitigación de cadmio en suelos de cultivo.</t>
  </si>
  <si>
    <t>1.4.2 Nacional Formular alternativas de manejo o mitigación de cadmio en suelos de cultivo.</t>
  </si>
  <si>
    <t>1.4.3 Unillanos Formular alternativas de manejo o mitigación de cadmio en suelos de cultivo.</t>
  </si>
  <si>
    <t>Supervisar el OE3</t>
  </si>
  <si>
    <t>1.2.1 Seguimiento a las actividades técnicas, administrativas y financieras propuestas para el desarrollo del objetivo específico 3, de conformidad con la normatividad interna de la Universidad de los Llanos.</t>
  </si>
  <si>
    <t>Administrar OE4</t>
  </si>
  <si>
    <t>3.4.1 Realizar los procesos requeridos para la adquisición y contratación de los bienes y servicios para la correcta ejecución del objetivo específico 4 del proyecto.</t>
  </si>
  <si>
    <t>3.4.2 Unillanos Realizar los procesos requeridos para la adquisición y contratación de los bienes y servicios para la correcta ejecución del objetivo específico 4 del proyecto.</t>
  </si>
  <si>
    <t>Divulgar la importancia del manejo sostenible y sustentable de los subproductos de la producción agrícola</t>
  </si>
  <si>
    <t>3.3.1 Divulgar la importancia del manejo sostenible y sustentable de los subproductos de la producción agrícola.</t>
  </si>
  <si>
    <t>3.3.2 Nacional Divulgar la importancia del manejo sostenible y sustentable de los subproductos de la producción agrícola.</t>
  </si>
  <si>
    <t>3.3.3 Unillanos Divulgar la importancia del manejo sostenible y sustentable de los subproductos de la producción agrícola.</t>
  </si>
  <si>
    <t>Formar capital humano en el manejo apropiado de los residuos de los cultivos en el Departamento del Meta</t>
  </si>
  <si>
    <t>3.1.1 Formar capital humano en el manejo apropiado de los residuos de los cultivos en el Departamento del Meta</t>
  </si>
  <si>
    <t>3.1.2 Nacional Formar capital humano en el manejo apropiado de los residuos de los cultivos en el Departamento del Meta</t>
  </si>
  <si>
    <t>3.1.3 Unillanos Formar capital humano en el manejo apropiado de los residuos de los cultivos en el Departamento del Meta</t>
  </si>
  <si>
    <t>Supervisar el OE4</t>
  </si>
  <si>
    <t>3.2.1 Seguimiento a las actividades técnicas, administrativas y financieras propuestas para el desarrollo del objetivo específico 4, de conformidad con la normatividad interna de la Universidad de los Llanos.</t>
  </si>
  <si>
    <t>Administrar el OE2</t>
  </si>
  <si>
    <t>4.4.1 Realizar los procesos requeridos para la adquisición y contratación de los bienes y servicios para la correcta ejecución del objetivo específico 2 del proyecto.</t>
  </si>
  <si>
    <t>4.4.2 Unillanos Realizar los procesos requeridos para la adquisición y contratación de los bienes y servicios para la correcta ejecución del objetivo específico 2 del proyecto.</t>
  </si>
  <si>
    <t>Aportar a los estudios de viabilidad para la utilización o reutilización de los residuos agrícolas generados en la región.</t>
  </si>
  <si>
    <t>4.3.1 Aportar a los estudios de viabilidad para la utilización o reutilización de los residuos agrícolas generados en la región.</t>
  </si>
  <si>
    <t>4.3.2 Nacional Aportar a los estudios de viabilidad para la utilización o reutilización de los residuos agrícolas generados en la región.</t>
  </si>
  <si>
    <t>4.3.3 Unillanos Aportar a los estudios de viabilidad para la utilización o reutilización de los residuos agrícolas generados en la región.</t>
  </si>
  <si>
    <t>Contribuir al desarrollo de nuevos productos carbonosos con valor agregado.</t>
  </si>
  <si>
    <t>4.1.1 Contribuir al desarrollo de nuevos productos carbonosos con valor agregado.</t>
  </si>
  <si>
    <t>4.1.2 Nacional Contribuir al desarrollo de nuevos productos carbonosos con valor agregado.</t>
  </si>
  <si>
    <t>4.1.3 Unillanos Contribuir al desarrollo de nuevos productos carbonosos con valor agregado.</t>
  </si>
  <si>
    <t>Supervisar el OE2</t>
  </si>
  <si>
    <t>4.2.1 Seguimiento a las actividades técnicas, administrativas y financieras propuestas para el desarrollo del objetivo específico 2 de conformidad con la normatividad interna de la Universidad de los Llanos</t>
  </si>
  <si>
    <t>Administrar el OE1</t>
  </si>
  <si>
    <t>2.2.1 Realizar los procesos requeridos para la adquisición y contratación de los bienes y servicios para la correcta ejecución del objetivo específico 1 del proyecto.</t>
  </si>
  <si>
    <t>2.2.2 Unillanos Realizar los procesos requeridos para la adquisición y contratación de los bienes y servicios para la correcta ejecución del objetivo específico 1 del proyecto.</t>
  </si>
  <si>
    <t>Identificar y analizar las tecnologías emergentes en la valorización de residuos agrícolas que impliquen el retorno al proceso productivo de la biomasa (bio-economía circular).</t>
  </si>
  <si>
    <t>2.1.1 Definición del Diseño experimental y establecimiento del plan de muestreo de las biomasas a utilizar en el desarrollo del proyecto.</t>
  </si>
  <si>
    <t>2.1.2 Caracterización fisicoquímica de las biomasas a utilizar en el desarrollo del proyecto y de los biocarbonos obtenidos.</t>
  </si>
  <si>
    <t>2.1.3 Alistamiento de las biomasas, adecuación de equipos de pirólisis y realización de los ensayos de pirolísis para la obtención de los biocarbonos.</t>
  </si>
  <si>
    <t>2.1.4 Nacional Definición del Diseño experimental y establecimiento del plan de muestreo de las biomasas a utilizar en el desarrollo del proyecto.</t>
  </si>
  <si>
    <t>2.1.5 Nacional Caracterización fisicoquímica de las biomasas a utilizar en el desarrollo del proyecto y de los biocarbonos obtenidos.</t>
  </si>
  <si>
    <t>2.1.6 Nacional Alistamiento de las biomasas, adecuación de equipos de pirólisis y realización de los ensayos de pirolísis para la obtención de los biocarbonos.</t>
  </si>
  <si>
    <t>2.1.7 Unillanos Definición del Diseño experimental y establecimiento del plan de muestreo de las biomasas a utilizar en el desarrollo del proyecto.</t>
  </si>
  <si>
    <t>2.1.8 Unillanos Caracterización fisicoquímica de las biomasas a utilizar en el desarrollo del proyecto y de los biocarbonos obtenidos.</t>
  </si>
  <si>
    <t>2.1.9 Unillanos Alistamiento de las biomasas, adecuación de equipos de pirólisis y realización de los ensayos de pirolísis para la obtención de los biocarbonos.</t>
  </si>
  <si>
    <t>Implementar nuevos procesos y/o productos alternativos para la enmienda de suelos introduciendo las últimas tendencias tecnológicas circulares en agricultura de adaptación contra el cambio climático</t>
  </si>
  <si>
    <t>2.3.1 Implementar nuevos procesos yo productos alternativos para la enmienda de suelos introduciendo las últimas tendencias tecnológicas circulares en agricultura de adaptación contra el cambio climático</t>
  </si>
  <si>
    <t>2.3.2 Nacional Implementar nuevos procesos yo productos alternativos para la enmienda de suelos introduciendo las últimas tendencias tecnológicas circulares en agricultura de adaptación contra el cambio climático</t>
  </si>
  <si>
    <t>2.3.3 Unillanos Implementar nuevos procesos yo productos alternativos para la enmienda de suelos introduciendo las últimas tendencias tecnológicas circulares en agricultura de adaptación contra el cambio climático</t>
  </si>
  <si>
    <t>Supervisar el OE1</t>
  </si>
  <si>
    <t>2.4.1 Seguimiento a las actividades técnicas, administrativas y financieras propuestas para el desarrollo del objetivo específico 1, de conformidad con la normatividad interna de la Universidad de los Llanos</t>
  </si>
  <si>
    <r>
      <rPr>
        <b/>
        <sz val="11"/>
        <color theme="1"/>
        <rFont val="Arial Narrow"/>
        <family val="2"/>
      </rPr>
      <t>Programa</t>
    </r>
    <r>
      <rPr>
        <sz val="11"/>
        <color theme="1"/>
        <rFont val="Arial Narrow"/>
        <family val="2"/>
      </rPr>
      <t xml:space="preserve">
- Departamento del Meta 
1702 - Inclusión Productiva Rural.
1708 - Ciencia, tecnología e innovación agropecuaria.
1709 - Infraestructura productiva y comercialización.
3201 - Fortalecimiento de mercados y negocios verdes.
3202 - Conservación de la biodiversidad y sus servicios ecosistémicos ±El Meta un BIO departamento.
3208 - Transformación cultural y de educación ambiental</t>
    </r>
  </si>
  <si>
    <t>Estudios y diseños para la construcción del Banco de Recursos Genéticos Acuáticos de la Orinoquia Colombiana - BRG Orinoquia de la Universidad de los Llanos, Villavicencio, Meta</t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</si>
  <si>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 
II. Pacto por el emprendimiento, la formalización y la productividad: una economía dinámica, incluyente y sostenible que potencie todos
nuestros talentos
</t>
    </r>
    <r>
      <rPr>
        <b/>
        <sz val="11"/>
        <color theme="1"/>
        <rFont val="Arial Narrow"/>
        <family val="2"/>
      </rPr>
      <t>Línea</t>
    </r>
    <r>
      <rPr>
        <sz val="11"/>
        <color theme="1"/>
        <rFont val="Arial Narrow"/>
        <family val="2"/>
      </rPr>
      <t xml:space="preserve">
2. Transformación empresarial: desarrollo productivo, innovación y adopción tecnológica para la productividad
</t>
    </r>
  </si>
  <si>
    <r>
      <rPr>
        <b/>
        <sz val="11"/>
        <color theme="1"/>
        <rFont val="Arial Narrow"/>
        <family val="2"/>
      </rPr>
      <t>Plan Departamental de Desarrollo:</t>
    </r>
    <r>
      <rPr>
        <sz val="11"/>
        <color theme="1"/>
        <rFont val="Arial Narrow"/>
        <family val="2"/>
      </rPr>
      <t xml:space="preserve">
- Departamental Meta "Hagamos Grande al Meta 2020 - 2023´
</t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</si>
  <si>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
- Departamento del Meta:Dimensión Hagamos grande al Meta en lo Social Sector del Plan de Desarrollo Departamental: 39 - Ciencia, Tecnología e Innovación</t>
    </r>
  </si>
  <si>
    <r>
      <rPr>
        <b/>
        <sz val="11"/>
        <color theme="1"/>
        <rFont val="Arial Narrow"/>
        <family val="2"/>
      </rPr>
      <t>Programa</t>
    </r>
    <r>
      <rPr>
        <sz val="11"/>
        <color theme="1"/>
        <rFont val="Arial Narrow"/>
        <family val="2"/>
      </rPr>
      <t xml:space="preserve">
- Departamento del Meta Programa del Plan de Desarrollo Departamental: Programa 2. Desarrollo tecnológico e innovación para crecimiento empresarial al Servicio de
la Gente.
El proyecto se alinea con la iniciativa priorizada mediante el Decreto 158 de junio de 2021´ en el Sector 39. Ciencia, Tecnología e innovación,
39. Nombre de la iniciativa: Construcción del Banco de Recursos Genéticos Acuáticos de la Orinoquia Colombiana ±BGR Orinoquia de la
Universidad de los Llanos, Villavicencio, Meta.</t>
    </r>
  </si>
  <si>
    <t>7 meses</t>
  </si>
  <si>
    <t>En proceso de contratación</t>
  </si>
  <si>
    <t>MESES</t>
  </si>
  <si>
    <t>1.1 Realizar las actividades de apoyo a la supervisión.</t>
  </si>
  <si>
    <t>1.2 Contratar la puesta en operación del Servicio de Transporte para la movilidad de estudiantes de la Universidad de los Llanos</t>
  </si>
  <si>
    <t>1.1 Realizar estudios y diseños para la construcción del Banco de Recursos Genéticos Acuáticos de la Orinoquia Colombiana BRG Orinoquia de la Universidad de los Llanos</t>
  </si>
  <si>
    <t>1.2 Realizar las actividades de Interventoría a los estudios y diseños para la construcción del Banco de Recursos Genéticos Acuáticos de la Orinoquia Colombiana BRG Orinoquia de la Universidad de los Llanos</t>
  </si>
  <si>
    <t>Implementación del servicio de transporte para la permanencia y graduación estudiantil en la Universidad de los Llanos, municipio de Villavicencio, Departamento del Meta</t>
  </si>
  <si>
    <t>22 meses</t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</si>
  <si>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 
III. Pacto por la equidad: política social moderna centrada en la familia, eficiente, de calidad y conectada a mercados
</t>
    </r>
    <r>
      <rPr>
        <b/>
        <sz val="11"/>
        <color theme="1"/>
        <rFont val="Arial Narrow"/>
        <family val="2"/>
      </rPr>
      <t>Línea</t>
    </r>
    <r>
      <rPr>
        <sz val="11"/>
        <color theme="1"/>
        <rFont val="Arial Narrow"/>
        <family val="2"/>
      </rPr>
      <t xml:space="preserve">
3. Educación de calidad para un futuro con oportunidades para todos</t>
    </r>
  </si>
  <si>
    <r>
      <rPr>
        <b/>
        <sz val="11"/>
        <color theme="1"/>
        <rFont val="Arial Narrow"/>
        <family val="2"/>
      </rPr>
      <t>Plan Departamental de Desarrollo:</t>
    </r>
    <r>
      <rPr>
        <sz val="11"/>
        <color theme="1"/>
        <rFont val="Arial Narrow"/>
        <family val="2"/>
      </rPr>
      <t xml:space="preserve">
- Departamental Meta Plan Departamental de Desarrollo: ³Hagamos Grande al Meta 2020 -     ´
</t>
    </r>
    <r>
      <rPr>
        <b/>
        <sz val="11"/>
        <color theme="1"/>
        <rFont val="Arial Narrow"/>
        <family val="2"/>
      </rPr>
      <t/>
    </r>
  </si>
  <si>
    <r>
      <rPr>
        <b/>
        <sz val="11"/>
        <color theme="1"/>
        <rFont val="Arial Narrow"/>
        <family val="2"/>
      </rPr>
      <t>Estrategia</t>
    </r>
    <r>
      <rPr>
        <sz val="11"/>
        <color theme="1"/>
        <rFont val="Arial Narrow"/>
        <family val="2"/>
      </rPr>
      <t xml:space="preserve">
- Departamento del Meta: Dimensión 3. Hagamos grande al Meta en lo Social - Sector 22 Educación</t>
    </r>
  </si>
  <si>
    <r>
      <rPr>
        <b/>
        <sz val="11"/>
        <color theme="1"/>
        <rFont val="Arial Narrow"/>
        <family val="2"/>
      </rPr>
      <t>Programa</t>
    </r>
    <r>
      <rPr>
        <sz val="11"/>
        <color theme="1"/>
        <rFont val="Arial Narrow"/>
        <family val="2"/>
      </rPr>
      <t xml:space="preserve">
- Dpto del Meta:
22 02 - Hagamos Grande Al Meta Con Calidad Y Fomento De La Educación Superior. 4. Formular estrategias para el acceso, continuidad y permanencia de profesionales a la educación avanzada
</t>
    </r>
  </si>
  <si>
    <r>
      <t xml:space="preserve">Programa
</t>
    </r>
    <r>
      <rPr>
        <sz val="11"/>
        <color theme="1"/>
        <rFont val="Arial Narrow"/>
        <family val="2"/>
      </rPr>
      <t>2202 - Calidad y fomento de la educación superior</t>
    </r>
  </si>
  <si>
    <r>
      <rPr>
        <b/>
        <sz val="11"/>
        <color theme="1"/>
        <rFont val="Arial Narrow"/>
        <family val="2"/>
      </rPr>
      <t>Plan Departamental de Desarrollo:</t>
    </r>
    <r>
      <rPr>
        <sz val="11"/>
        <color theme="1"/>
        <rFont val="Arial Narrow"/>
        <family val="2"/>
      </rPr>
      <t xml:space="preserve">
- Departamental Meta Plan Departamental de Desarrollo: ³Hagamos Grande al Meta 2020 
</t>
    </r>
    <r>
      <rPr>
        <b/>
        <sz val="11"/>
        <color theme="1"/>
        <rFont val="Arial Narrow"/>
        <family val="2"/>
      </rPr>
      <t/>
    </r>
  </si>
  <si>
    <t>1.1 Prestar el servicio de entrega de ración preparada en sitio (caliente) para estudiantes del campus San Antonio y Barcelona de la Universidad de los Llanos</t>
  </si>
  <si>
    <t>1.2.1 Realizar actividades de coordinación del proyecto</t>
  </si>
  <si>
    <t>1.2.2 Realizar las actividades de apoyo a la supervisión</t>
  </si>
  <si>
    <t>CRONOGRAMA DE EJECUCIÓN*</t>
  </si>
  <si>
    <t>*Información de programación y ejecución reflejada en GESPROY</t>
  </si>
  <si>
    <t>3.1.1 Implementar un sistema de gestión de Conocimiento entre grupos de investigación e instituciones locales para fortalecimiento del SRCTeI</t>
  </si>
  <si>
    <t>3.2.1 Cocrear recomendaciones para proyectos CTeI en el sector agro</t>
  </si>
  <si>
    <t xml:space="preserve">$ 2.596.120.787
</t>
  </si>
  <si>
    <t>1.1.1 Realizar pesaje de cerdos, medición de consumo y determinación de parámetros productivos.</t>
  </si>
  <si>
    <t>1.1.2 Realizar pesaje de cerdos, medición de consumo y determinación de parámetros productivos.</t>
  </si>
  <si>
    <t>1.2.1 Realizar etograma</t>
  </si>
  <si>
    <t>1.2.2 Realizar etograma</t>
  </si>
  <si>
    <t>1.3.1 Tomar muestras sanguíneas de los cerdos experimentales</t>
  </si>
  <si>
    <t>1.4.1 Administración integral del proyecto</t>
  </si>
  <si>
    <t>2.1.1 Tomar muestras de suelos y analizar las características físico químicas y biológicas del suelo.</t>
  </si>
  <si>
    <t>2.1.2 Tomar muestras de suelos y analizar las características físico químicas y biológicas del suelo.</t>
  </si>
  <si>
    <t>2.10.1 Socialización y publicación de resultados del proyecto (talleres, cartillas y vídeo). Artículos científicos</t>
  </si>
  <si>
    <t>2.10.2 Socialización y publicación de resultados del proyecto (talleres, cartillas y vídeo). Artículos científicos</t>
  </si>
  <si>
    <t>2.11.1 Administración integral del proyecto</t>
  </si>
  <si>
    <t>2.12.1 Apoyo a la supervisión</t>
  </si>
  <si>
    <t>2.2.1 Evaluar la dinámica de los cambios orgánicos, químicos y físicos del suelo generados mediante la producción de cerdos de engorde.</t>
  </si>
  <si>
    <t>2.3.1 Construir vehículo multifuncional AgRover</t>
  </si>
  <si>
    <t>2.4.1 Determinar producción de biomasa (kilogramos de materia seca por hectárea) y contenido de carbono orgánico epigeo</t>
  </si>
  <si>
    <t>2.5.1 Medir in situ de calidad del suelo y contenido de agua con equipo portátil de última generación EM38-MK2</t>
  </si>
  <si>
    <t>2.6.1 Evaluar del potencial productivo con cultivos de leguminosas y cereales.</t>
  </si>
  <si>
    <t>2.7.1 Registrar y sistematizar la información económica, productiva y social.</t>
  </si>
  <si>
    <t>2.8.1 Realizar análisis económico, productivo y social.</t>
  </si>
  <si>
    <t>2.9.1 Extensión del proyecto a 10 fincas según resultados experimentales</t>
  </si>
  <si>
    <t>2.9.2 Extensión del proyecto a 10 fincas según resultados experimentales</t>
  </si>
  <si>
    <t>3.1.1 Capacitar a las mujeres participantes en el proyecto en temas psicológicos y sociopolíticos que le permitan generar empoderamiento.</t>
  </si>
  <si>
    <t>3.2.1 Fortalecer en las mujeres participantes del proyecto las capacidades para desenvolverse en los espacios públicos y transferir los conocimientos adquiridos.</t>
  </si>
  <si>
    <t>3.2.2 Fortalecer en las mujeres participantes del proyecto las capacidades para desenvolverse en los espacios públicos y transferir los conocimientos adquiridos.</t>
  </si>
  <si>
    <t>3.3.1 Administración integral del proyecto</t>
  </si>
  <si>
    <t>3.3.2 Apoyo a la supervisión</t>
  </si>
  <si>
    <t>1.1.2 Realizar pesaje de cerdos medicion de consumo y determinacion de parametros productivos-especie</t>
  </si>
  <si>
    <t>1.2.2 Realizar etograma-especie</t>
  </si>
  <si>
    <t>1.3.1 Tomar muestras sanguineas de los cerdos experimentales</t>
  </si>
  <si>
    <t>1.4.1 Administracion integral del proyecto</t>
  </si>
  <si>
    <t>1.5.1 Apoyo a la supervisión</t>
  </si>
  <si>
    <t>2.1.1 Tomar muestras de suelos y analizar las caracteristicas fisico quimicas y biologicas del suelo</t>
  </si>
  <si>
    <t>2.1.2 Tomar muestras de suelos y analizar las caracteristicas fisico quimicas y biologicas del suelo-especie</t>
  </si>
  <si>
    <t>2.2.1 Evaluar la dinamica de los cambios organicos quimicos y fisicos del suelo generados mediante la produccion de cerdos de engorde</t>
  </si>
  <si>
    <t>2.3.1 Construir vehiculo multifuncional AgRover</t>
  </si>
  <si>
    <t>2.4.1 Determinar produccion de biomasa (kilogramos de materia seca por hectarea) y contenido de carbono organico epigeo</t>
  </si>
  <si>
    <t>2.5.1 Medir in situ de calidad del suelo y contenido de agua con equipo portatil de ultima generacion EM38-MK2</t>
  </si>
  <si>
    <t>2.6.1 Evaluar del potencial productivo con cultivos de leguminosas y cereales</t>
  </si>
  <si>
    <t>2.7.1 Registrar y sistematizar la informacion economica productiva y social</t>
  </si>
  <si>
    <t>2.8.1 Realizar analisis economico productivo y social</t>
  </si>
  <si>
    <t>2.9.1 Extension del proyecto a 10 fincas segun resultados experimentales</t>
  </si>
  <si>
    <t>2.9.2 Extension del proyecto a 10 fincas segun resultados experimentales-especie</t>
  </si>
  <si>
    <t>2.10.1 Socializacion y publicacion de resultados del proyecto (talleres cartillas y video) Articulos cientificos</t>
  </si>
  <si>
    <t>2.10.2 Socializacion y publicacion de resultados del proyecto (talleres cartillas y video) Articulos cientificos-especie</t>
  </si>
  <si>
    <t>2.11.1Administracion integral del proyecto</t>
  </si>
  <si>
    <t>2.12.1 Apoyo a la supervision</t>
  </si>
  <si>
    <t>3.1.1 Capacitar a las mujeres participantes en el proyecto en temas psicologicos y sociopoliticos que le permitan generar empoderamiento</t>
  </si>
  <si>
    <t>3.2.1 Fortalecer en las mujeres participantes del proyecto las capacidades para desenvolverse en los espacios publicos y transferir los conocimientos adquiridos</t>
  </si>
  <si>
    <t>3.2.2 Fortalecer en las mujeres participantes del proyecto las capacidades para desenvolverse en los espacios publicos y transferir los conocimientos adquiridos-especie</t>
  </si>
  <si>
    <t>3.3.1 Administracion integral del proyecto</t>
  </si>
  <si>
    <t>3.3.2 Apoyo a la supervision</t>
  </si>
  <si>
    <t>*Información de  ejecución reflejada en GESPROY</t>
  </si>
  <si>
    <t>Diseñar, implementar y validar los documentos de lineamientos de bioseguridad de los espacios a intervenir y el comisionamiento- Especie</t>
  </si>
  <si>
    <t>1.2.1 Diseñar,  implementar y validar los documentos de lineamientos de bioseguridad de los espacios a intervenir.</t>
  </si>
  <si>
    <t>1.2.2 Diseñar,  implementar y validar los documentos de lineamientos de bioseguridad de los espacios a intervenir. - Especie</t>
  </si>
  <si>
    <t>1.1.1 Realizar la administración del objetivo 1.</t>
  </si>
  <si>
    <t>Realizar la administración del objetivo 1. Especie</t>
  </si>
  <si>
    <t>1.1.2 Realizar la administración del objetivo 1. Especie</t>
  </si>
  <si>
    <t>Realizar las adecuaciones en la infraestructura del Laboratorio de Toxicología y Biotecnología: etapa preparatoria y precontractual - Especie</t>
  </si>
  <si>
    <t>Realizar las adecuaciones en la infraestructura del Laboratorio de Toxicología y Biotecnología: etapa contractual - Especie</t>
  </si>
  <si>
    <t>Supervisión del objetivo 1.- Especie</t>
  </si>
  <si>
    <t>1.4.1 Supervisión del objetivo 1.</t>
  </si>
  <si>
    <t>1.4.2 Supervisión del objetivo 1. Especie</t>
  </si>
  <si>
    <t>Realizar el proceso de contratación de equipos especializados modernos en tres etapas: Etapa preparatoria y etapa precontractual. - Especie</t>
  </si>
  <si>
    <t>Realizar el proceso de contratación de equipos especializados modernos en tres etapas: Etapa contractual. Especie</t>
  </si>
  <si>
    <t>2.1.1 Realizar entrenamiento especializado al capital humano de la institución ejecutora en técnicas de diagnóstico en salud pública y salud ambiental.</t>
  </si>
  <si>
    <t>2.1.2 Realizar entrenamiento especializado al capital humano de la institución ejecutora en técnicas de diagnóstico en salud pública y salud ambiental.</t>
  </si>
  <si>
    <t>Realizar entrenamiento especializado al capital humano de la institución ejecutora en técnicas de diagnóstico  en salud pblica y salud ambiental. - Especie</t>
  </si>
  <si>
    <t>Estudio de mercado de los servicios a ofrecer en los Laboratorios de Toxicología y Biotecnología y del Laboratorio de Farmacología - Especie</t>
  </si>
  <si>
    <t>Ajustar y revisar protocolos de los servicios a ofrecer en los Laboratorios de Toxicología y Biotecnología y del Laboratorio de Farmacología - Especie</t>
  </si>
  <si>
    <t>Establecer costos de los servicios a ofrecer en los Laboratorios de Toxicología y Biotecnología y del Laboratorio de Farmacología - Especie</t>
  </si>
  <si>
    <t>Revision de documentacion para la aplicación de la norma ISO17025 - Especie</t>
  </si>
  <si>
    <t>Definicion de la estructura del portafolio de los servicios a ofrecer en los Laboratorios de Toxicología y Biotecnología y del Laboratorio de Farmacología - Especie</t>
  </si>
  <si>
    <t>3.1 Realizar la administración del objetivo 2. - Especie</t>
  </si>
  <si>
    <t>Realizar la administración del objetivo 2. - Especie</t>
  </si>
  <si>
    <t>Realizar el proceso de contratación de reactivos y materiales para los Laboratorios de Toxicología y Biotecnología y de Farmacología en tres etapas: Etapa preparatoria y etapa precontractual. - Especie</t>
  </si>
  <si>
    <t>Realizar el proceso de contratación de reactivos y materiales para los Laboratorios de Toxicología y Biotecnología y de Farmacología en tres etapas: etapa contractual. - Especie</t>
  </si>
  <si>
    <t>Realizar el proceso de contratación de mobiliario para los Laboratorios de Toxicología y Biotecnología y de Farmacología en tres etapas: Etapa preparatoria y etapa precontractual. - Especie</t>
  </si>
  <si>
    <t>Realizar el proceso de contratación de mobiliario para los Laboratorios de Toxicología y Biotecnología y de Farmacología en tres etapas: etapa contractual- Especie</t>
  </si>
  <si>
    <t>3.5.1 Supervision del objetivo 2.</t>
  </si>
  <si>
    <t>3.5.2 Supervision del objetivo 2. - Especie</t>
  </si>
  <si>
    <t>Supervisión del objetivo 2 - Especie</t>
  </si>
  <si>
    <t>1.3.2 Realizar la administración del proyecto - Especie</t>
  </si>
  <si>
    <t>1.4 Realizar la supervisión - Especie</t>
  </si>
  <si>
    <t xml:space="preserve">Valor Total </t>
  </si>
  <si>
    <t>*Información de programación reflejada en GESPROY</t>
  </si>
  <si>
    <t>2.1.2 Seleccionar los beneficiarios a los créditos educativos condonables para maestría. (hace parte de la administración). Especie</t>
  </si>
  <si>
    <t xml:space="preserve">Implementación de una red de investigación, desarrollo tecnológico e innovación en patología digital (RedPat) soportada por tecnologías de la Industria 4.0 en el Meta
</t>
  </si>
  <si>
    <t>Implementación del servicio de comedor universitario para la permanencia y graduación estudiantil en la Universidad de los Llanos Municipio de Villavicencio Departamento del Meta</t>
  </si>
  <si>
    <t>20 meses</t>
  </si>
  <si>
    <t>39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</si>
</sst>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&quot;$&quot;\ #,##0.00"/>
    <numFmt numFmtId="165" formatCode="d/m/yyyy"/>
    <numFmt numFmtId="166" formatCode="&quot;$&quot;\ #,##0"/>
    <numFmt numFmtId="167" formatCode="_-&quot;$&quot;\ * #,##0_-;\-&quot;$&quot;\ * #,##0_-;_-&quot;$&quot;\ 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i/>
      <sz val="10"/>
      <color theme="1"/>
      <name val="Arial Narrow"/>
      <family val="2"/>
    </font>
    <font>
      <i/>
      <sz val="10"/>
      <color theme="1"/>
      <name val="Calibri"/>
      <family val="2"/>
      <scheme val="minor"/>
    </font>
    <font>
      <b/>
      <sz val="6"/>
      <color rgb="FF333333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ECECEC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9" tint="0.79998168889431442"/>
        <bgColor rgb="FFFEF2CB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8">
    <xf numFmtId="0" fontId="0" fillId="0" borderId="0" xfId="0"/>
    <xf numFmtId="0" fontId="19" fillId="0" borderId="0" xfId="0" applyFont="1"/>
    <xf numFmtId="0" fontId="21" fillId="0" borderId="0" xfId="0" applyFont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wrapText="1"/>
    </xf>
    <xf numFmtId="0" fontId="22" fillId="33" borderId="0" xfId="0" applyFont="1" applyFill="1" applyAlignment="1">
      <alignment wrapText="1"/>
    </xf>
    <xf numFmtId="0" fontId="22" fillId="35" borderId="0" xfId="0" applyFont="1" applyFill="1" applyAlignment="1">
      <alignment wrapText="1"/>
    </xf>
    <xf numFmtId="0" fontId="18" fillId="0" borderId="10" xfId="0" applyFont="1" applyBorder="1"/>
    <xf numFmtId="0" fontId="19" fillId="0" borderId="10" xfId="0" applyFont="1" applyBorder="1"/>
    <xf numFmtId="44" fontId="22" fillId="0" borderId="0" xfId="0" applyNumberFormat="1" applyFont="1"/>
    <xf numFmtId="44" fontId="22" fillId="37" borderId="17" xfId="1" applyFont="1" applyFill="1" applyBorder="1"/>
    <xf numFmtId="44" fontId="22" fillId="37" borderId="18" xfId="1" applyFont="1" applyFill="1" applyBorder="1" applyAlignment="1">
      <alignment wrapText="1"/>
    </xf>
    <xf numFmtId="44" fontId="22" fillId="37" borderId="18" xfId="1" applyFont="1" applyFill="1" applyBorder="1"/>
    <xf numFmtId="44" fontId="22" fillId="37" borderId="19" xfId="1" applyFont="1" applyFill="1" applyBorder="1"/>
    <xf numFmtId="0" fontId="23" fillId="33" borderId="25" xfId="0" applyFont="1" applyFill="1" applyBorder="1"/>
    <xf numFmtId="0" fontId="20" fillId="37" borderId="26" xfId="0" applyFont="1" applyFill="1" applyBorder="1"/>
    <xf numFmtId="0" fontId="22" fillId="33" borderId="15" xfId="0" applyFont="1" applyFill="1" applyBorder="1" applyAlignment="1">
      <alignment wrapText="1"/>
    </xf>
    <xf numFmtId="44" fontId="22" fillId="33" borderId="14" xfId="1" applyFont="1" applyFill="1" applyBorder="1" applyAlignment="1">
      <alignment wrapText="1"/>
    </xf>
    <xf numFmtId="44" fontId="22" fillId="33" borderId="15" xfId="1" applyFont="1" applyFill="1" applyBorder="1" applyAlignment="1">
      <alignment wrapText="1"/>
    </xf>
    <xf numFmtId="44" fontId="22" fillId="33" borderId="16" xfId="1" applyFont="1" applyFill="1" applyBorder="1" applyAlignment="1">
      <alignment wrapText="1"/>
    </xf>
    <xf numFmtId="44" fontId="22" fillId="37" borderId="19" xfId="1" applyFont="1" applyFill="1" applyBorder="1" applyAlignment="1">
      <alignment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18" fillId="34" borderId="10" xfId="0" applyFont="1" applyFill="1" applyBorder="1"/>
    <xf numFmtId="0" fontId="18" fillId="38" borderId="10" xfId="0" applyFont="1" applyFill="1" applyBorder="1"/>
    <xf numFmtId="0" fontId="18" fillId="38" borderId="10" xfId="0" applyFont="1" applyFill="1" applyBorder="1" applyAlignment="1">
      <alignment horizontal="center"/>
    </xf>
    <xf numFmtId="0" fontId="19" fillId="0" borderId="36" xfId="0" applyFont="1" applyBorder="1"/>
    <xf numFmtId="0" fontId="22" fillId="0" borderId="1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35" borderId="0" xfId="0" applyFont="1" applyFill="1" applyAlignment="1">
      <alignment vertical="center" wrapText="1"/>
    </xf>
    <xf numFmtId="0" fontId="22" fillId="3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/>
    <xf numFmtId="44" fontId="24" fillId="0" borderId="0" xfId="0" applyNumberFormat="1" applyFont="1"/>
    <xf numFmtId="44" fontId="22" fillId="38" borderId="10" xfId="1" applyFont="1" applyFill="1" applyBorder="1" applyAlignment="1">
      <alignment horizontal="center" vertical="center" wrapText="1"/>
    </xf>
    <xf numFmtId="44" fontId="22" fillId="37" borderId="10" xfId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wrapText="1"/>
    </xf>
    <xf numFmtId="0" fontId="0" fillId="0" borderId="18" xfId="0" applyFill="1" applyBorder="1"/>
    <xf numFmtId="0" fontId="18" fillId="38" borderId="10" xfId="0" applyFont="1" applyFill="1" applyBorder="1" applyAlignment="1">
      <alignment vertical="center"/>
    </xf>
    <xf numFmtId="17" fontId="21" fillId="0" borderId="32" xfId="0" applyNumberFormat="1" applyFont="1" applyBorder="1" applyAlignment="1">
      <alignment horizontal="center" vertical="center" wrapText="1"/>
    </xf>
    <xf numFmtId="17" fontId="21" fillId="0" borderId="40" xfId="0" applyNumberFormat="1" applyFont="1" applyBorder="1" applyAlignment="1">
      <alignment horizontal="center" vertical="center" wrapText="1"/>
    </xf>
    <xf numFmtId="0" fontId="0" fillId="0" borderId="18" xfId="0" applyBorder="1"/>
    <xf numFmtId="0" fontId="22" fillId="38" borderId="15" xfId="0" applyFont="1" applyFill="1" applyBorder="1" applyAlignment="1">
      <alignment horizontal="center" vertical="center" wrapText="1"/>
    </xf>
    <xf numFmtId="0" fontId="0" fillId="38" borderId="15" xfId="0" applyFill="1" applyBorder="1" applyAlignment="1">
      <alignment horizontal="center" vertical="center"/>
    </xf>
    <xf numFmtId="0" fontId="0" fillId="38" borderId="16" xfId="0" applyFill="1" applyBorder="1" applyAlignment="1">
      <alignment horizontal="center" vertical="center"/>
    </xf>
    <xf numFmtId="0" fontId="22" fillId="36" borderId="0" xfId="0" applyFont="1" applyFill="1"/>
    <xf numFmtId="0" fontId="21" fillId="0" borderId="44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2" fillId="36" borderId="0" xfId="0" applyFont="1" applyFill="1" applyAlignment="1">
      <alignment wrapText="1"/>
    </xf>
    <xf numFmtId="0" fontId="22" fillId="36" borderId="38" xfId="0" applyFont="1" applyFill="1" applyBorder="1" applyAlignment="1">
      <alignment wrapText="1"/>
    </xf>
    <xf numFmtId="0" fontId="22" fillId="36" borderId="10" xfId="0" applyFont="1" applyFill="1" applyBorder="1" applyAlignment="1">
      <alignment wrapText="1"/>
    </xf>
    <xf numFmtId="0" fontId="22" fillId="36" borderId="10" xfId="0" applyFont="1" applyFill="1" applyBorder="1"/>
    <xf numFmtId="166" fontId="22" fillId="43" borderId="10" xfId="0" applyNumberFormat="1" applyFont="1" applyFill="1" applyBorder="1" applyAlignment="1">
      <alignment horizontal="center" vertical="center" wrapText="1" readingOrder="1"/>
    </xf>
    <xf numFmtId="166" fontId="22" fillId="38" borderId="10" xfId="0" applyNumberFormat="1" applyFont="1" applyFill="1" applyBorder="1" applyAlignment="1">
      <alignment horizontal="center" vertical="center" wrapText="1"/>
    </xf>
    <xf numFmtId="166" fontId="22" fillId="44" borderId="10" xfId="0" applyNumberFormat="1" applyFont="1" applyFill="1" applyBorder="1" applyAlignment="1">
      <alignment horizontal="center" vertical="center" wrapText="1" readingOrder="1"/>
    </xf>
    <xf numFmtId="166" fontId="22" fillId="37" borderId="10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wrapText="1"/>
    </xf>
    <xf numFmtId="0" fontId="22" fillId="0" borderId="0" xfId="0" applyFont="1" applyFill="1"/>
    <xf numFmtId="17" fontId="21" fillId="0" borderId="48" xfId="0" applyNumberFormat="1" applyFont="1" applyBorder="1" applyAlignment="1">
      <alignment horizontal="center" vertical="center" wrapText="1"/>
    </xf>
    <xf numFmtId="0" fontId="0" fillId="36" borderId="10" xfId="0" applyFill="1" applyBorder="1"/>
    <xf numFmtId="0" fontId="22" fillId="36" borderId="10" xfId="0" applyFont="1" applyFill="1" applyBorder="1" applyAlignment="1">
      <alignment vertical="center" wrapText="1"/>
    </xf>
    <xf numFmtId="0" fontId="22" fillId="36" borderId="11" xfId="0" applyFont="1" applyFill="1" applyBorder="1" applyAlignment="1">
      <alignment vertical="center" wrapText="1"/>
    </xf>
    <xf numFmtId="0" fontId="0" fillId="0" borderId="0" xfId="0" applyBorder="1"/>
    <xf numFmtId="0" fontId="22" fillId="0" borderId="0" xfId="0" applyFont="1" applyBorder="1"/>
    <xf numFmtId="0" fontId="22" fillId="36" borderId="0" xfId="0" applyFont="1" applyFill="1" applyBorder="1"/>
    <xf numFmtId="0" fontId="0" fillId="36" borderId="0" xfId="0" applyFill="1" applyBorder="1"/>
    <xf numFmtId="0" fontId="22" fillId="36" borderId="15" xfId="0" applyFont="1" applyFill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36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44" fontId="22" fillId="33" borderId="15" xfId="1" applyFont="1" applyFill="1" applyBorder="1" applyAlignment="1">
      <alignment vertical="center" wrapText="1"/>
    </xf>
    <xf numFmtId="44" fontId="22" fillId="33" borderId="15" xfId="0" applyNumberFormat="1" applyFont="1" applyFill="1" applyBorder="1" applyAlignment="1">
      <alignment vertical="center"/>
    </xf>
    <xf numFmtId="0" fontId="22" fillId="33" borderId="15" xfId="0" applyFont="1" applyFill="1" applyBorder="1" applyAlignment="1">
      <alignment vertical="center"/>
    </xf>
    <xf numFmtId="44" fontId="22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49" xfId="0" applyFont="1" applyBorder="1" applyAlignment="1">
      <alignment horizontal="left" vertical="center" wrapText="1"/>
    </xf>
    <xf numFmtId="44" fontId="22" fillId="38" borderId="15" xfId="1" applyFont="1" applyFill="1" applyBorder="1" applyAlignment="1">
      <alignment horizontal="center" vertical="center" wrapText="1"/>
    </xf>
    <xf numFmtId="44" fontId="22" fillId="38" borderId="16" xfId="1" applyFont="1" applyFill="1" applyBorder="1" applyAlignment="1">
      <alignment horizontal="center" vertical="center" wrapText="1"/>
    </xf>
    <xf numFmtId="44" fontId="22" fillId="37" borderId="41" xfId="1" applyFont="1" applyFill="1" applyBorder="1" applyAlignment="1">
      <alignment horizontal="center" vertical="center" wrapText="1"/>
    </xf>
    <xf numFmtId="44" fontId="22" fillId="37" borderId="10" xfId="1" applyFont="1" applyFill="1" applyBorder="1" applyAlignment="1">
      <alignment horizontal="center" vertical="center"/>
    </xf>
    <xf numFmtId="44" fontId="22" fillId="37" borderId="41" xfId="1" applyFont="1" applyFill="1" applyBorder="1" applyAlignment="1">
      <alignment horizontal="center" vertical="center"/>
    </xf>
    <xf numFmtId="44" fontId="22" fillId="33" borderId="16" xfId="1" applyFont="1" applyFill="1" applyBorder="1" applyAlignment="1">
      <alignment vertical="center" wrapText="1"/>
    </xf>
    <xf numFmtId="44" fontId="22" fillId="33" borderId="18" xfId="1" applyFont="1" applyFill="1" applyBorder="1" applyAlignment="1">
      <alignment vertical="center" wrapText="1"/>
    </xf>
    <xf numFmtId="0" fontId="22" fillId="36" borderId="18" xfId="0" applyFont="1" applyFill="1" applyBorder="1" applyAlignment="1">
      <alignment vertical="center" wrapText="1"/>
    </xf>
    <xf numFmtId="164" fontId="22" fillId="36" borderId="15" xfId="0" applyNumberFormat="1" applyFont="1" applyFill="1" applyBorder="1" applyAlignment="1">
      <alignment horizontal="right" vertical="center" wrapText="1"/>
    </xf>
    <xf numFmtId="164" fontId="22" fillId="36" borderId="18" xfId="0" applyNumberFormat="1" applyFont="1" applyFill="1" applyBorder="1" applyAlignment="1">
      <alignment horizontal="right" vertical="center" wrapText="1"/>
    </xf>
    <xf numFmtId="164" fontId="22" fillId="33" borderId="14" xfId="1" applyNumberFormat="1" applyFont="1" applyFill="1" applyBorder="1" applyAlignment="1">
      <alignment vertical="center" wrapText="1"/>
    </xf>
    <xf numFmtId="164" fontId="22" fillId="33" borderId="15" xfId="1" applyNumberFormat="1" applyFont="1" applyFill="1" applyBorder="1" applyAlignment="1">
      <alignment vertical="center" wrapText="1"/>
    </xf>
    <xf numFmtId="164" fontId="22" fillId="33" borderId="15" xfId="0" applyNumberFormat="1" applyFont="1" applyFill="1" applyBorder="1" applyAlignment="1">
      <alignment vertical="center"/>
    </xf>
    <xf numFmtId="164" fontId="22" fillId="33" borderId="10" xfId="1" applyNumberFormat="1" applyFont="1" applyFill="1" applyBorder="1" applyAlignment="1">
      <alignment vertical="center" wrapText="1"/>
    </xf>
    <xf numFmtId="164" fontId="22" fillId="33" borderId="10" xfId="0" applyNumberFormat="1" applyFont="1" applyFill="1" applyBorder="1" applyAlignment="1">
      <alignment vertical="center"/>
    </xf>
    <xf numFmtId="164" fontId="22" fillId="37" borderId="10" xfId="1" applyNumberFormat="1" applyFont="1" applyFill="1" applyBorder="1" applyAlignment="1">
      <alignment vertical="center" wrapText="1"/>
    </xf>
    <xf numFmtId="164" fontId="22" fillId="37" borderId="10" xfId="0" applyNumberFormat="1" applyFont="1" applyFill="1" applyBorder="1" applyAlignment="1">
      <alignment vertical="center"/>
    </xf>
    <xf numFmtId="44" fontId="22" fillId="33" borderId="19" xfId="1" applyFont="1" applyFill="1" applyBorder="1" applyAlignment="1">
      <alignment vertical="center" wrapText="1"/>
    </xf>
    <xf numFmtId="0" fontId="22" fillId="36" borderId="15" xfId="0" applyFont="1" applyFill="1" applyBorder="1" applyAlignment="1">
      <alignment wrapText="1"/>
    </xf>
    <xf numFmtId="0" fontId="22" fillId="36" borderId="0" xfId="0" applyFont="1" applyFill="1" applyAlignment="1"/>
    <xf numFmtId="0" fontId="22" fillId="36" borderId="18" xfId="0" applyFont="1" applyFill="1" applyBorder="1" applyAlignment="1">
      <alignment wrapText="1"/>
    </xf>
    <xf numFmtId="44" fontId="22" fillId="38" borderId="14" xfId="1" applyFont="1" applyFill="1" applyBorder="1" applyAlignment="1">
      <alignment vertical="center" wrapText="1"/>
    </xf>
    <xf numFmtId="44" fontId="22" fillId="38" borderId="15" xfId="1" applyFont="1" applyFill="1" applyBorder="1" applyAlignment="1">
      <alignment vertical="center" wrapText="1"/>
    </xf>
    <xf numFmtId="44" fontId="22" fillId="38" borderId="16" xfId="1" applyFont="1" applyFill="1" applyBorder="1" applyAlignment="1">
      <alignment vertical="center" wrapText="1"/>
    </xf>
    <xf numFmtId="164" fontId="22" fillId="37" borderId="45" xfId="1" applyNumberFormat="1" applyFont="1" applyFill="1" applyBorder="1" applyAlignment="1">
      <alignment vertical="center" wrapText="1"/>
    </xf>
    <xf numFmtId="164" fontId="22" fillId="33" borderId="45" xfId="1" applyNumberFormat="1" applyFont="1" applyFill="1" applyBorder="1" applyAlignment="1">
      <alignment vertical="center" wrapText="1"/>
    </xf>
    <xf numFmtId="164" fontId="22" fillId="37" borderId="17" xfId="1" applyNumberFormat="1" applyFont="1" applyFill="1" applyBorder="1" applyAlignment="1">
      <alignment vertical="center" wrapText="1"/>
    </xf>
    <xf numFmtId="164" fontId="22" fillId="37" borderId="18" xfId="1" applyNumberFormat="1" applyFont="1" applyFill="1" applyBorder="1" applyAlignment="1">
      <alignment vertical="center" wrapText="1"/>
    </xf>
    <xf numFmtId="164" fontId="22" fillId="37" borderId="18" xfId="0" applyNumberFormat="1" applyFont="1" applyFill="1" applyBorder="1" applyAlignment="1">
      <alignment vertical="center"/>
    </xf>
    <xf numFmtId="0" fontId="18" fillId="38" borderId="10" xfId="0" applyFont="1" applyFill="1" applyBorder="1" applyAlignment="1">
      <alignment horizontal="center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44" fontId="22" fillId="38" borderId="15" xfId="1" applyFont="1" applyFill="1" applyBorder="1" applyAlignment="1">
      <alignment vertical="center"/>
    </xf>
    <xf numFmtId="0" fontId="20" fillId="37" borderId="54" xfId="0" applyFont="1" applyFill="1" applyBorder="1"/>
    <xf numFmtId="0" fontId="23" fillId="33" borderId="48" xfId="0" applyFont="1" applyFill="1" applyBorder="1"/>
    <xf numFmtId="0" fontId="22" fillId="0" borderId="0" xfId="0" applyFont="1" applyBorder="1" applyAlignment="1">
      <alignment horizontal="center" vertical="center" wrapText="1"/>
    </xf>
    <xf numFmtId="44" fontId="0" fillId="0" borderId="0" xfId="1" applyFont="1" applyBorder="1"/>
    <xf numFmtId="0" fontId="30" fillId="0" borderId="0" xfId="0" applyFont="1" applyBorder="1" applyAlignment="1">
      <alignment horizontal="left" vertical="center" wrapText="1"/>
    </xf>
    <xf numFmtId="17" fontId="21" fillId="0" borderId="55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3" fontId="0" fillId="0" borderId="0" xfId="0" applyNumberFormat="1"/>
    <xf numFmtId="44" fontId="0" fillId="0" borderId="0" xfId="0" applyNumberFormat="1"/>
    <xf numFmtId="167" fontId="19" fillId="0" borderId="0" xfId="0" applyNumberFormat="1" applyFont="1"/>
    <xf numFmtId="0" fontId="22" fillId="0" borderId="18" xfId="0" applyFont="1" applyBorder="1" applyAlignment="1">
      <alignment vertical="center" wrapText="1"/>
    </xf>
    <xf numFmtId="44" fontId="22" fillId="37" borderId="18" xfId="1" applyFont="1" applyFill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44" fontId="22" fillId="38" borderId="59" xfId="1" applyFont="1" applyFill="1" applyBorder="1" applyAlignment="1">
      <alignment horizontal="center" vertical="center" wrapText="1"/>
    </xf>
    <xf numFmtId="44" fontId="22" fillId="37" borderId="13" xfId="1" applyFont="1" applyFill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17" fontId="21" fillId="0" borderId="58" xfId="0" applyNumberFormat="1" applyFont="1" applyBorder="1" applyAlignment="1">
      <alignment horizontal="center" vertical="center" wrapText="1"/>
    </xf>
    <xf numFmtId="0" fontId="22" fillId="37" borderId="18" xfId="0" applyFont="1" applyFill="1" applyBorder="1" applyAlignment="1">
      <alignment horizontal="center" vertical="center" wrapText="1"/>
    </xf>
    <xf numFmtId="0" fontId="0" fillId="37" borderId="18" xfId="0" applyFill="1" applyBorder="1" applyAlignment="1">
      <alignment horizontal="center" vertical="center"/>
    </xf>
    <xf numFmtId="0" fontId="0" fillId="37" borderId="19" xfId="0" applyFill="1" applyBorder="1" applyAlignment="1">
      <alignment horizontal="center" vertical="center"/>
    </xf>
    <xf numFmtId="3" fontId="22" fillId="0" borderId="0" xfId="0" applyNumberFormat="1" applyFont="1"/>
    <xf numFmtId="44" fontId="29" fillId="37" borderId="10" xfId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32" fillId="0" borderId="0" xfId="0" applyNumberFormat="1" applyFont="1"/>
    <xf numFmtId="44" fontId="0" fillId="0" borderId="0" xfId="0" applyNumberFormat="1" applyAlignment="1">
      <alignment vertical="center"/>
    </xf>
    <xf numFmtId="0" fontId="30" fillId="0" borderId="0" xfId="0" applyFont="1" applyAlignment="1">
      <alignment wrapText="1"/>
    </xf>
    <xf numFmtId="166" fontId="22" fillId="43" borderId="13" xfId="0" applyNumberFormat="1" applyFont="1" applyFill="1" applyBorder="1" applyAlignment="1">
      <alignment horizontal="center" vertical="center" wrapText="1" readingOrder="1"/>
    </xf>
    <xf numFmtId="166" fontId="22" fillId="44" borderId="13" xfId="0" applyNumberFormat="1" applyFont="1" applyFill="1" applyBorder="1" applyAlignment="1">
      <alignment horizontal="center" vertical="center" wrapText="1" readingOrder="1"/>
    </xf>
    <xf numFmtId="0" fontId="19" fillId="0" borderId="18" xfId="0" applyFont="1" applyBorder="1"/>
    <xf numFmtId="166" fontId="22" fillId="43" borderId="41" xfId="0" applyNumberFormat="1" applyFont="1" applyFill="1" applyBorder="1" applyAlignment="1">
      <alignment horizontal="center" vertical="center" wrapText="1" readingOrder="1"/>
    </xf>
    <xf numFmtId="166" fontId="22" fillId="44" borderId="41" xfId="0" applyNumberFormat="1" applyFont="1" applyFill="1" applyBorder="1" applyAlignment="1">
      <alignment horizontal="center" vertical="center" wrapText="1" readingOrder="1"/>
    </xf>
    <xf numFmtId="166" fontId="22" fillId="44" borderId="18" xfId="0" applyNumberFormat="1" applyFont="1" applyFill="1" applyBorder="1" applyAlignment="1">
      <alignment horizontal="center" vertical="center" wrapText="1" readingOrder="1"/>
    </xf>
    <xf numFmtId="166" fontId="22" fillId="37" borderId="18" xfId="0" applyNumberFormat="1" applyFont="1" applyFill="1" applyBorder="1" applyAlignment="1">
      <alignment horizontal="center" vertical="center" wrapText="1"/>
    </xf>
    <xf numFmtId="166" fontId="22" fillId="44" borderId="19" xfId="0" applyNumberFormat="1" applyFont="1" applyFill="1" applyBorder="1" applyAlignment="1">
      <alignment horizontal="center" vertical="center" wrapText="1" readingOrder="1"/>
    </xf>
    <xf numFmtId="166" fontId="22" fillId="43" borderId="15" xfId="0" applyNumberFormat="1" applyFont="1" applyFill="1" applyBorder="1" applyAlignment="1">
      <alignment horizontal="center" vertical="center" wrapText="1" readingOrder="1"/>
    </xf>
    <xf numFmtId="166" fontId="22" fillId="38" borderId="15" xfId="0" applyNumberFormat="1" applyFont="1" applyFill="1" applyBorder="1" applyAlignment="1">
      <alignment horizontal="center" vertical="center" wrapText="1"/>
    </xf>
    <xf numFmtId="166" fontId="22" fillId="43" borderId="16" xfId="0" applyNumberFormat="1" applyFont="1" applyFill="1" applyBorder="1" applyAlignment="1">
      <alignment horizontal="center" vertical="center" wrapText="1" readingOrder="1"/>
    </xf>
    <xf numFmtId="166" fontId="22" fillId="38" borderId="41" xfId="0" applyNumberFormat="1" applyFont="1" applyFill="1" applyBorder="1" applyAlignment="1">
      <alignment horizontal="center" vertical="center" wrapText="1"/>
    </xf>
    <xf numFmtId="166" fontId="22" fillId="43" borderId="59" xfId="0" applyNumberFormat="1" applyFont="1" applyFill="1" applyBorder="1" applyAlignment="1">
      <alignment horizontal="center" vertical="center" wrapText="1" readingOrder="1"/>
    </xf>
    <xf numFmtId="166" fontId="22" fillId="38" borderId="13" xfId="0" applyNumberFormat="1" applyFont="1" applyFill="1" applyBorder="1" applyAlignment="1">
      <alignment horizontal="center" vertical="center" wrapText="1"/>
    </xf>
    <xf numFmtId="166" fontId="22" fillId="44" borderId="60" xfId="0" applyNumberFormat="1" applyFont="1" applyFill="1" applyBorder="1" applyAlignment="1">
      <alignment horizontal="center" vertical="center" wrapText="1" readingOrder="1"/>
    </xf>
    <xf numFmtId="166" fontId="22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30" fillId="0" borderId="0" xfId="0" applyNumberFormat="1" applyFont="1" applyAlignment="1">
      <alignment vertical="center"/>
    </xf>
    <xf numFmtId="14" fontId="21" fillId="0" borderId="33" xfId="0" applyNumberFormat="1" applyFont="1" applyBorder="1" applyAlignment="1">
      <alignment horizontal="center" vertical="center" wrapText="1"/>
    </xf>
    <xf numFmtId="44" fontId="22" fillId="33" borderId="10" xfId="1" applyFont="1" applyFill="1" applyBorder="1" applyAlignment="1">
      <alignment vertical="center" wrapText="1"/>
    </xf>
    <xf numFmtId="44" fontId="22" fillId="33" borderId="10" xfId="0" applyNumberFormat="1" applyFont="1" applyFill="1" applyBorder="1" applyAlignment="1">
      <alignment vertical="center"/>
    </xf>
    <xf numFmtId="0" fontId="22" fillId="33" borderId="10" xfId="0" applyFont="1" applyFill="1" applyBorder="1" applyAlignment="1">
      <alignment vertical="center"/>
    </xf>
    <xf numFmtId="44" fontId="22" fillId="37" borderId="10" xfId="1" applyFont="1" applyFill="1" applyBorder="1" applyAlignment="1">
      <alignment vertical="center" wrapText="1"/>
    </xf>
    <xf numFmtId="44" fontId="22" fillId="37" borderId="10" xfId="0" applyNumberFormat="1" applyFont="1" applyFill="1" applyBorder="1" applyAlignment="1">
      <alignment vertical="center"/>
    </xf>
    <xf numFmtId="0" fontId="22" fillId="37" borderId="10" xfId="0" applyFont="1" applyFill="1" applyBorder="1" applyAlignment="1">
      <alignment vertical="center"/>
    </xf>
    <xf numFmtId="44" fontId="22" fillId="37" borderId="45" xfId="1" applyFont="1" applyFill="1" applyBorder="1" applyAlignment="1">
      <alignment vertical="center" wrapText="1"/>
    </xf>
    <xf numFmtId="44" fontId="22" fillId="37" borderId="17" xfId="1" applyFont="1" applyFill="1" applyBorder="1" applyAlignment="1">
      <alignment vertical="center" wrapText="1"/>
    </xf>
    <xf numFmtId="44" fontId="22" fillId="37" borderId="18" xfId="0" applyNumberFormat="1" applyFont="1" applyFill="1" applyBorder="1" applyAlignment="1">
      <alignment vertical="center"/>
    </xf>
    <xf numFmtId="0" fontId="22" fillId="37" borderId="18" xfId="0" applyFont="1" applyFill="1" applyBorder="1" applyAlignment="1">
      <alignment vertical="center"/>
    </xf>
    <xf numFmtId="44" fontId="0" fillId="0" borderId="0" xfId="0" applyNumberFormat="1" applyBorder="1"/>
    <xf numFmtId="0" fontId="22" fillId="33" borderId="20" xfId="0" applyFont="1" applyFill="1" applyBorder="1" applyAlignment="1">
      <alignment vertical="center"/>
    </xf>
    <xf numFmtId="0" fontId="22" fillId="37" borderId="11" xfId="0" applyFont="1" applyFill="1" applyBorder="1" applyAlignment="1">
      <alignment vertical="center"/>
    </xf>
    <xf numFmtId="0" fontId="22" fillId="33" borderId="11" xfId="0" applyFont="1" applyFill="1" applyBorder="1" applyAlignment="1">
      <alignment vertical="center"/>
    </xf>
    <xf numFmtId="0" fontId="22" fillId="37" borderId="21" xfId="0" applyFont="1" applyFill="1" applyBorder="1" applyAlignment="1">
      <alignment vertical="center"/>
    </xf>
    <xf numFmtId="44" fontId="22" fillId="36" borderId="25" xfId="0" applyNumberFormat="1" applyFont="1" applyFill="1" applyBorder="1"/>
    <xf numFmtId="44" fontId="22" fillId="36" borderId="56" xfId="0" applyNumberFormat="1" applyFont="1" applyFill="1" applyBorder="1"/>
    <xf numFmtId="44" fontId="22" fillId="36" borderId="26" xfId="0" applyNumberFormat="1" applyFont="1" applyFill="1" applyBorder="1"/>
    <xf numFmtId="0" fontId="21" fillId="0" borderId="4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36" borderId="19" xfId="0" applyFont="1" applyFill="1" applyBorder="1" applyAlignment="1">
      <alignment horizontal="center" vertical="center" wrapText="1"/>
    </xf>
    <xf numFmtId="0" fontId="22" fillId="36" borderId="16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2" fillId="36" borderId="18" xfId="0" applyFont="1" applyFill="1" applyBorder="1" applyAlignment="1">
      <alignment horizontal="center" vertical="center" wrapText="1"/>
    </xf>
    <xf numFmtId="14" fontId="22" fillId="36" borderId="18" xfId="0" applyNumberFormat="1" applyFont="1" applyFill="1" applyBorder="1" applyAlignment="1">
      <alignment horizontal="center" vertical="center" wrapText="1"/>
    </xf>
    <xf numFmtId="0" fontId="22" fillId="36" borderId="15" xfId="0" applyFont="1" applyFill="1" applyBorder="1" applyAlignment="1">
      <alignment horizontal="center" vertical="center" wrapText="1"/>
    </xf>
    <xf numFmtId="14" fontId="22" fillId="36" borderId="15" xfId="0" applyNumberFormat="1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/>
    </xf>
    <xf numFmtId="44" fontId="22" fillId="38" borderId="41" xfId="1" applyFont="1" applyFill="1" applyBorder="1" applyAlignment="1">
      <alignment horizontal="center" vertical="center" wrapText="1"/>
    </xf>
    <xf numFmtId="44" fontId="22" fillId="37" borderId="18" xfId="1" applyFont="1" applyFill="1" applyBorder="1" applyAlignment="1">
      <alignment horizontal="center" vertical="center"/>
    </xf>
    <xf numFmtId="44" fontId="22" fillId="37" borderId="19" xfId="1" applyFont="1" applyFill="1" applyBorder="1" applyAlignment="1">
      <alignment horizontal="center" vertical="center"/>
    </xf>
    <xf numFmtId="0" fontId="22" fillId="0" borderId="65" xfId="0" applyFont="1" applyFill="1" applyBorder="1" applyAlignment="1">
      <alignment horizontal="left" vertical="center" wrapText="1"/>
    </xf>
    <xf numFmtId="0" fontId="22" fillId="0" borderId="66" xfId="0" applyFont="1" applyFill="1" applyBorder="1" applyAlignment="1">
      <alignment horizontal="left" vertical="center" wrapText="1"/>
    </xf>
    <xf numFmtId="0" fontId="22" fillId="0" borderId="66" xfId="0" applyFont="1" applyBorder="1" applyAlignment="1">
      <alignment horizontal="left" vertical="center" wrapText="1"/>
    </xf>
    <xf numFmtId="0" fontId="29" fillId="33" borderId="66" xfId="0" applyFont="1" applyFill="1" applyBorder="1" applyAlignment="1">
      <alignment horizontal="left" vertical="center" wrapText="1"/>
    </xf>
    <xf numFmtId="0" fontId="22" fillId="37" borderId="66" xfId="0" applyFont="1" applyFill="1" applyBorder="1" applyAlignment="1">
      <alignment horizontal="left" vertical="center" wrapText="1"/>
    </xf>
    <xf numFmtId="44" fontId="22" fillId="38" borderId="13" xfId="1" applyFont="1" applyFill="1" applyBorder="1" applyAlignment="1">
      <alignment horizontal="center" vertical="center" wrapText="1"/>
    </xf>
    <xf numFmtId="44" fontId="22" fillId="37" borderId="13" xfId="1" applyFont="1" applyFill="1" applyBorder="1" applyAlignment="1">
      <alignment horizontal="center" vertical="center"/>
    </xf>
    <xf numFmtId="44" fontId="22" fillId="37" borderId="60" xfId="1" applyFont="1" applyFill="1" applyBorder="1" applyAlignment="1">
      <alignment horizontal="center" vertical="center"/>
    </xf>
    <xf numFmtId="0" fontId="21" fillId="0" borderId="33" xfId="0" applyFont="1" applyBorder="1" applyAlignment="1">
      <alignment horizontal="left" vertical="center" wrapText="1"/>
    </xf>
    <xf numFmtId="164" fontId="0" fillId="0" borderId="0" xfId="0" applyNumberFormat="1"/>
    <xf numFmtId="164" fontId="22" fillId="33" borderId="20" xfId="0" applyNumberFormat="1" applyFont="1" applyFill="1" applyBorder="1" applyAlignment="1">
      <alignment vertical="center"/>
    </xf>
    <xf numFmtId="164" fontId="22" fillId="33" borderId="11" xfId="0" applyNumberFormat="1" applyFont="1" applyFill="1" applyBorder="1" applyAlignment="1">
      <alignment vertical="center"/>
    </xf>
    <xf numFmtId="164" fontId="22" fillId="0" borderId="25" xfId="0" applyNumberFormat="1" applyFont="1" applyBorder="1" applyAlignment="1">
      <alignment vertical="center"/>
    </xf>
    <xf numFmtId="164" fontId="22" fillId="0" borderId="56" xfId="0" applyNumberFormat="1" applyFont="1" applyBorder="1" applyAlignment="1">
      <alignment vertical="center"/>
    </xf>
    <xf numFmtId="164" fontId="22" fillId="0" borderId="26" xfId="0" applyNumberFormat="1" applyFont="1" applyBorder="1" applyAlignment="1">
      <alignment vertical="center"/>
    </xf>
    <xf numFmtId="44" fontId="22" fillId="36" borderId="62" xfId="0" applyNumberFormat="1" applyFont="1" applyFill="1" applyBorder="1" applyAlignment="1">
      <alignment vertical="center"/>
    </xf>
    <xf numFmtId="44" fontId="22" fillId="36" borderId="63" xfId="0" applyNumberFormat="1" applyFont="1" applyFill="1" applyBorder="1" applyAlignment="1">
      <alignment vertical="center"/>
    </xf>
    <xf numFmtId="44" fontId="22" fillId="36" borderId="64" xfId="0" applyNumberFormat="1" applyFont="1" applyFill="1" applyBorder="1" applyAlignment="1">
      <alignment vertical="center"/>
    </xf>
    <xf numFmtId="44" fontId="22" fillId="38" borderId="10" xfId="1" applyFont="1" applyFill="1" applyBorder="1" applyAlignment="1">
      <alignment vertical="center" wrapText="1"/>
    </xf>
    <xf numFmtId="44" fontId="22" fillId="38" borderId="45" xfId="1" applyFont="1" applyFill="1" applyBorder="1" applyAlignment="1">
      <alignment vertical="center" wrapText="1"/>
    </xf>
    <xf numFmtId="44" fontId="22" fillId="38" borderId="41" xfId="1" applyFont="1" applyFill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18" fillId="38" borderId="14" xfId="0" applyFont="1" applyFill="1" applyBorder="1"/>
    <xf numFmtId="0" fontId="18" fillId="34" borderId="15" xfId="0" applyFont="1" applyFill="1" applyBorder="1"/>
    <xf numFmtId="0" fontId="18" fillId="38" borderId="45" xfId="0" applyFont="1" applyFill="1" applyBorder="1" applyAlignment="1">
      <alignment vertical="center"/>
    </xf>
    <xf numFmtId="0" fontId="18" fillId="38" borderId="45" xfId="0" applyFont="1" applyFill="1" applyBorder="1"/>
    <xf numFmtId="44" fontId="22" fillId="38" borderId="63" xfId="1" applyFont="1" applyFill="1" applyBorder="1"/>
    <xf numFmtId="44" fontId="22" fillId="37" borderId="63" xfId="1" applyFont="1" applyFill="1" applyBorder="1"/>
    <xf numFmtId="0" fontId="22" fillId="38" borderId="10" xfId="0" applyFont="1" applyFill="1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/>
    </xf>
    <xf numFmtId="0" fontId="22" fillId="37" borderId="10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/>
    </xf>
    <xf numFmtId="0" fontId="22" fillId="38" borderId="14" xfId="0" applyFont="1" applyFill="1" applyBorder="1" applyAlignment="1">
      <alignment horizontal="center" vertical="center" wrapText="1"/>
    </xf>
    <xf numFmtId="0" fontId="22" fillId="37" borderId="45" xfId="0" applyFont="1" applyFill="1" applyBorder="1" applyAlignment="1">
      <alignment horizontal="center" vertical="center" wrapText="1"/>
    </xf>
    <xf numFmtId="0" fontId="0" fillId="37" borderId="41" xfId="0" applyFill="1" applyBorder="1" applyAlignment="1">
      <alignment horizontal="center" vertical="center"/>
    </xf>
    <xf numFmtId="0" fontId="22" fillId="38" borderId="45" xfId="0" applyFont="1" applyFill="1" applyBorder="1" applyAlignment="1">
      <alignment horizontal="center" vertical="center" wrapText="1"/>
    </xf>
    <xf numFmtId="0" fontId="0" fillId="38" borderId="41" xfId="0" applyFill="1" applyBorder="1" applyAlignment="1">
      <alignment horizontal="center" vertical="center"/>
    </xf>
    <xf numFmtId="0" fontId="22" fillId="37" borderId="17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wrapText="1"/>
    </xf>
    <xf numFmtId="0" fontId="22" fillId="0" borderId="10" xfId="0" applyFont="1" applyFill="1" applyBorder="1" applyAlignment="1">
      <alignment wrapText="1"/>
    </xf>
    <xf numFmtId="0" fontId="22" fillId="37" borderId="10" xfId="0" applyFont="1" applyFill="1" applyBorder="1" applyAlignment="1">
      <alignment wrapText="1"/>
    </xf>
    <xf numFmtId="0" fontId="0" fillId="37" borderId="10" xfId="0" applyFill="1" applyBorder="1"/>
    <xf numFmtId="0" fontId="0" fillId="37" borderId="18" xfId="0" applyFont="1" applyFill="1" applyBorder="1"/>
    <xf numFmtId="44" fontId="22" fillId="33" borderId="10" xfId="1" applyFont="1" applyFill="1" applyBorder="1" applyAlignment="1">
      <alignment wrapText="1"/>
    </xf>
    <xf numFmtId="44" fontId="22" fillId="37" borderId="10" xfId="1" applyFont="1" applyFill="1" applyBorder="1" applyAlignment="1">
      <alignment wrapText="1"/>
    </xf>
    <xf numFmtId="44" fontId="22" fillId="37" borderId="45" xfId="1" applyFont="1" applyFill="1" applyBorder="1" applyAlignment="1">
      <alignment wrapText="1"/>
    </xf>
    <xf numFmtId="44" fontId="22" fillId="37" borderId="41" xfId="1" applyFont="1" applyFill="1" applyBorder="1" applyAlignment="1">
      <alignment wrapText="1"/>
    </xf>
    <xf numFmtId="44" fontId="22" fillId="33" borderId="45" xfId="1" applyFont="1" applyFill="1" applyBorder="1" applyAlignment="1">
      <alignment wrapText="1"/>
    </xf>
    <xf numFmtId="44" fontId="22" fillId="33" borderId="41" xfId="1" applyFont="1" applyFill="1" applyBorder="1" applyAlignment="1">
      <alignment wrapText="1"/>
    </xf>
    <xf numFmtId="44" fontId="22" fillId="0" borderId="56" xfId="0" applyNumberFormat="1" applyFont="1" applyBorder="1"/>
    <xf numFmtId="44" fontId="22" fillId="0" borderId="26" xfId="0" applyNumberFormat="1" applyFont="1" applyBorder="1"/>
    <xf numFmtId="44" fontId="22" fillId="0" borderId="67" xfId="0" applyNumberFormat="1" applyFont="1" applyBorder="1"/>
    <xf numFmtId="0" fontId="18" fillId="38" borderId="14" xfId="0" applyFont="1" applyFill="1" applyBorder="1" applyAlignment="1">
      <alignment vertical="center"/>
    </xf>
    <xf numFmtId="44" fontId="22" fillId="38" borderId="14" xfId="1" applyFont="1" applyFill="1" applyBorder="1" applyAlignment="1">
      <alignment horizontal="center" vertical="center" wrapText="1"/>
    </xf>
    <xf numFmtId="44" fontId="22" fillId="37" borderId="45" xfId="1" applyFont="1" applyFill="1" applyBorder="1" applyAlignment="1">
      <alignment horizontal="center" vertical="center" wrapText="1"/>
    </xf>
    <xf numFmtId="44" fontId="22" fillId="38" borderId="45" xfId="1" applyFont="1" applyFill="1" applyBorder="1" applyAlignment="1">
      <alignment horizontal="center" vertical="center" wrapText="1"/>
    </xf>
    <xf numFmtId="44" fontId="22" fillId="37" borderId="17" xfId="1" applyFont="1" applyFill="1" applyBorder="1" applyAlignment="1">
      <alignment horizontal="center" vertical="center" wrapText="1"/>
    </xf>
    <xf numFmtId="44" fontId="22" fillId="37" borderId="18" xfId="1" applyFont="1" applyFill="1" applyBorder="1" applyAlignment="1">
      <alignment horizontal="center" vertical="center" wrapText="1"/>
    </xf>
    <xf numFmtId="44" fontId="22" fillId="37" borderId="19" xfId="1" applyFont="1" applyFill="1" applyBorder="1" applyAlignment="1">
      <alignment horizontal="center" vertical="center" wrapText="1"/>
    </xf>
    <xf numFmtId="44" fontId="22" fillId="38" borderId="20" xfId="1" applyFont="1" applyFill="1" applyBorder="1" applyAlignment="1">
      <alignment horizontal="center" vertical="center" wrapText="1"/>
    </xf>
    <xf numFmtId="44" fontId="22" fillId="37" borderId="11" xfId="1" applyFont="1" applyFill="1" applyBorder="1" applyAlignment="1">
      <alignment horizontal="center" vertical="center" wrapText="1"/>
    </xf>
    <xf numFmtId="44" fontId="22" fillId="38" borderId="11" xfId="1" applyFont="1" applyFill="1" applyBorder="1" applyAlignment="1">
      <alignment horizontal="center" vertical="center" wrapText="1"/>
    </xf>
    <xf numFmtId="44" fontId="22" fillId="37" borderId="21" xfId="1" applyFont="1" applyFill="1" applyBorder="1" applyAlignment="1">
      <alignment horizontal="center" vertical="center" wrapText="1"/>
    </xf>
    <xf numFmtId="44" fontId="22" fillId="0" borderId="25" xfId="0" applyNumberFormat="1" applyFont="1" applyBorder="1" applyAlignment="1">
      <alignment vertical="center"/>
    </xf>
    <xf numFmtId="44" fontId="22" fillId="0" borderId="56" xfId="0" applyNumberFormat="1" applyFont="1" applyBorder="1" applyAlignment="1">
      <alignment vertical="center"/>
    </xf>
    <xf numFmtId="44" fontId="22" fillId="36" borderId="56" xfId="0" applyNumberFormat="1" applyFont="1" applyFill="1" applyBorder="1" applyAlignment="1">
      <alignment vertical="center"/>
    </xf>
    <xf numFmtId="44" fontId="22" fillId="0" borderId="26" xfId="0" applyNumberFormat="1" applyFont="1" applyBorder="1" applyAlignment="1">
      <alignment vertical="center"/>
    </xf>
    <xf numFmtId="0" fontId="22" fillId="0" borderId="38" xfId="0" applyFont="1" applyBorder="1" applyAlignment="1">
      <alignment vertical="center" wrapText="1"/>
    </xf>
    <xf numFmtId="0" fontId="0" fillId="0" borderId="18" xfId="0" applyBorder="1" applyAlignment="1">
      <alignment vertical="center"/>
    </xf>
    <xf numFmtId="44" fontId="22" fillId="0" borderId="0" xfId="0" applyNumberFormat="1" applyFont="1" applyBorder="1" applyAlignment="1">
      <alignment vertical="center"/>
    </xf>
    <xf numFmtId="44" fontId="24" fillId="0" borderId="0" xfId="0" applyNumberFormat="1" applyFont="1" applyBorder="1"/>
    <xf numFmtId="44" fontId="29" fillId="0" borderId="56" xfId="0" applyNumberFormat="1" applyFont="1" applyBorder="1" applyAlignment="1">
      <alignment vertical="center"/>
    </xf>
    <xf numFmtId="0" fontId="21" fillId="36" borderId="58" xfId="0" applyFont="1" applyFill="1" applyBorder="1" applyAlignment="1">
      <alignment horizontal="center" vertical="center" wrapText="1"/>
    </xf>
    <xf numFmtId="0" fontId="21" fillId="36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36" borderId="35" xfId="0" applyFont="1" applyFill="1" applyBorder="1" applyAlignment="1">
      <alignment horizontal="center" vertical="center" wrapText="1"/>
    </xf>
    <xf numFmtId="166" fontId="24" fillId="0" borderId="0" xfId="0" applyNumberFormat="1" applyFont="1"/>
    <xf numFmtId="166" fontId="22" fillId="0" borderId="25" xfId="0" applyNumberFormat="1" applyFont="1" applyBorder="1" applyAlignment="1">
      <alignment vertical="center"/>
    </xf>
    <xf numFmtId="166" fontId="22" fillId="0" borderId="56" xfId="0" applyNumberFormat="1" applyFont="1" applyBorder="1" applyAlignment="1">
      <alignment vertical="center"/>
    </xf>
    <xf numFmtId="166" fontId="22" fillId="0" borderId="26" xfId="0" applyNumberFormat="1" applyFont="1" applyBorder="1" applyAlignment="1">
      <alignment vertical="center"/>
    </xf>
    <xf numFmtId="44" fontId="22" fillId="38" borderId="10" xfId="1" applyFont="1" applyFill="1" applyBorder="1" applyAlignment="1">
      <alignment vertical="center"/>
    </xf>
    <xf numFmtId="44" fontId="22" fillId="37" borderId="10" xfId="1" applyFont="1" applyFill="1" applyBorder="1" applyAlignment="1">
      <alignment vertical="center"/>
    </xf>
    <xf numFmtId="44" fontId="22" fillId="37" borderId="18" xfId="1" applyFont="1" applyFill="1" applyBorder="1" applyAlignment="1">
      <alignment vertical="center"/>
    </xf>
    <xf numFmtId="44" fontId="22" fillId="38" borderId="20" xfId="1" applyFont="1" applyFill="1" applyBorder="1" applyAlignment="1">
      <alignment vertical="center"/>
    </xf>
    <xf numFmtId="44" fontId="22" fillId="37" borderId="11" xfId="1" applyFont="1" applyFill="1" applyBorder="1" applyAlignment="1">
      <alignment vertical="center"/>
    </xf>
    <xf numFmtId="44" fontId="22" fillId="38" borderId="11" xfId="1" applyFont="1" applyFill="1" applyBorder="1" applyAlignment="1">
      <alignment vertical="center"/>
    </xf>
    <xf numFmtId="44" fontId="22" fillId="37" borderId="21" xfId="1" applyFont="1" applyFill="1" applyBorder="1" applyAlignment="1">
      <alignment vertical="center"/>
    </xf>
    <xf numFmtId="44" fontId="22" fillId="0" borderId="25" xfId="0" applyNumberFormat="1" applyFont="1" applyFill="1" applyBorder="1"/>
    <xf numFmtId="44" fontId="22" fillId="0" borderId="56" xfId="0" applyNumberFormat="1" applyFont="1" applyFill="1" applyBorder="1"/>
    <xf numFmtId="44" fontId="22" fillId="0" borderId="26" xfId="0" applyNumberFormat="1" applyFont="1" applyFill="1" applyBorder="1"/>
    <xf numFmtId="44" fontId="22" fillId="33" borderId="59" xfId="1" applyFont="1" applyFill="1" applyBorder="1" applyAlignment="1">
      <alignment vertical="center" wrapText="1"/>
    </xf>
    <xf numFmtId="44" fontId="22" fillId="37" borderId="13" xfId="1" applyFont="1" applyFill="1" applyBorder="1" applyAlignment="1">
      <alignment vertical="center" wrapText="1"/>
    </xf>
    <xf numFmtId="44" fontId="22" fillId="33" borderId="13" xfId="1" applyFont="1" applyFill="1" applyBorder="1" applyAlignment="1">
      <alignment vertical="center" wrapText="1"/>
    </xf>
    <xf numFmtId="44" fontId="22" fillId="37" borderId="60" xfId="1" applyFont="1" applyFill="1" applyBorder="1" applyAlignment="1">
      <alignment vertical="center" wrapText="1"/>
    </xf>
    <xf numFmtId="0" fontId="18" fillId="38" borderId="11" xfId="0" applyFont="1" applyFill="1" applyBorder="1"/>
    <xf numFmtId="44" fontId="22" fillId="0" borderId="62" xfId="0" applyNumberFormat="1" applyFont="1" applyFill="1" applyBorder="1" applyAlignment="1">
      <alignment vertical="center"/>
    </xf>
    <xf numFmtId="44" fontId="22" fillId="0" borderId="63" xfId="0" applyNumberFormat="1" applyFont="1" applyFill="1" applyBorder="1" applyAlignment="1">
      <alignment vertical="center"/>
    </xf>
    <xf numFmtId="44" fontId="22" fillId="0" borderId="64" xfId="0" applyNumberFormat="1" applyFont="1" applyFill="1" applyBorder="1" applyAlignment="1">
      <alignment vertical="center"/>
    </xf>
    <xf numFmtId="44" fontId="22" fillId="33" borderId="60" xfId="1" applyFont="1" applyFill="1" applyBorder="1" applyAlignment="1">
      <alignment vertical="center" wrapText="1"/>
    </xf>
    <xf numFmtId="0" fontId="22" fillId="36" borderId="14" xfId="0" applyFont="1" applyFill="1" applyBorder="1" applyAlignment="1">
      <alignment vertical="center" wrapText="1"/>
    </xf>
    <xf numFmtId="0" fontId="22" fillId="36" borderId="17" xfId="0" applyFont="1" applyFill="1" applyBorder="1" applyAlignment="1">
      <alignment vertical="center" wrapText="1"/>
    </xf>
    <xf numFmtId="164" fontId="22" fillId="37" borderId="11" xfId="0" applyNumberFormat="1" applyFont="1" applyFill="1" applyBorder="1" applyAlignment="1">
      <alignment vertical="center"/>
    </xf>
    <xf numFmtId="164" fontId="22" fillId="37" borderId="21" xfId="0" applyNumberFormat="1" applyFont="1" applyFill="1" applyBorder="1" applyAlignment="1">
      <alignment vertical="center"/>
    </xf>
    <xf numFmtId="44" fontId="22" fillId="37" borderId="41" xfId="1" applyFont="1" applyFill="1" applyBorder="1" applyAlignment="1">
      <alignment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1" fontId="18" fillId="36" borderId="15" xfId="0" applyNumberFormat="1" applyFont="1" applyFill="1" applyBorder="1" applyAlignment="1">
      <alignment horizontal="center"/>
    </xf>
    <xf numFmtId="1" fontId="18" fillId="36" borderId="16" xfId="0" applyNumberFormat="1" applyFont="1" applyFill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8" fillId="0" borderId="41" xfId="0" applyFont="1" applyBorder="1" applyAlignment="1">
      <alignment horizontal="center" vertical="top" wrapText="1"/>
    </xf>
    <xf numFmtId="8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8" fontId="19" fillId="0" borderId="41" xfId="0" applyNumberFormat="1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4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9" fontId="19" fillId="0" borderId="10" xfId="0" applyNumberFormat="1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"/>
    </xf>
    <xf numFmtId="0" fontId="18" fillId="38" borderId="43" xfId="0" applyFont="1" applyFill="1" applyBorder="1" applyAlignment="1">
      <alignment horizontal="center" vertical="center"/>
    </xf>
    <xf numFmtId="0" fontId="18" fillId="38" borderId="50" xfId="0" applyFont="1" applyFill="1" applyBorder="1" applyAlignment="1">
      <alignment horizontal="center" vertical="center"/>
    </xf>
    <xf numFmtId="0" fontId="18" fillId="38" borderId="31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/>
    </xf>
    <xf numFmtId="0" fontId="19" fillId="0" borderId="41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14" fontId="22" fillId="0" borderId="18" xfId="0" applyNumberFormat="1" applyFont="1" applyBorder="1" applyAlignment="1">
      <alignment horizontal="center" vertical="center" wrapText="1"/>
    </xf>
    <xf numFmtId="44" fontId="22" fillId="0" borderId="10" xfId="1" applyFont="1" applyBorder="1" applyAlignment="1">
      <alignment horizontal="center" vertical="center" wrapText="1"/>
    </xf>
    <xf numFmtId="44" fontId="22" fillId="0" borderId="15" xfId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44" fontId="22" fillId="0" borderId="18" xfId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9" fontId="19" fillId="36" borderId="10" xfId="0" applyNumberFormat="1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/>
    </xf>
    <xf numFmtId="0" fontId="18" fillId="38" borderId="45" xfId="0" applyFont="1" applyFill="1" applyBorder="1" applyAlignment="1">
      <alignment horizontal="center" vertical="center"/>
    </xf>
    <xf numFmtId="0" fontId="18" fillId="38" borderId="17" xfId="0" applyFont="1" applyFill="1" applyBorder="1" applyAlignment="1">
      <alignment horizontal="center" vertical="center"/>
    </xf>
    <xf numFmtId="0" fontId="19" fillId="36" borderId="41" xfId="0" applyFont="1" applyFill="1" applyBorder="1" applyAlignment="1">
      <alignment horizontal="center"/>
    </xf>
    <xf numFmtId="0" fontId="19" fillId="0" borderId="41" xfId="0" applyFont="1" applyBorder="1" applyAlignment="1">
      <alignment horizontal="left" vertical="top"/>
    </xf>
    <xf numFmtId="164" fontId="22" fillId="0" borderId="15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4" fontId="22" fillId="0" borderId="18" xfId="0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wrapText="1"/>
    </xf>
    <xf numFmtId="0" fontId="30" fillId="0" borderId="29" xfId="0" applyFont="1" applyBorder="1" applyAlignment="1">
      <alignment horizontal="center" wrapText="1"/>
    </xf>
    <xf numFmtId="14" fontId="22" fillId="0" borderId="15" xfId="0" applyNumberFormat="1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14" fontId="22" fillId="0" borderId="18" xfId="0" applyNumberFormat="1" applyFont="1" applyFill="1" applyBorder="1" applyAlignment="1">
      <alignment horizontal="center" vertical="center" wrapText="1"/>
    </xf>
    <xf numFmtId="0" fontId="22" fillId="36" borderId="14" xfId="0" applyFont="1" applyFill="1" applyBorder="1" applyAlignment="1">
      <alignment horizontal="left" vertical="center" wrapText="1"/>
    </xf>
    <xf numFmtId="0" fontId="22" fillId="36" borderId="45" xfId="0" applyFont="1" applyFill="1" applyBorder="1" applyAlignment="1">
      <alignment horizontal="left" vertical="center" wrapText="1"/>
    </xf>
    <xf numFmtId="0" fontId="22" fillId="36" borderId="17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1" fontId="18" fillId="36" borderId="10" xfId="0" applyNumberFormat="1" applyFont="1" applyFill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8" fontId="19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horizontal="left" vertical="top" wrapText="1"/>
    </xf>
    <xf numFmtId="0" fontId="18" fillId="38" borderId="36" xfId="0" applyFont="1" applyFill="1" applyBorder="1" applyAlignment="1">
      <alignment horizontal="left" vertical="center"/>
    </xf>
    <xf numFmtId="0" fontId="18" fillId="38" borderId="37" xfId="0" applyFont="1" applyFill="1" applyBorder="1" applyAlignment="1">
      <alignment horizontal="left" vertical="center"/>
    </xf>
    <xf numFmtId="0" fontId="18" fillId="38" borderId="38" xfId="0" applyFont="1" applyFill="1" applyBorder="1" applyAlignment="1">
      <alignment horizontal="left" vertical="center"/>
    </xf>
    <xf numFmtId="0" fontId="18" fillId="0" borderId="30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167" fontId="22" fillId="0" borderId="10" xfId="1" applyNumberFormat="1" applyFont="1" applyBorder="1" applyAlignment="1">
      <alignment horizontal="center" vertical="center" wrapText="1"/>
    </xf>
    <xf numFmtId="167" fontId="22" fillId="0" borderId="15" xfId="1" applyNumberFormat="1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wrapText="1"/>
    </xf>
    <xf numFmtId="167" fontId="22" fillId="0" borderId="18" xfId="1" applyNumberFormat="1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14" fontId="22" fillId="0" borderId="36" xfId="0" applyNumberFormat="1" applyFont="1" applyBorder="1" applyAlignment="1">
      <alignment horizontal="center" vertical="center" wrapText="1"/>
    </xf>
    <xf numFmtId="14" fontId="22" fillId="0" borderId="38" xfId="0" applyNumberFormat="1" applyFont="1" applyBorder="1" applyAlignment="1">
      <alignment horizontal="center" vertical="center" wrapText="1"/>
    </xf>
    <xf numFmtId="44" fontId="22" fillId="0" borderId="36" xfId="1" applyFont="1" applyBorder="1" applyAlignment="1">
      <alignment horizontal="center" vertical="center" wrapText="1"/>
    </xf>
    <xf numFmtId="44" fontId="22" fillId="0" borderId="38" xfId="1" applyFont="1" applyBorder="1" applyAlignment="1">
      <alignment horizontal="center" vertical="center" wrapText="1"/>
    </xf>
    <xf numFmtId="14" fontId="22" fillId="0" borderId="39" xfId="0" applyNumberFormat="1" applyFont="1" applyBorder="1" applyAlignment="1">
      <alignment horizontal="center" vertical="center" wrapText="1"/>
    </xf>
    <xf numFmtId="44" fontId="22" fillId="0" borderId="39" xfId="1" applyFont="1" applyBorder="1" applyAlignment="1">
      <alignment horizontal="center" vertical="center" wrapText="1"/>
    </xf>
    <xf numFmtId="14" fontId="22" fillId="0" borderId="36" xfId="0" applyNumberFormat="1" applyFont="1" applyBorder="1" applyAlignment="1">
      <alignment horizontal="center" vertical="center"/>
    </xf>
    <xf numFmtId="14" fontId="22" fillId="0" borderId="38" xfId="0" applyNumberFormat="1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42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center" vertical="top" wrapText="1"/>
    </xf>
    <xf numFmtId="0" fontId="25" fillId="0" borderId="22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2" fillId="0" borderId="50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14" fontId="22" fillId="0" borderId="37" xfId="0" applyNumberFormat="1" applyFont="1" applyBorder="1" applyAlignment="1">
      <alignment horizontal="center" vertical="center" wrapText="1"/>
    </xf>
    <xf numFmtId="44" fontId="22" fillId="0" borderId="37" xfId="1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18" fillId="38" borderId="36" xfId="0" applyFont="1" applyFill="1" applyBorder="1" applyAlignment="1">
      <alignment horizontal="center" vertical="center"/>
    </xf>
    <xf numFmtId="0" fontId="18" fillId="38" borderId="37" xfId="0" applyFont="1" applyFill="1" applyBorder="1" applyAlignment="1">
      <alignment horizontal="center" vertical="center"/>
    </xf>
    <xf numFmtId="0" fontId="18" fillId="38" borderId="38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wrapText="1"/>
    </xf>
    <xf numFmtId="1" fontId="18" fillId="36" borderId="11" xfId="0" applyNumberFormat="1" applyFont="1" applyFill="1" applyBorder="1" applyAlignment="1">
      <alignment horizontal="center"/>
    </xf>
    <xf numFmtId="1" fontId="18" fillId="36" borderId="12" xfId="0" applyNumberFormat="1" applyFont="1" applyFill="1" applyBorder="1" applyAlignment="1">
      <alignment horizontal="center"/>
    </xf>
    <xf numFmtId="1" fontId="18" fillId="36" borderId="13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6" fontId="19" fillId="36" borderId="11" xfId="0" applyNumberFormat="1" applyFont="1" applyFill="1" applyBorder="1" applyAlignment="1">
      <alignment horizontal="center"/>
    </xf>
    <xf numFmtId="6" fontId="19" fillId="36" borderId="12" xfId="0" applyNumberFormat="1" applyFont="1" applyFill="1" applyBorder="1" applyAlignment="1">
      <alignment horizontal="center"/>
    </xf>
    <xf numFmtId="6" fontId="19" fillId="36" borderId="13" xfId="0" applyNumberFormat="1" applyFont="1" applyFill="1" applyBorder="1" applyAlignment="1">
      <alignment horizontal="center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9" fontId="19" fillId="0" borderId="11" xfId="0" applyNumberFormat="1" applyFont="1" applyFill="1" applyBorder="1" applyAlignment="1">
      <alignment horizontal="center"/>
    </xf>
    <xf numFmtId="6" fontId="19" fillId="0" borderId="12" xfId="0" applyNumberFormat="1" applyFont="1" applyFill="1" applyBorder="1" applyAlignment="1">
      <alignment horizontal="center"/>
    </xf>
    <xf numFmtId="6" fontId="19" fillId="0" borderId="13" xfId="0" applyNumberFormat="1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2" fillId="41" borderId="45" xfId="0" applyFont="1" applyFill="1" applyBorder="1" applyAlignment="1">
      <alignment horizontal="left" vertical="top" wrapText="1" readingOrder="1"/>
    </xf>
    <xf numFmtId="9" fontId="19" fillId="0" borderId="11" xfId="0" applyNumberFormat="1" applyFont="1" applyBorder="1" applyAlignment="1">
      <alignment horizontal="center"/>
    </xf>
    <xf numFmtId="0" fontId="21" fillId="0" borderId="30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center" vertical="top" wrapText="1"/>
    </xf>
    <xf numFmtId="0" fontId="21" fillId="0" borderId="27" xfId="0" applyFont="1" applyBorder="1" applyAlignment="1">
      <alignment horizontal="center" vertical="top" wrapText="1"/>
    </xf>
    <xf numFmtId="0" fontId="21" fillId="0" borderId="3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2" fillId="39" borderId="14" xfId="0" applyFont="1" applyFill="1" applyBorder="1" applyAlignment="1">
      <alignment horizontal="left" vertical="top" wrapText="1" readingOrder="1"/>
    </xf>
    <xf numFmtId="0" fontId="22" fillId="39" borderId="45" xfId="0" applyFont="1" applyFill="1" applyBorder="1" applyAlignment="1">
      <alignment horizontal="left" vertical="top" wrapText="1" readingOrder="1"/>
    </xf>
    <xf numFmtId="0" fontId="22" fillId="40" borderId="45" xfId="0" applyFont="1" applyFill="1" applyBorder="1" applyAlignment="1">
      <alignment horizontal="left" vertical="top" wrapText="1" readingOrder="1"/>
    </xf>
    <xf numFmtId="0" fontId="22" fillId="41" borderId="45" xfId="0" applyFont="1" applyFill="1" applyBorder="1" applyAlignment="1">
      <alignment horizontal="left" vertical="center" wrapText="1" readingOrder="1"/>
    </xf>
    <xf numFmtId="0" fontId="22" fillId="39" borderId="15" xfId="0" applyFont="1" applyFill="1" applyBorder="1" applyAlignment="1">
      <alignment horizontal="left" vertical="top" wrapText="1" readingOrder="1"/>
    </xf>
    <xf numFmtId="0" fontId="22" fillId="39" borderId="10" xfId="0" applyFont="1" applyFill="1" applyBorder="1" applyAlignment="1">
      <alignment horizontal="left" vertical="top" wrapText="1" readingOrder="1"/>
    </xf>
    <xf numFmtId="0" fontId="22" fillId="36" borderId="15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/>
    </xf>
    <xf numFmtId="165" fontId="27" fillId="39" borderId="15" xfId="0" applyNumberFormat="1" applyFont="1" applyFill="1" applyBorder="1" applyAlignment="1">
      <alignment horizontal="center" vertical="center" wrapText="1" readingOrder="1"/>
    </xf>
    <xf numFmtId="165" fontId="27" fillId="39" borderId="10" xfId="0" applyNumberFormat="1" applyFont="1" applyFill="1" applyBorder="1" applyAlignment="1">
      <alignment horizontal="center" vertical="center" wrapText="1" readingOrder="1"/>
    </xf>
    <xf numFmtId="0" fontId="29" fillId="39" borderId="10" xfId="0" applyFont="1" applyFill="1" applyBorder="1" applyAlignment="1">
      <alignment horizontal="left" vertical="top" wrapText="1" readingOrder="1"/>
    </xf>
    <xf numFmtId="0" fontId="22" fillId="40" borderId="10" xfId="0" applyFont="1" applyFill="1" applyBorder="1" applyAlignment="1">
      <alignment horizontal="left" vertical="top" wrapText="1" readingOrder="1"/>
    </xf>
    <xf numFmtId="165" fontId="27" fillId="40" borderId="10" xfId="0" applyNumberFormat="1" applyFont="1" applyFill="1" applyBorder="1" applyAlignment="1">
      <alignment horizontal="center" vertical="center" wrapText="1" readingOrder="1"/>
    </xf>
    <xf numFmtId="44" fontId="22" fillId="36" borderId="15" xfId="1" applyNumberFormat="1" applyFont="1" applyFill="1" applyBorder="1" applyAlignment="1">
      <alignment horizontal="center" vertical="center" wrapText="1" readingOrder="1"/>
    </xf>
    <xf numFmtId="44" fontId="22" fillId="36" borderId="10" xfId="1" applyNumberFormat="1" applyFont="1" applyFill="1" applyBorder="1" applyAlignment="1">
      <alignment horizontal="center" vertical="center" wrapText="1" readingOrder="1"/>
    </xf>
    <xf numFmtId="44" fontId="22" fillId="36" borderId="10" xfId="1" applyNumberFormat="1" applyFont="1" applyFill="1" applyBorder="1" applyAlignment="1">
      <alignment horizontal="center" vertical="center" readingOrder="1"/>
    </xf>
    <xf numFmtId="165" fontId="27" fillId="40" borderId="10" xfId="0" applyNumberFormat="1" applyFont="1" applyFill="1" applyBorder="1" applyAlignment="1">
      <alignment horizontal="left" vertical="center" wrapText="1" readingOrder="1"/>
    </xf>
    <xf numFmtId="0" fontId="22" fillId="36" borderId="16" xfId="0" applyFont="1" applyFill="1" applyBorder="1" applyAlignment="1">
      <alignment horizontal="center" vertical="center" wrapText="1"/>
    </xf>
    <xf numFmtId="0" fontId="22" fillId="36" borderId="41" xfId="0" applyFont="1" applyFill="1" applyBorder="1" applyAlignment="1">
      <alignment horizontal="center" vertical="center" wrapText="1"/>
    </xf>
    <xf numFmtId="0" fontId="22" fillId="36" borderId="41" xfId="0" applyFont="1" applyFill="1" applyBorder="1" applyAlignment="1">
      <alignment horizontal="center" vertical="center"/>
    </xf>
    <xf numFmtId="44" fontId="22" fillId="36" borderId="36" xfId="1" applyNumberFormat="1" applyFont="1" applyFill="1" applyBorder="1" applyAlignment="1">
      <alignment horizontal="center" vertical="center" readingOrder="1"/>
    </xf>
    <xf numFmtId="44" fontId="22" fillId="36" borderId="38" xfId="1" applyNumberFormat="1" applyFont="1" applyFill="1" applyBorder="1" applyAlignment="1">
      <alignment horizontal="center" vertical="center" readingOrder="1"/>
    </xf>
    <xf numFmtId="0" fontId="22" fillId="41" borderId="10" xfId="0" applyFont="1" applyFill="1" applyBorder="1" applyAlignment="1">
      <alignment horizontal="left" vertical="top" wrapText="1" readingOrder="1"/>
    </xf>
    <xf numFmtId="165" fontId="27" fillId="41" borderId="10" xfId="0" applyNumberFormat="1" applyFont="1" applyFill="1" applyBorder="1" applyAlignment="1">
      <alignment horizontal="center" vertical="center" wrapText="1" readingOrder="1"/>
    </xf>
    <xf numFmtId="0" fontId="22" fillId="41" borderId="10" xfId="0" applyFont="1" applyFill="1" applyBorder="1" applyAlignment="1">
      <alignment horizontal="left" vertical="center" wrapText="1" readingOrder="1"/>
    </xf>
    <xf numFmtId="0" fontId="22" fillId="39" borderId="45" xfId="0" applyFont="1" applyFill="1" applyBorder="1" applyAlignment="1">
      <alignment horizontal="left" vertical="center" wrapText="1" readingOrder="1"/>
    </xf>
    <xf numFmtId="0" fontId="22" fillId="39" borderId="10" xfId="0" applyFont="1" applyFill="1" applyBorder="1" applyAlignment="1">
      <alignment horizontal="left" vertical="center" wrapText="1" readingOrder="1"/>
    </xf>
    <xf numFmtId="44" fontId="22" fillId="0" borderId="10" xfId="1" applyFont="1" applyBorder="1" applyAlignment="1">
      <alignment horizontal="center" vertical="center"/>
    </xf>
    <xf numFmtId="0" fontId="22" fillId="41" borderId="45" xfId="0" applyFont="1" applyFill="1" applyBorder="1" applyAlignment="1">
      <alignment horizontal="center" vertical="top" wrapText="1" readingOrder="1"/>
    </xf>
    <xf numFmtId="0" fontId="22" fillId="41" borderId="17" xfId="0" applyFont="1" applyFill="1" applyBorder="1" applyAlignment="1">
      <alignment horizontal="left" vertical="top" wrapText="1" readingOrder="1"/>
    </xf>
    <xf numFmtId="0" fontId="22" fillId="42" borderId="10" xfId="0" applyFont="1" applyFill="1" applyBorder="1" applyAlignment="1">
      <alignment horizontal="left" vertical="top" wrapText="1" readingOrder="1"/>
    </xf>
    <xf numFmtId="0" fontId="22" fillId="42" borderId="18" xfId="0" applyFont="1" applyFill="1" applyBorder="1" applyAlignment="1">
      <alignment horizontal="left" vertical="top" wrapText="1" readingOrder="1"/>
    </xf>
    <xf numFmtId="0" fontId="22" fillId="36" borderId="18" xfId="0" applyFont="1" applyFill="1" applyBorder="1" applyAlignment="1">
      <alignment horizontal="center" vertical="center"/>
    </xf>
    <xf numFmtId="165" fontId="27" fillId="42" borderId="10" xfId="0" applyNumberFormat="1" applyFont="1" applyFill="1" applyBorder="1" applyAlignment="1">
      <alignment horizontal="center" vertical="center" wrapText="1" readingOrder="1"/>
    </xf>
    <xf numFmtId="165" fontId="27" fillId="42" borderId="18" xfId="0" applyNumberFormat="1" applyFont="1" applyFill="1" applyBorder="1" applyAlignment="1">
      <alignment horizontal="center" vertical="center" wrapText="1" readingOrder="1"/>
    </xf>
    <xf numFmtId="165" fontId="27" fillId="41" borderId="18" xfId="0" applyNumberFormat="1" applyFont="1" applyFill="1" applyBorder="1" applyAlignment="1">
      <alignment horizontal="center" vertical="center" wrapText="1" readingOrder="1"/>
    </xf>
    <xf numFmtId="0" fontId="22" fillId="36" borderId="19" xfId="0" applyFont="1" applyFill="1" applyBorder="1" applyAlignment="1">
      <alignment horizontal="center" vertical="center" wrapText="1"/>
    </xf>
    <xf numFmtId="44" fontId="22" fillId="36" borderId="36" xfId="1" applyFont="1" applyFill="1" applyBorder="1" applyAlignment="1">
      <alignment horizontal="center" vertical="center" readingOrder="1"/>
    </xf>
    <xf numFmtId="44" fontId="22" fillId="36" borderId="39" xfId="1" applyFont="1" applyFill="1" applyBorder="1" applyAlignment="1">
      <alignment horizontal="center" vertical="center" readingOrder="1"/>
    </xf>
    <xf numFmtId="44" fontId="22" fillId="36" borderId="10" xfId="1" applyFont="1" applyFill="1" applyBorder="1" applyAlignment="1">
      <alignment horizontal="center" vertical="center" readingOrder="1"/>
    </xf>
    <xf numFmtId="0" fontId="22" fillId="0" borderId="43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22" fillId="0" borderId="42" xfId="0" applyFont="1" applyFill="1" applyBorder="1" applyAlignment="1">
      <alignment horizontal="left" vertical="center" wrapText="1"/>
    </xf>
    <xf numFmtId="0" fontId="22" fillId="0" borderId="32" xfId="0" applyFont="1" applyFill="1" applyBorder="1" applyAlignment="1">
      <alignment horizontal="left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14" fontId="22" fillId="0" borderId="33" xfId="0" applyNumberFormat="1" applyFont="1" applyFill="1" applyBorder="1" applyAlignment="1">
      <alignment horizontal="center" vertical="center" wrapText="1"/>
    </xf>
    <xf numFmtId="14" fontId="22" fillId="0" borderId="38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8" fontId="19" fillId="0" borderId="11" xfId="0" applyNumberFormat="1" applyFont="1" applyBorder="1" applyAlignment="1">
      <alignment horizontal="center"/>
    </xf>
    <xf numFmtId="8" fontId="19" fillId="0" borderId="12" xfId="0" applyNumberFormat="1" applyFont="1" applyBorder="1" applyAlignment="1">
      <alignment horizontal="center"/>
    </xf>
    <xf numFmtId="8" fontId="19" fillId="0" borderId="13" xfId="0" applyNumberFormat="1" applyFont="1" applyBorder="1" applyAlignment="1">
      <alignment horizontal="center"/>
    </xf>
    <xf numFmtId="164" fontId="22" fillId="0" borderId="33" xfId="0" applyNumberFormat="1" applyFont="1" applyFill="1" applyBorder="1" applyAlignment="1">
      <alignment horizontal="center" vertical="center" wrapText="1"/>
    </xf>
    <xf numFmtId="164" fontId="22" fillId="0" borderId="38" xfId="0" applyNumberFormat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14" fontId="22" fillId="0" borderId="36" xfId="0" applyNumberFormat="1" applyFont="1" applyFill="1" applyBorder="1" applyAlignment="1">
      <alignment horizontal="center" vertical="center" wrapText="1"/>
    </xf>
    <xf numFmtId="164" fontId="22" fillId="0" borderId="36" xfId="0" applyNumberFormat="1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9" fontId="19" fillId="0" borderId="11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14" fontId="22" fillId="0" borderId="39" xfId="0" applyNumberFormat="1" applyFont="1" applyFill="1" applyBorder="1" applyAlignment="1">
      <alignment horizontal="center" vertical="center" wrapText="1"/>
    </xf>
    <xf numFmtId="164" fontId="22" fillId="0" borderId="39" xfId="0" applyNumberFormat="1" applyFont="1" applyFill="1" applyBorder="1" applyAlignment="1">
      <alignment horizontal="center" vertical="center" wrapText="1"/>
    </xf>
    <xf numFmtId="0" fontId="22" fillId="0" borderId="53" xfId="0" applyFont="1" applyFill="1" applyBorder="1" applyAlignment="1">
      <alignment horizontal="center" vertical="center" wrapText="1"/>
    </xf>
    <xf numFmtId="44" fontId="19" fillId="0" borderId="11" xfId="1" applyFont="1" applyBorder="1" applyAlignment="1">
      <alignment horizontal="center" wrapText="1"/>
    </xf>
    <xf numFmtId="44" fontId="19" fillId="0" borderId="12" xfId="1" applyFont="1" applyBorder="1" applyAlignment="1">
      <alignment horizontal="center" wrapText="1"/>
    </xf>
    <xf numFmtId="44" fontId="19" fillId="0" borderId="13" xfId="1" applyFont="1" applyBorder="1" applyAlignment="1">
      <alignment horizontal="center" wrapText="1"/>
    </xf>
    <xf numFmtId="44" fontId="22" fillId="36" borderId="15" xfId="1" applyFont="1" applyFill="1" applyBorder="1" applyAlignment="1">
      <alignment horizontal="center" vertical="center" wrapText="1"/>
    </xf>
    <xf numFmtId="44" fontId="22" fillId="36" borderId="10" xfId="1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left" vertical="center" wrapText="1"/>
    </xf>
    <xf numFmtId="0" fontId="22" fillId="36" borderId="10" xfId="0" applyFont="1" applyFill="1" applyBorder="1" applyAlignment="1">
      <alignment horizontal="center" vertical="center" wrapText="1"/>
    </xf>
    <xf numFmtId="14" fontId="22" fillId="36" borderId="10" xfId="0" applyNumberFormat="1" applyFont="1" applyFill="1" applyBorder="1" applyAlignment="1">
      <alignment horizontal="center" vertical="center" wrapText="1"/>
    </xf>
    <xf numFmtId="0" fontId="22" fillId="36" borderId="15" xfId="0" applyFont="1" applyFill="1" applyBorder="1" applyAlignment="1">
      <alignment horizontal="left" vertical="center" wrapText="1"/>
    </xf>
    <xf numFmtId="0" fontId="22" fillId="36" borderId="15" xfId="0" applyFont="1" applyFill="1" applyBorder="1" applyAlignment="1">
      <alignment horizontal="center" vertical="center" wrapText="1"/>
    </xf>
    <xf numFmtId="14" fontId="22" fillId="36" borderId="15" xfId="0" applyNumberFormat="1" applyFont="1" applyFill="1" applyBorder="1" applyAlignment="1">
      <alignment horizontal="center" vertical="center" wrapText="1"/>
    </xf>
    <xf numFmtId="0" fontId="22" fillId="36" borderId="18" xfId="0" applyFont="1" applyFill="1" applyBorder="1" applyAlignment="1">
      <alignment horizontal="left" vertical="center" wrapText="1"/>
    </xf>
    <xf numFmtId="0" fontId="22" fillId="36" borderId="18" xfId="0" applyFont="1" applyFill="1" applyBorder="1" applyAlignment="1">
      <alignment horizontal="center" vertical="center" wrapText="1"/>
    </xf>
    <xf numFmtId="14" fontId="22" fillId="36" borderId="18" xfId="0" applyNumberFormat="1" applyFont="1" applyFill="1" applyBorder="1" applyAlignment="1">
      <alignment horizontal="center" vertical="center" wrapText="1"/>
    </xf>
    <xf numFmtId="44" fontId="22" fillId="36" borderId="18" xfId="1" applyFont="1" applyFill="1" applyBorder="1" applyAlignment="1">
      <alignment horizontal="center" vertical="center" wrapText="1"/>
    </xf>
    <xf numFmtId="44" fontId="22" fillId="0" borderId="10" xfId="1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44" fontId="22" fillId="0" borderId="18" xfId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18" fillId="38" borderId="47" xfId="0" applyFont="1" applyFill="1" applyBorder="1" applyAlignment="1">
      <alignment horizontal="center" vertical="center"/>
    </xf>
    <xf numFmtId="0" fontId="18" fillId="38" borderId="68" xfId="0" applyFont="1" applyFill="1" applyBorder="1" applyAlignment="1">
      <alignment horizontal="center" vertical="center"/>
    </xf>
    <xf numFmtId="0" fontId="18" fillId="38" borderId="46" xfId="0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/>
    </xf>
    <xf numFmtId="0" fontId="19" fillId="0" borderId="63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70" xfId="0" applyFont="1" applyBorder="1" applyAlignment="1">
      <alignment horizontal="left" vertical="top" wrapText="1"/>
    </xf>
    <xf numFmtId="0" fontId="19" fillId="0" borderId="64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70" xfId="0" applyFont="1" applyBorder="1" applyAlignment="1">
      <alignment horizontal="left" vertical="top" wrapText="1"/>
    </xf>
    <xf numFmtId="0" fontId="18" fillId="0" borderId="60" xfId="0" applyFont="1" applyBorder="1" applyAlignment="1">
      <alignment horizontal="left" vertical="top" wrapText="1"/>
    </xf>
    <xf numFmtId="1" fontId="18" fillId="36" borderId="20" xfId="0" applyNumberFormat="1" applyFont="1" applyFill="1" applyBorder="1" applyAlignment="1">
      <alignment horizontal="center"/>
    </xf>
    <xf numFmtId="1" fontId="18" fillId="36" borderId="69" xfId="0" applyNumberFormat="1" applyFont="1" applyFill="1" applyBorder="1" applyAlignment="1">
      <alignment horizontal="center"/>
    </xf>
    <xf numFmtId="1" fontId="18" fillId="36" borderId="62" xfId="0" applyNumberFormat="1" applyFont="1" applyFill="1" applyBorder="1" applyAlignment="1">
      <alignment horizontal="center"/>
    </xf>
    <xf numFmtId="0" fontId="18" fillId="0" borderId="63" xfId="0" applyFont="1" applyBorder="1" applyAlignment="1">
      <alignment horizontal="center" vertical="top" wrapText="1"/>
    </xf>
    <xf numFmtId="8" fontId="19" fillId="0" borderId="63" xfId="0" applyNumberFormat="1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22" fillId="0" borderId="45" xfId="0" applyFont="1" applyFill="1" applyBorder="1" applyAlignment="1">
      <alignment horizontal="left" vertical="center" wrapText="1"/>
    </xf>
    <xf numFmtId="44" fontId="22" fillId="0" borderId="15" xfId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9" fillId="36" borderId="45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22" fillId="36" borderId="33" xfId="0" applyFont="1" applyFill="1" applyBorder="1" applyAlignment="1">
      <alignment horizontal="left" vertical="center" wrapText="1"/>
    </xf>
    <xf numFmtId="0" fontId="22" fillId="36" borderId="38" xfId="0" applyFont="1" applyFill="1" applyBorder="1" applyAlignment="1">
      <alignment horizontal="left" vertical="center" wrapText="1"/>
    </xf>
    <xf numFmtId="0" fontId="22" fillId="36" borderId="36" xfId="0" applyFont="1" applyFill="1" applyBorder="1" applyAlignment="1">
      <alignment horizontal="left" vertical="center" wrapText="1"/>
    </xf>
    <xf numFmtId="0" fontId="22" fillId="36" borderId="39" xfId="0" applyFont="1" applyFill="1" applyBorder="1" applyAlignment="1">
      <alignment horizontal="left" vertical="center" wrapText="1"/>
    </xf>
    <xf numFmtId="0" fontId="22" fillId="36" borderId="33" xfId="0" applyFont="1" applyFill="1" applyBorder="1" applyAlignment="1">
      <alignment horizontal="center" vertical="center" wrapText="1"/>
    </xf>
    <xf numFmtId="0" fontId="22" fillId="36" borderId="38" xfId="0" applyFont="1" applyFill="1" applyBorder="1" applyAlignment="1">
      <alignment horizontal="center" vertical="center" wrapText="1"/>
    </xf>
    <xf numFmtId="0" fontId="22" fillId="36" borderId="36" xfId="0" applyFont="1" applyFill="1" applyBorder="1" applyAlignment="1">
      <alignment horizontal="center" vertical="center" wrapText="1"/>
    </xf>
    <xf numFmtId="0" fontId="22" fillId="36" borderId="39" xfId="0" applyFont="1" applyFill="1" applyBorder="1" applyAlignment="1">
      <alignment horizontal="center" vertical="center" wrapText="1"/>
    </xf>
    <xf numFmtId="14" fontId="22" fillId="36" borderId="33" xfId="0" applyNumberFormat="1" applyFont="1" applyFill="1" applyBorder="1" applyAlignment="1">
      <alignment horizontal="center" vertical="center" wrapText="1"/>
    </xf>
    <xf numFmtId="14" fontId="22" fillId="36" borderId="38" xfId="0" applyNumberFormat="1" applyFont="1" applyFill="1" applyBorder="1" applyAlignment="1">
      <alignment horizontal="center" vertical="center" wrapText="1"/>
    </xf>
    <xf numFmtId="0" fontId="22" fillId="36" borderId="32" xfId="0" applyFont="1" applyFill="1" applyBorder="1" applyAlignment="1">
      <alignment horizontal="left" vertical="center" wrapText="1"/>
    </xf>
    <xf numFmtId="0" fontId="22" fillId="36" borderId="42" xfId="0" applyFont="1" applyFill="1" applyBorder="1" applyAlignment="1">
      <alignment horizontal="left" vertical="center" wrapText="1"/>
    </xf>
    <xf numFmtId="0" fontId="22" fillId="36" borderId="43" xfId="0" applyFont="1" applyFill="1" applyBorder="1" applyAlignment="1">
      <alignment horizontal="left" vertical="center" wrapText="1"/>
    </xf>
    <xf numFmtId="0" fontId="22" fillId="36" borderId="31" xfId="0" applyFont="1" applyFill="1" applyBorder="1" applyAlignment="1">
      <alignment horizontal="left" vertical="center" wrapText="1"/>
    </xf>
    <xf numFmtId="0" fontId="22" fillId="36" borderId="34" xfId="0" applyFont="1" applyFill="1" applyBorder="1" applyAlignment="1">
      <alignment horizontal="center" vertical="center" wrapText="1"/>
    </xf>
    <xf numFmtId="0" fontId="22" fillId="36" borderId="46" xfId="0" applyFont="1" applyFill="1" applyBorder="1" applyAlignment="1">
      <alignment horizontal="center" vertical="center" wrapText="1"/>
    </xf>
    <xf numFmtId="0" fontId="22" fillId="36" borderId="47" xfId="0" applyFont="1" applyFill="1" applyBorder="1" applyAlignment="1">
      <alignment horizontal="center" vertical="center" wrapText="1"/>
    </xf>
    <xf numFmtId="0" fontId="22" fillId="36" borderId="53" xfId="0" applyFont="1" applyFill="1" applyBorder="1" applyAlignment="1">
      <alignment horizontal="center" vertical="center" wrapText="1"/>
    </xf>
    <xf numFmtId="14" fontId="22" fillId="36" borderId="36" xfId="0" applyNumberFormat="1" applyFont="1" applyFill="1" applyBorder="1" applyAlignment="1">
      <alignment horizontal="center" vertical="center" wrapText="1"/>
    </xf>
    <xf numFmtId="14" fontId="22" fillId="36" borderId="39" xfId="0" applyNumberFormat="1" applyFont="1" applyFill="1" applyBorder="1" applyAlignment="1">
      <alignment horizontal="center" vertical="center" wrapText="1"/>
    </xf>
    <xf numFmtId="164" fontId="22" fillId="36" borderId="33" xfId="0" applyNumberFormat="1" applyFont="1" applyFill="1" applyBorder="1" applyAlignment="1">
      <alignment horizontal="center" vertical="center" wrapText="1"/>
    </xf>
    <xf numFmtId="164" fontId="22" fillId="36" borderId="38" xfId="0" applyNumberFormat="1" applyFont="1" applyFill="1" applyBorder="1" applyAlignment="1">
      <alignment horizontal="center" vertical="center" wrapText="1"/>
    </xf>
    <xf numFmtId="164" fontId="22" fillId="36" borderId="36" xfId="0" applyNumberFormat="1" applyFont="1" applyFill="1" applyBorder="1" applyAlignment="1">
      <alignment horizontal="center" vertical="center" wrapText="1"/>
    </xf>
    <xf numFmtId="164" fontId="22" fillId="36" borderId="39" xfId="0" applyNumberFormat="1" applyFont="1" applyFill="1" applyBorder="1" applyAlignment="1">
      <alignment horizontal="center" vertical="center" wrapText="1"/>
    </xf>
    <xf numFmtId="0" fontId="22" fillId="36" borderId="51" xfId="0" applyFont="1" applyFill="1" applyBorder="1" applyAlignment="1">
      <alignment horizontal="left" vertical="center" wrapText="1"/>
    </xf>
    <xf numFmtId="0" fontId="22" fillId="36" borderId="52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13</xdr:row>
      <xdr:rowOff>0</xdr:rowOff>
    </xdr:from>
    <xdr:ext cx="65" cy="172227"/>
    <xdr:sp macro="" textlink="">
      <xdr:nvSpPr>
        <xdr:cNvPr id="2" name="CuadroTexto 1"/>
        <xdr:cNvSpPr txBox="1"/>
      </xdr:nvSpPr>
      <xdr:spPr>
        <a:xfrm>
          <a:off x="6302375" y="751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1"/>
  <sheetViews>
    <sheetView showGridLines="0" topLeftCell="B1" workbookViewId="0">
      <pane xSplit="2" topLeftCell="D1" activePane="topRight" state="frozen"/>
      <selection activeCell="B1" sqref="B1"/>
      <selection pane="topRight" activeCell="A12" sqref="A12"/>
    </sheetView>
  </sheetViews>
  <sheetFormatPr baseColWidth="10" defaultRowHeight="14.5" x14ac:dyDescent="0.35"/>
  <cols>
    <col min="1" max="1" width="43.6328125" hidden="1" customWidth="1"/>
    <col min="2" max="2" width="35.453125" customWidth="1"/>
    <col min="3" max="3" width="43.6328125" hidden="1" customWidth="1"/>
    <col min="4" max="4" width="7.26953125" bestFit="1" customWidth="1"/>
    <col min="5" max="5" width="10.54296875" customWidth="1"/>
    <col min="6" max="6" width="13.81640625" customWidth="1"/>
    <col min="7" max="7" width="20.54296875" customWidth="1"/>
    <col min="8" max="8" width="18.81640625" customWidth="1"/>
    <col min="9" max="9" width="9.08984375" hidden="1" customWidth="1"/>
    <col min="10" max="10" width="10.08984375" customWidth="1"/>
    <col min="11" max="11" width="7.1796875" bestFit="1" customWidth="1"/>
    <col min="12" max="12" width="11.81640625" bestFit="1" customWidth="1"/>
    <col min="13" max="14" width="12.6328125" bestFit="1" customWidth="1"/>
    <col min="15" max="17" width="7.1796875" bestFit="1" customWidth="1"/>
    <col min="18" max="18" width="13.453125" bestFit="1" customWidth="1"/>
    <col min="19" max="21" width="7.1796875" bestFit="1" customWidth="1"/>
    <col min="22" max="22" width="13.453125" bestFit="1" customWidth="1"/>
    <col min="23" max="26" width="7.1796875" bestFit="1" customWidth="1"/>
    <col min="27" max="27" width="13.453125" bestFit="1" customWidth="1"/>
    <col min="28" max="30" width="7.1796875" bestFit="1" customWidth="1"/>
    <col min="31" max="32" width="10.54296875" bestFit="1" customWidth="1"/>
    <col min="33" max="33" width="13.453125" bestFit="1" customWidth="1"/>
    <col min="34" max="37" width="10.54296875" bestFit="1" customWidth="1"/>
    <col min="38" max="38" width="13.453125" bestFit="1" customWidth="1"/>
    <col min="39" max="39" width="12.6328125" bestFit="1" customWidth="1"/>
    <col min="40" max="43" width="10.54296875" bestFit="1" customWidth="1"/>
    <col min="44" max="44" width="11.7265625" bestFit="1" customWidth="1"/>
    <col min="45" max="45" width="13.453125" bestFit="1" customWidth="1"/>
    <col min="46" max="46" width="12.6328125" bestFit="1" customWidth="1"/>
    <col min="47" max="48" width="10.54296875" bestFit="1" customWidth="1"/>
    <col min="49" max="49" width="12.6328125" bestFit="1" customWidth="1"/>
    <col min="50" max="55" width="11.81640625" bestFit="1" customWidth="1"/>
    <col min="56" max="56" width="20.7265625" bestFit="1" customWidth="1"/>
  </cols>
  <sheetData>
    <row r="1" spans="1:56" ht="15" thickBot="1" x14ac:dyDescent="0.4"/>
    <row r="2" spans="1:56" x14ac:dyDescent="0.35">
      <c r="B2" s="251" t="s">
        <v>102</v>
      </c>
      <c r="C2" s="222"/>
      <c r="D2" s="311">
        <v>2017000100107</v>
      </c>
      <c r="E2" s="311"/>
      <c r="F2" s="311"/>
      <c r="G2" s="311"/>
      <c r="H2" s="311"/>
      <c r="I2" s="311"/>
      <c r="J2" s="311"/>
      <c r="K2" s="312"/>
    </row>
    <row r="3" spans="1:56" ht="36.5" customHeight="1" x14ac:dyDescent="0.35">
      <c r="B3" s="223" t="s">
        <v>103</v>
      </c>
      <c r="C3" s="7"/>
      <c r="D3" s="313" t="s">
        <v>190</v>
      </c>
      <c r="E3" s="313"/>
      <c r="F3" s="313"/>
      <c r="G3" s="313"/>
      <c r="H3" s="313"/>
      <c r="I3" s="313"/>
      <c r="J3" s="313"/>
      <c r="K3" s="314"/>
    </row>
    <row r="4" spans="1:56" x14ac:dyDescent="0.35">
      <c r="B4" s="223" t="s">
        <v>106</v>
      </c>
      <c r="C4" s="8"/>
      <c r="D4" s="315">
        <v>11801046968</v>
      </c>
      <c r="E4" s="316"/>
      <c r="F4" s="316"/>
      <c r="G4" s="27" t="s">
        <v>107</v>
      </c>
      <c r="H4" s="315">
        <v>10899062389</v>
      </c>
      <c r="I4" s="315"/>
      <c r="J4" s="315"/>
      <c r="K4" s="317"/>
    </row>
    <row r="5" spans="1:56" x14ac:dyDescent="0.35">
      <c r="B5" s="223" t="s">
        <v>109</v>
      </c>
      <c r="C5" s="8"/>
      <c r="D5" s="316" t="s">
        <v>196</v>
      </c>
      <c r="E5" s="316"/>
      <c r="F5" s="316"/>
      <c r="G5" s="27" t="s">
        <v>108</v>
      </c>
      <c r="H5" s="316" t="s">
        <v>119</v>
      </c>
      <c r="I5" s="316"/>
      <c r="J5" s="316"/>
      <c r="K5" s="318"/>
    </row>
    <row r="6" spans="1:56" x14ac:dyDescent="0.35">
      <c r="B6" s="223" t="s">
        <v>110</v>
      </c>
      <c r="C6" s="8"/>
      <c r="D6" s="326">
        <v>0.88</v>
      </c>
      <c r="E6" s="327"/>
      <c r="F6" s="327"/>
      <c r="G6" s="26" t="s">
        <v>111</v>
      </c>
      <c r="H6" s="326">
        <v>0.63</v>
      </c>
      <c r="I6" s="327"/>
      <c r="J6" s="327"/>
      <c r="K6" s="328"/>
    </row>
    <row r="7" spans="1:56" ht="49.5" customHeight="1" x14ac:dyDescent="0.35">
      <c r="B7" s="329" t="s">
        <v>117</v>
      </c>
      <c r="C7" s="8"/>
      <c r="D7" s="332" t="s">
        <v>197</v>
      </c>
      <c r="E7" s="333"/>
      <c r="F7" s="333"/>
      <c r="G7" s="332" t="s">
        <v>192</v>
      </c>
      <c r="H7" s="332"/>
      <c r="I7" s="332"/>
      <c r="J7" s="332"/>
      <c r="K7" s="334"/>
    </row>
    <row r="8" spans="1:56" ht="133" customHeight="1" x14ac:dyDescent="0.35">
      <c r="B8" s="330"/>
      <c r="C8" s="28"/>
      <c r="D8" s="332" t="s">
        <v>191</v>
      </c>
      <c r="E8" s="332"/>
      <c r="F8" s="332"/>
      <c r="G8" s="332" t="s">
        <v>193</v>
      </c>
      <c r="H8" s="332"/>
      <c r="I8" s="332"/>
      <c r="J8" s="332"/>
      <c r="K8" s="334"/>
    </row>
    <row r="9" spans="1:56" ht="71" customHeight="1" thickBot="1" x14ac:dyDescent="0.4">
      <c r="B9" s="331"/>
      <c r="C9" s="148"/>
      <c r="D9" s="335" t="s">
        <v>194</v>
      </c>
      <c r="E9" s="336"/>
      <c r="F9" s="336"/>
      <c r="G9" s="336" t="s">
        <v>195</v>
      </c>
      <c r="H9" s="336"/>
      <c r="I9" s="336"/>
      <c r="J9" s="336"/>
      <c r="K9" s="337"/>
    </row>
    <row r="10" spans="1:56" x14ac:dyDescent="0.35">
      <c r="B10" s="1"/>
      <c r="C10" s="1"/>
      <c r="D10" s="319"/>
      <c r="E10" s="319"/>
      <c r="F10" s="319"/>
      <c r="G10" s="319"/>
      <c r="H10" s="319"/>
      <c r="I10" s="319"/>
      <c r="J10" s="319"/>
    </row>
    <row r="11" spans="1:56" ht="15" thickBot="1" x14ac:dyDescent="0.4"/>
    <row r="12" spans="1:56" ht="14.5" customHeight="1" thickBot="1" x14ac:dyDescent="0.4">
      <c r="B12" s="320" t="s">
        <v>382</v>
      </c>
      <c r="C12" s="321"/>
      <c r="D12" s="321"/>
      <c r="E12" s="321"/>
      <c r="F12" s="321"/>
      <c r="G12" s="321"/>
      <c r="H12" s="321"/>
      <c r="I12" s="321"/>
      <c r="J12" s="322"/>
      <c r="K12" s="323" t="s">
        <v>105</v>
      </c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5"/>
    </row>
    <row r="13" spans="1:56" s="3" customFormat="1" ht="39.5" thickBot="1" x14ac:dyDescent="0.35">
      <c r="A13" s="2" t="s">
        <v>0</v>
      </c>
      <c r="B13" s="21" t="s">
        <v>1</v>
      </c>
      <c r="C13" s="22" t="s">
        <v>2</v>
      </c>
      <c r="D13" s="22" t="s">
        <v>3</v>
      </c>
      <c r="E13" s="22" t="s">
        <v>4</v>
      </c>
      <c r="F13" s="22" t="s">
        <v>5</v>
      </c>
      <c r="G13" s="22" t="s">
        <v>6</v>
      </c>
      <c r="H13" s="22" t="s">
        <v>7</v>
      </c>
      <c r="I13" s="22" t="s">
        <v>8</v>
      </c>
      <c r="J13" s="24" t="s">
        <v>9</v>
      </c>
      <c r="K13" s="136">
        <v>43800</v>
      </c>
      <c r="L13" s="43">
        <v>43831</v>
      </c>
      <c r="M13" s="43">
        <v>43862</v>
      </c>
      <c r="N13" s="43">
        <v>43891</v>
      </c>
      <c r="O13" s="43">
        <v>43922</v>
      </c>
      <c r="P13" s="43">
        <v>43952</v>
      </c>
      <c r="Q13" s="43">
        <v>43983</v>
      </c>
      <c r="R13" s="43">
        <v>44013</v>
      </c>
      <c r="S13" s="43">
        <v>44044</v>
      </c>
      <c r="T13" s="43">
        <v>44075</v>
      </c>
      <c r="U13" s="43">
        <v>44105</v>
      </c>
      <c r="V13" s="43">
        <v>44136</v>
      </c>
      <c r="W13" s="43">
        <v>44166</v>
      </c>
      <c r="X13" s="43">
        <v>44197</v>
      </c>
      <c r="Y13" s="43">
        <v>44228</v>
      </c>
      <c r="Z13" s="43">
        <v>44256</v>
      </c>
      <c r="AA13" s="43">
        <v>44287</v>
      </c>
      <c r="AB13" s="43">
        <v>44317</v>
      </c>
      <c r="AC13" s="43">
        <v>44348</v>
      </c>
      <c r="AD13" s="43">
        <v>44378</v>
      </c>
      <c r="AE13" s="43">
        <v>44409</v>
      </c>
      <c r="AF13" s="43">
        <v>44440</v>
      </c>
      <c r="AG13" s="43">
        <v>44470</v>
      </c>
      <c r="AH13" s="43">
        <v>44501</v>
      </c>
      <c r="AI13" s="43">
        <v>44531</v>
      </c>
      <c r="AJ13" s="43">
        <v>44562</v>
      </c>
      <c r="AK13" s="43">
        <v>44593</v>
      </c>
      <c r="AL13" s="43">
        <v>44621</v>
      </c>
      <c r="AM13" s="43">
        <v>44652</v>
      </c>
      <c r="AN13" s="43">
        <v>44682</v>
      </c>
      <c r="AO13" s="43">
        <v>44713</v>
      </c>
      <c r="AP13" s="43">
        <v>44743</v>
      </c>
      <c r="AQ13" s="43">
        <v>44774</v>
      </c>
      <c r="AR13" s="43">
        <v>44805</v>
      </c>
      <c r="AS13" s="43">
        <v>44835</v>
      </c>
      <c r="AT13" s="43">
        <v>44866</v>
      </c>
      <c r="AU13" s="43">
        <v>44896</v>
      </c>
      <c r="AV13" s="43">
        <v>44927</v>
      </c>
      <c r="AW13" s="43">
        <v>44958</v>
      </c>
      <c r="AX13" s="43">
        <v>44986</v>
      </c>
      <c r="AY13" s="43">
        <v>45017</v>
      </c>
      <c r="AZ13" s="43">
        <v>45047</v>
      </c>
      <c r="BA13" s="43">
        <v>45078</v>
      </c>
      <c r="BB13" s="43">
        <v>45108</v>
      </c>
      <c r="BC13" s="123">
        <v>45139</v>
      </c>
      <c r="BD13" s="126" t="s">
        <v>106</v>
      </c>
    </row>
    <row r="14" spans="1:56" ht="26" customHeight="1" x14ac:dyDescent="0.35">
      <c r="B14" s="310" t="s">
        <v>198</v>
      </c>
      <c r="C14" s="187" t="s">
        <v>199</v>
      </c>
      <c r="D14" s="307" t="s">
        <v>200</v>
      </c>
      <c r="E14" s="308">
        <v>43922</v>
      </c>
      <c r="F14" s="308">
        <v>43951</v>
      </c>
      <c r="G14" s="307">
        <v>4</v>
      </c>
      <c r="H14" s="340">
        <v>15340000</v>
      </c>
      <c r="I14" s="187">
        <v>0</v>
      </c>
      <c r="J14" s="344" t="s">
        <v>97</v>
      </c>
      <c r="K14" s="231">
        <v>0</v>
      </c>
      <c r="L14" s="46">
        <v>0</v>
      </c>
      <c r="M14" s="46">
        <v>0</v>
      </c>
      <c r="N14" s="46">
        <v>0</v>
      </c>
      <c r="O14" s="46">
        <v>4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6">
        <v>0</v>
      </c>
      <c r="AJ14" s="46">
        <v>0</v>
      </c>
      <c r="AK14" s="46">
        <v>0</v>
      </c>
      <c r="AL14" s="46">
        <v>0</v>
      </c>
      <c r="AM14" s="46">
        <v>0</v>
      </c>
      <c r="AN14" s="46">
        <v>0</v>
      </c>
      <c r="AO14" s="46">
        <v>0</v>
      </c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8"/>
      <c r="BD14" s="225">
        <v>15340000</v>
      </c>
    </row>
    <row r="15" spans="1:56" x14ac:dyDescent="0.35">
      <c r="B15" s="303"/>
      <c r="C15" s="186"/>
      <c r="D15" s="305"/>
      <c r="E15" s="309"/>
      <c r="F15" s="309"/>
      <c r="G15" s="305"/>
      <c r="H15" s="339"/>
      <c r="I15" s="186"/>
      <c r="J15" s="341"/>
      <c r="K15" s="232"/>
      <c r="L15" s="229"/>
      <c r="M15" s="229"/>
      <c r="N15" s="229"/>
      <c r="O15" s="229">
        <v>4</v>
      </c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3"/>
      <c r="BD15" s="226">
        <v>15340000</v>
      </c>
    </row>
    <row r="16" spans="1:56" ht="26" customHeight="1" x14ac:dyDescent="0.35">
      <c r="B16" s="303" t="s">
        <v>201</v>
      </c>
      <c r="C16" s="186" t="s">
        <v>202</v>
      </c>
      <c r="D16" s="305" t="s">
        <v>200</v>
      </c>
      <c r="E16" s="309">
        <v>43891</v>
      </c>
      <c r="F16" s="309">
        <v>44073</v>
      </c>
      <c r="G16" s="305">
        <v>3</v>
      </c>
      <c r="H16" s="339">
        <v>35792008</v>
      </c>
      <c r="I16" s="186">
        <v>0</v>
      </c>
      <c r="J16" s="341" t="s">
        <v>97</v>
      </c>
      <c r="K16" s="234">
        <v>0</v>
      </c>
      <c r="L16" s="227">
        <v>0</v>
      </c>
      <c r="M16" s="227">
        <v>0</v>
      </c>
      <c r="N16" s="227">
        <v>0.5</v>
      </c>
      <c r="O16" s="227">
        <v>0.5</v>
      </c>
      <c r="P16" s="227">
        <v>0.5</v>
      </c>
      <c r="Q16" s="227">
        <v>0.5</v>
      </c>
      <c r="R16" s="227">
        <v>0.5</v>
      </c>
      <c r="S16" s="227">
        <v>0.5</v>
      </c>
      <c r="T16" s="227">
        <v>0</v>
      </c>
      <c r="U16" s="227">
        <v>0</v>
      </c>
      <c r="V16" s="227">
        <v>0</v>
      </c>
      <c r="W16" s="227">
        <v>0</v>
      </c>
      <c r="X16" s="227">
        <v>0</v>
      </c>
      <c r="Y16" s="227">
        <v>0</v>
      </c>
      <c r="Z16" s="227">
        <v>0</v>
      </c>
      <c r="AA16" s="227">
        <v>0</v>
      </c>
      <c r="AB16" s="227">
        <v>0</v>
      </c>
      <c r="AC16" s="227">
        <v>0</v>
      </c>
      <c r="AD16" s="227">
        <v>0</v>
      </c>
      <c r="AE16" s="227">
        <v>0</v>
      </c>
      <c r="AF16" s="227">
        <v>0</v>
      </c>
      <c r="AG16" s="227">
        <v>0</v>
      </c>
      <c r="AH16" s="227">
        <v>0</v>
      </c>
      <c r="AI16" s="227">
        <v>0</v>
      </c>
      <c r="AJ16" s="227">
        <v>0</v>
      </c>
      <c r="AK16" s="227">
        <v>0</v>
      </c>
      <c r="AL16" s="227">
        <v>0</v>
      </c>
      <c r="AM16" s="227">
        <v>0</v>
      </c>
      <c r="AN16" s="227">
        <v>0</v>
      </c>
      <c r="AO16" s="227">
        <v>0</v>
      </c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35"/>
      <c r="BD16" s="225">
        <v>35792008</v>
      </c>
    </row>
    <row r="17" spans="2:57" x14ac:dyDescent="0.35">
      <c r="B17" s="303"/>
      <c r="C17" s="186"/>
      <c r="D17" s="305"/>
      <c r="E17" s="309"/>
      <c r="F17" s="309"/>
      <c r="G17" s="305"/>
      <c r="H17" s="339"/>
      <c r="I17" s="186"/>
      <c r="J17" s="341"/>
      <c r="K17" s="232"/>
      <c r="L17" s="229"/>
      <c r="M17" s="229"/>
      <c r="N17" s="229">
        <v>0.5</v>
      </c>
      <c r="O17" s="229">
        <v>0.5</v>
      </c>
      <c r="P17" s="229">
        <v>0.5</v>
      </c>
      <c r="Q17" s="229">
        <v>0.5</v>
      </c>
      <c r="R17" s="229">
        <v>0.5</v>
      </c>
      <c r="S17" s="229">
        <v>0.5</v>
      </c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3"/>
      <c r="BD17" s="226">
        <v>35792008</v>
      </c>
    </row>
    <row r="18" spans="2:57" ht="52" customHeight="1" x14ac:dyDescent="0.35">
      <c r="B18" s="303" t="s">
        <v>203</v>
      </c>
      <c r="C18" s="186" t="s">
        <v>204</v>
      </c>
      <c r="D18" s="305" t="s">
        <v>200</v>
      </c>
      <c r="E18" s="309">
        <v>43952</v>
      </c>
      <c r="F18" s="309">
        <v>43981</v>
      </c>
      <c r="G18" s="305">
        <v>1</v>
      </c>
      <c r="H18" s="339">
        <v>30680000</v>
      </c>
      <c r="I18" s="186">
        <v>0</v>
      </c>
      <c r="J18" s="341" t="s">
        <v>97</v>
      </c>
      <c r="K18" s="234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v>1</v>
      </c>
      <c r="Q18" s="227">
        <v>0</v>
      </c>
      <c r="R18" s="227">
        <v>0</v>
      </c>
      <c r="S18" s="227">
        <v>0</v>
      </c>
      <c r="T18" s="227">
        <v>0</v>
      </c>
      <c r="U18" s="227">
        <v>0</v>
      </c>
      <c r="V18" s="227">
        <v>0</v>
      </c>
      <c r="W18" s="227">
        <v>0</v>
      </c>
      <c r="X18" s="227">
        <v>0</v>
      </c>
      <c r="Y18" s="227">
        <v>0</v>
      </c>
      <c r="Z18" s="227">
        <v>0</v>
      </c>
      <c r="AA18" s="227">
        <v>0</v>
      </c>
      <c r="AB18" s="227">
        <v>0</v>
      </c>
      <c r="AC18" s="227">
        <v>0</v>
      </c>
      <c r="AD18" s="227">
        <v>0</v>
      </c>
      <c r="AE18" s="227">
        <v>0</v>
      </c>
      <c r="AF18" s="227">
        <v>0</v>
      </c>
      <c r="AG18" s="227">
        <v>0</v>
      </c>
      <c r="AH18" s="227">
        <v>0</v>
      </c>
      <c r="AI18" s="227">
        <v>0</v>
      </c>
      <c r="AJ18" s="227">
        <v>0</v>
      </c>
      <c r="AK18" s="227">
        <v>0</v>
      </c>
      <c r="AL18" s="227">
        <v>0</v>
      </c>
      <c r="AM18" s="227">
        <v>0</v>
      </c>
      <c r="AN18" s="227">
        <v>0</v>
      </c>
      <c r="AO18" s="227">
        <v>0</v>
      </c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35"/>
      <c r="BD18" s="225">
        <v>30680000</v>
      </c>
    </row>
    <row r="19" spans="2:57" x14ac:dyDescent="0.35">
      <c r="B19" s="303"/>
      <c r="C19" s="186"/>
      <c r="D19" s="305"/>
      <c r="E19" s="309"/>
      <c r="F19" s="309"/>
      <c r="G19" s="305"/>
      <c r="H19" s="339"/>
      <c r="I19" s="186"/>
      <c r="J19" s="341"/>
      <c r="K19" s="232"/>
      <c r="L19" s="229"/>
      <c r="M19" s="229"/>
      <c r="N19" s="229"/>
      <c r="O19" s="229"/>
      <c r="P19" s="229">
        <v>1</v>
      </c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3"/>
      <c r="BD19" s="226">
        <v>30680000</v>
      </c>
    </row>
    <row r="20" spans="2:57" ht="52" customHeight="1" x14ac:dyDescent="0.35">
      <c r="B20" s="303" t="s">
        <v>205</v>
      </c>
      <c r="C20" s="186" t="s">
        <v>206</v>
      </c>
      <c r="D20" s="305" t="s">
        <v>200</v>
      </c>
      <c r="E20" s="309">
        <v>44166</v>
      </c>
      <c r="F20" s="309">
        <v>44681</v>
      </c>
      <c r="G20" s="305">
        <v>5</v>
      </c>
      <c r="H20" s="339">
        <v>383664082.5</v>
      </c>
      <c r="I20" s="186">
        <v>0</v>
      </c>
      <c r="J20" s="341" t="s">
        <v>97</v>
      </c>
      <c r="K20" s="234">
        <v>0</v>
      </c>
      <c r="L20" s="227">
        <v>0</v>
      </c>
      <c r="M20" s="227">
        <v>0</v>
      </c>
      <c r="N20" s="227">
        <v>0</v>
      </c>
      <c r="O20" s="227">
        <v>0</v>
      </c>
      <c r="P20" s="227">
        <v>0</v>
      </c>
      <c r="Q20" s="227">
        <v>0</v>
      </c>
      <c r="R20" s="227">
        <v>0</v>
      </c>
      <c r="S20" s="227">
        <v>0</v>
      </c>
      <c r="T20" s="227">
        <v>0</v>
      </c>
      <c r="U20" s="227">
        <v>0</v>
      </c>
      <c r="V20" s="227">
        <v>0</v>
      </c>
      <c r="W20" s="227">
        <v>0.5</v>
      </c>
      <c r="X20" s="227">
        <v>0.5</v>
      </c>
      <c r="Y20" s="227">
        <v>0</v>
      </c>
      <c r="Z20" s="227">
        <v>0</v>
      </c>
      <c r="AA20" s="227">
        <v>0</v>
      </c>
      <c r="AB20" s="227">
        <v>1</v>
      </c>
      <c r="AC20" s="227">
        <v>0</v>
      </c>
      <c r="AD20" s="227">
        <v>0</v>
      </c>
      <c r="AE20" s="227">
        <v>0</v>
      </c>
      <c r="AF20" s="227">
        <v>1</v>
      </c>
      <c r="AG20" s="227">
        <v>0</v>
      </c>
      <c r="AH20" s="227">
        <v>0</v>
      </c>
      <c r="AI20" s="227">
        <v>0</v>
      </c>
      <c r="AJ20" s="227">
        <v>1</v>
      </c>
      <c r="AK20" s="227">
        <v>0</v>
      </c>
      <c r="AL20" s="227">
        <v>0</v>
      </c>
      <c r="AM20" s="227">
        <v>1</v>
      </c>
      <c r="AN20" s="227">
        <v>0</v>
      </c>
      <c r="AO20" s="227">
        <v>0</v>
      </c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8"/>
      <c r="BC20" s="235"/>
      <c r="BD20" s="225">
        <v>383664082.5</v>
      </c>
    </row>
    <row r="21" spans="2:57" x14ac:dyDescent="0.35">
      <c r="B21" s="303"/>
      <c r="C21" s="186"/>
      <c r="D21" s="305"/>
      <c r="E21" s="309"/>
      <c r="F21" s="309"/>
      <c r="G21" s="305"/>
      <c r="H21" s="339"/>
      <c r="I21" s="186"/>
      <c r="J21" s="341"/>
      <c r="K21" s="232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>
        <v>0.5</v>
      </c>
      <c r="X21" s="229">
        <v>0.5</v>
      </c>
      <c r="Y21" s="229"/>
      <c r="Z21" s="229"/>
      <c r="AA21" s="229"/>
      <c r="AB21" s="229">
        <v>1</v>
      </c>
      <c r="AC21" s="229"/>
      <c r="AD21" s="229"/>
      <c r="AE21" s="229"/>
      <c r="AF21" s="229"/>
      <c r="AG21" s="229"/>
      <c r="AH21" s="229"/>
      <c r="AI21" s="229"/>
      <c r="AJ21" s="229"/>
      <c r="AK21" s="229">
        <v>1</v>
      </c>
      <c r="AL21" s="229"/>
      <c r="AM21" s="229"/>
      <c r="AN21" s="229"/>
      <c r="AO21" s="229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3"/>
      <c r="BD21" s="226">
        <v>230198449.5</v>
      </c>
    </row>
    <row r="22" spans="2:57" ht="39" customHeight="1" x14ac:dyDescent="0.35">
      <c r="B22" s="303" t="s">
        <v>207</v>
      </c>
      <c r="C22" s="186" t="s">
        <v>208</v>
      </c>
      <c r="D22" s="305" t="s">
        <v>200</v>
      </c>
      <c r="E22" s="309">
        <v>44166</v>
      </c>
      <c r="F22" s="309">
        <v>44681</v>
      </c>
      <c r="G22" s="305">
        <v>5</v>
      </c>
      <c r="H22" s="339">
        <v>368324082.5</v>
      </c>
      <c r="I22" s="186">
        <v>0</v>
      </c>
      <c r="J22" s="341" t="s">
        <v>97</v>
      </c>
      <c r="K22" s="234">
        <v>0</v>
      </c>
      <c r="L22" s="227">
        <v>0</v>
      </c>
      <c r="M22" s="227">
        <v>0</v>
      </c>
      <c r="N22" s="227">
        <v>0</v>
      </c>
      <c r="O22" s="227">
        <v>0</v>
      </c>
      <c r="P22" s="227">
        <v>0</v>
      </c>
      <c r="Q22" s="227">
        <v>0</v>
      </c>
      <c r="R22" s="227">
        <v>0</v>
      </c>
      <c r="S22" s="227">
        <v>0</v>
      </c>
      <c r="T22" s="227">
        <v>0</v>
      </c>
      <c r="U22" s="227">
        <v>0</v>
      </c>
      <c r="V22" s="227">
        <v>0</v>
      </c>
      <c r="W22" s="227">
        <v>0.5</v>
      </c>
      <c r="X22" s="227">
        <v>0.5</v>
      </c>
      <c r="Y22" s="227">
        <v>0</v>
      </c>
      <c r="Z22" s="227">
        <v>0</v>
      </c>
      <c r="AA22" s="227">
        <v>0</v>
      </c>
      <c r="AB22" s="227">
        <v>1</v>
      </c>
      <c r="AC22" s="227">
        <v>0</v>
      </c>
      <c r="AD22" s="227">
        <v>0</v>
      </c>
      <c r="AE22" s="227">
        <v>0</v>
      </c>
      <c r="AF22" s="227">
        <v>1</v>
      </c>
      <c r="AG22" s="227">
        <v>0</v>
      </c>
      <c r="AH22" s="227">
        <v>0</v>
      </c>
      <c r="AI22" s="227">
        <v>0</v>
      </c>
      <c r="AJ22" s="227">
        <v>1</v>
      </c>
      <c r="AK22" s="227">
        <v>0</v>
      </c>
      <c r="AL22" s="227">
        <v>0</v>
      </c>
      <c r="AM22" s="227">
        <v>1</v>
      </c>
      <c r="AN22" s="227">
        <v>0</v>
      </c>
      <c r="AO22" s="227">
        <v>0</v>
      </c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35"/>
      <c r="BD22" s="225">
        <v>368324082.5</v>
      </c>
    </row>
    <row r="23" spans="2:57" x14ac:dyDescent="0.35">
      <c r="B23" s="303"/>
      <c r="C23" s="186"/>
      <c r="D23" s="305"/>
      <c r="E23" s="309"/>
      <c r="F23" s="309"/>
      <c r="G23" s="305"/>
      <c r="H23" s="339"/>
      <c r="I23" s="186"/>
      <c r="J23" s="341"/>
      <c r="K23" s="232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>
        <v>0.5</v>
      </c>
      <c r="X23" s="229">
        <v>0.5</v>
      </c>
      <c r="Y23" s="229"/>
      <c r="Z23" s="229"/>
      <c r="AA23" s="229"/>
      <c r="AB23" s="229">
        <v>1</v>
      </c>
      <c r="AC23" s="229"/>
      <c r="AD23" s="229"/>
      <c r="AE23" s="229"/>
      <c r="AF23" s="229"/>
      <c r="AG23" s="229"/>
      <c r="AH23" s="229"/>
      <c r="AI23" s="229"/>
      <c r="AJ23" s="229"/>
      <c r="AK23" s="229">
        <v>1</v>
      </c>
      <c r="AL23" s="229"/>
      <c r="AM23" s="229"/>
      <c r="AN23" s="229"/>
      <c r="AO23" s="229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230"/>
      <c r="BC23" s="233"/>
      <c r="BD23" s="226">
        <v>220994449.5</v>
      </c>
    </row>
    <row r="24" spans="2:57" ht="39" customHeight="1" x14ac:dyDescent="0.35">
      <c r="B24" s="303" t="s">
        <v>209</v>
      </c>
      <c r="C24" s="186" t="s">
        <v>210</v>
      </c>
      <c r="D24" s="305" t="s">
        <v>200</v>
      </c>
      <c r="E24" s="309">
        <v>44044</v>
      </c>
      <c r="F24" s="309">
        <v>44227</v>
      </c>
      <c r="G24" s="305">
        <v>1</v>
      </c>
      <c r="H24" s="339">
        <v>112491000</v>
      </c>
      <c r="I24" s="186">
        <v>0</v>
      </c>
      <c r="J24" s="341" t="s">
        <v>97</v>
      </c>
      <c r="K24" s="234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0</v>
      </c>
      <c r="Q24" s="227">
        <v>0</v>
      </c>
      <c r="R24" s="227">
        <v>0</v>
      </c>
      <c r="S24" s="227">
        <v>0</v>
      </c>
      <c r="T24" s="227">
        <v>0.2</v>
      </c>
      <c r="U24" s="227">
        <v>0.2</v>
      </c>
      <c r="V24" s="227">
        <v>0.2</v>
      </c>
      <c r="W24" s="227">
        <v>0.2</v>
      </c>
      <c r="X24" s="227">
        <v>0.2</v>
      </c>
      <c r="Y24" s="227">
        <v>0</v>
      </c>
      <c r="Z24" s="227">
        <v>0</v>
      </c>
      <c r="AA24" s="227">
        <v>0</v>
      </c>
      <c r="AB24" s="227">
        <v>0</v>
      </c>
      <c r="AC24" s="227">
        <v>0</v>
      </c>
      <c r="AD24" s="227">
        <v>0</v>
      </c>
      <c r="AE24" s="227">
        <v>0</v>
      </c>
      <c r="AF24" s="227">
        <v>0</v>
      </c>
      <c r="AG24" s="227">
        <v>0</v>
      </c>
      <c r="AH24" s="227">
        <v>0</v>
      </c>
      <c r="AI24" s="227">
        <v>0</v>
      </c>
      <c r="AJ24" s="227">
        <v>0</v>
      </c>
      <c r="AK24" s="227">
        <v>0</v>
      </c>
      <c r="AL24" s="227">
        <v>0</v>
      </c>
      <c r="AM24" s="227">
        <v>0</v>
      </c>
      <c r="AN24" s="227">
        <v>0</v>
      </c>
      <c r="AO24" s="227">
        <v>0</v>
      </c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35"/>
      <c r="BD24" s="225">
        <v>112491000</v>
      </c>
    </row>
    <row r="25" spans="2:57" x14ac:dyDescent="0.35">
      <c r="B25" s="303"/>
      <c r="C25" s="186"/>
      <c r="D25" s="305"/>
      <c r="E25" s="309"/>
      <c r="F25" s="309"/>
      <c r="G25" s="305"/>
      <c r="H25" s="339"/>
      <c r="I25" s="186"/>
      <c r="J25" s="341"/>
      <c r="K25" s="232"/>
      <c r="L25" s="229"/>
      <c r="M25" s="229"/>
      <c r="N25" s="229"/>
      <c r="O25" s="229"/>
      <c r="P25" s="229"/>
      <c r="Q25" s="229"/>
      <c r="R25" s="229"/>
      <c r="S25" s="229"/>
      <c r="T25" s="229">
        <v>0.2</v>
      </c>
      <c r="U25" s="229">
        <v>0.2</v>
      </c>
      <c r="V25" s="229">
        <v>0.2</v>
      </c>
      <c r="W25" s="229">
        <v>0.2</v>
      </c>
      <c r="X25" s="229">
        <v>0.2</v>
      </c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3"/>
      <c r="BD25" s="226">
        <v>112491000</v>
      </c>
    </row>
    <row r="26" spans="2:57" ht="39" customHeight="1" x14ac:dyDescent="0.35">
      <c r="B26" s="303" t="s">
        <v>211</v>
      </c>
      <c r="C26" s="186" t="s">
        <v>212</v>
      </c>
      <c r="D26" s="305" t="s">
        <v>200</v>
      </c>
      <c r="E26" s="309">
        <v>44317</v>
      </c>
      <c r="F26" s="309">
        <v>44711</v>
      </c>
      <c r="G26" s="305">
        <v>12</v>
      </c>
      <c r="H26" s="339">
        <v>5733995536.3400002</v>
      </c>
      <c r="I26" s="186">
        <v>0</v>
      </c>
      <c r="J26" s="341" t="s">
        <v>97</v>
      </c>
      <c r="K26" s="234">
        <v>0</v>
      </c>
      <c r="L26" s="227">
        <v>0</v>
      </c>
      <c r="M26" s="227">
        <v>0</v>
      </c>
      <c r="N26" s="227">
        <v>0</v>
      </c>
      <c r="O26" s="227">
        <v>0</v>
      </c>
      <c r="P26" s="227">
        <v>0</v>
      </c>
      <c r="Q26" s="227">
        <v>0</v>
      </c>
      <c r="R26" s="227">
        <v>0</v>
      </c>
      <c r="S26" s="227">
        <v>0</v>
      </c>
      <c r="T26" s="227">
        <v>0</v>
      </c>
      <c r="U26" s="227">
        <v>0</v>
      </c>
      <c r="V26" s="227">
        <v>0</v>
      </c>
      <c r="W26" s="227">
        <v>0</v>
      </c>
      <c r="X26" s="227">
        <v>0</v>
      </c>
      <c r="Y26" s="227">
        <v>0</v>
      </c>
      <c r="Z26" s="227">
        <v>0</v>
      </c>
      <c r="AA26" s="227">
        <v>0</v>
      </c>
      <c r="AB26" s="227">
        <v>1</v>
      </c>
      <c r="AC26" s="227">
        <v>1</v>
      </c>
      <c r="AD26" s="227">
        <v>1</v>
      </c>
      <c r="AE26" s="227">
        <v>1</v>
      </c>
      <c r="AF26" s="227">
        <v>1</v>
      </c>
      <c r="AG26" s="227">
        <v>1</v>
      </c>
      <c r="AH26" s="227">
        <v>1</v>
      </c>
      <c r="AI26" s="227">
        <v>1</v>
      </c>
      <c r="AJ26" s="227">
        <v>1</v>
      </c>
      <c r="AK26" s="227">
        <v>1</v>
      </c>
      <c r="AL26" s="227">
        <v>1</v>
      </c>
      <c r="AM26" s="227">
        <v>0.5</v>
      </c>
      <c r="AN26" s="227">
        <v>0.5</v>
      </c>
      <c r="AO26" s="227">
        <v>0</v>
      </c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35"/>
      <c r="BD26" s="225">
        <v>5733995536.3400002</v>
      </c>
    </row>
    <row r="27" spans="2:57" x14ac:dyDescent="0.35">
      <c r="B27" s="303"/>
      <c r="C27" s="186"/>
      <c r="D27" s="305"/>
      <c r="E27" s="309"/>
      <c r="F27" s="309"/>
      <c r="G27" s="305"/>
      <c r="H27" s="339"/>
      <c r="I27" s="186"/>
      <c r="J27" s="341"/>
      <c r="K27" s="232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>
        <v>1</v>
      </c>
      <c r="AC27" s="229">
        <v>1</v>
      </c>
      <c r="AD27" s="229">
        <v>1</v>
      </c>
      <c r="AE27" s="229">
        <v>1</v>
      </c>
      <c r="AF27" s="229">
        <v>1</v>
      </c>
      <c r="AG27" s="229">
        <v>1</v>
      </c>
      <c r="AH27" s="229">
        <v>1</v>
      </c>
      <c r="AI27" s="229">
        <v>1</v>
      </c>
      <c r="AJ27" s="229">
        <v>1</v>
      </c>
      <c r="AK27" s="229">
        <v>1</v>
      </c>
      <c r="AL27" s="229"/>
      <c r="AM27" s="229">
        <v>1</v>
      </c>
      <c r="AN27" s="229">
        <v>0.5</v>
      </c>
      <c r="AO27" s="229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3"/>
      <c r="BD27" s="226">
        <v>5306095322.6999998</v>
      </c>
    </row>
    <row r="28" spans="2:57" ht="39" customHeight="1" x14ac:dyDescent="0.35">
      <c r="B28" s="303" t="s">
        <v>213</v>
      </c>
      <c r="C28" s="186" t="s">
        <v>214</v>
      </c>
      <c r="D28" s="305" t="s">
        <v>215</v>
      </c>
      <c r="E28" s="309">
        <v>43803</v>
      </c>
      <c r="F28" s="309">
        <v>44742</v>
      </c>
      <c r="G28" s="305">
        <v>100</v>
      </c>
      <c r="H28" s="339">
        <v>472412320</v>
      </c>
      <c r="I28" s="186">
        <v>0</v>
      </c>
      <c r="J28" s="341" t="s">
        <v>135</v>
      </c>
      <c r="K28" s="234">
        <v>0</v>
      </c>
      <c r="L28" s="227">
        <v>0</v>
      </c>
      <c r="M28" s="227">
        <v>0</v>
      </c>
      <c r="N28" s="227">
        <v>0</v>
      </c>
      <c r="O28" s="227">
        <v>16.899999999999999</v>
      </c>
      <c r="P28" s="227">
        <v>0</v>
      </c>
      <c r="Q28" s="227">
        <v>0</v>
      </c>
      <c r="R28" s="227">
        <v>0</v>
      </c>
      <c r="S28" s="227">
        <v>10.34</v>
      </c>
      <c r="T28" s="227">
        <v>0</v>
      </c>
      <c r="U28" s="227">
        <v>0</v>
      </c>
      <c r="V28" s="227">
        <v>10.34</v>
      </c>
      <c r="W28" s="227">
        <v>0</v>
      </c>
      <c r="X28" s="227">
        <v>0</v>
      </c>
      <c r="Y28" s="227">
        <v>10.34</v>
      </c>
      <c r="Z28" s="227">
        <v>0</v>
      </c>
      <c r="AA28" s="227">
        <v>10.34</v>
      </c>
      <c r="AB28" s="227">
        <v>0</v>
      </c>
      <c r="AC28" s="227">
        <v>0</v>
      </c>
      <c r="AD28" s="227">
        <v>0</v>
      </c>
      <c r="AE28" s="227">
        <v>10.34</v>
      </c>
      <c r="AF28" s="227">
        <v>0</v>
      </c>
      <c r="AG28" s="227">
        <v>0</v>
      </c>
      <c r="AH28" s="227">
        <v>10.34</v>
      </c>
      <c r="AI28" s="227">
        <v>0</v>
      </c>
      <c r="AJ28" s="227">
        <v>0</v>
      </c>
      <c r="AK28" s="227">
        <v>10.34</v>
      </c>
      <c r="AL28" s="227">
        <v>0</v>
      </c>
      <c r="AM28" s="227">
        <v>0</v>
      </c>
      <c r="AN28" s="227">
        <v>10.72</v>
      </c>
      <c r="AO28" s="227">
        <v>0</v>
      </c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35"/>
      <c r="BD28" s="225">
        <v>472412320</v>
      </c>
    </row>
    <row r="29" spans="2:57" x14ac:dyDescent="0.35">
      <c r="B29" s="303"/>
      <c r="C29" s="186"/>
      <c r="D29" s="305"/>
      <c r="E29" s="309"/>
      <c r="F29" s="309"/>
      <c r="G29" s="305"/>
      <c r="H29" s="339"/>
      <c r="I29" s="186"/>
      <c r="J29" s="341"/>
      <c r="K29" s="232"/>
      <c r="L29" s="229"/>
      <c r="M29" s="229"/>
      <c r="N29" s="229"/>
      <c r="O29" s="229">
        <v>16.899999999999999</v>
      </c>
      <c r="P29" s="229"/>
      <c r="Q29" s="229"/>
      <c r="R29" s="229"/>
      <c r="S29" s="229">
        <v>10.34</v>
      </c>
      <c r="T29" s="229"/>
      <c r="U29" s="229"/>
      <c r="V29" s="229">
        <v>10.34</v>
      </c>
      <c r="W29" s="229"/>
      <c r="X29" s="229"/>
      <c r="Y29" s="229">
        <v>10.34</v>
      </c>
      <c r="Z29" s="229"/>
      <c r="AA29" s="229">
        <v>10.34</v>
      </c>
      <c r="AB29" s="229"/>
      <c r="AC29" s="229"/>
      <c r="AD29" s="229"/>
      <c r="AE29" s="229">
        <v>4.8899999999999997</v>
      </c>
      <c r="AF29" s="229"/>
      <c r="AG29" s="229"/>
      <c r="AH29" s="229"/>
      <c r="AI29" s="229"/>
      <c r="AJ29" s="229"/>
      <c r="AK29" s="229"/>
      <c r="AL29" s="229"/>
      <c r="AM29" s="229"/>
      <c r="AN29" s="229">
        <v>20.7</v>
      </c>
      <c r="AO29" s="229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3"/>
      <c r="BD29" s="226">
        <v>359989282</v>
      </c>
    </row>
    <row r="30" spans="2:57" ht="26" customHeight="1" x14ac:dyDescent="0.35">
      <c r="B30" s="303" t="s">
        <v>216</v>
      </c>
      <c r="C30" s="186" t="s">
        <v>217</v>
      </c>
      <c r="D30" s="305" t="s">
        <v>200</v>
      </c>
      <c r="E30" s="309">
        <v>44470</v>
      </c>
      <c r="F30" s="309">
        <v>44712</v>
      </c>
      <c r="G30" s="305">
        <v>4</v>
      </c>
      <c r="H30" s="339">
        <v>84367500</v>
      </c>
      <c r="I30" s="186">
        <v>0</v>
      </c>
      <c r="J30" s="341" t="s">
        <v>97</v>
      </c>
      <c r="K30" s="234">
        <v>0</v>
      </c>
      <c r="L30" s="227">
        <v>0</v>
      </c>
      <c r="M30" s="227">
        <v>0</v>
      </c>
      <c r="N30" s="227">
        <v>0</v>
      </c>
      <c r="O30" s="227">
        <v>0</v>
      </c>
      <c r="P30" s="227">
        <v>0</v>
      </c>
      <c r="Q30" s="227">
        <v>0</v>
      </c>
      <c r="R30" s="227">
        <v>0</v>
      </c>
      <c r="S30" s="227">
        <v>0</v>
      </c>
      <c r="T30" s="227">
        <v>0</v>
      </c>
      <c r="U30" s="227">
        <v>0</v>
      </c>
      <c r="V30" s="227">
        <v>0</v>
      </c>
      <c r="W30" s="227">
        <v>0</v>
      </c>
      <c r="X30" s="227">
        <v>0</v>
      </c>
      <c r="Y30" s="227">
        <v>0</v>
      </c>
      <c r="Z30" s="227">
        <v>0</v>
      </c>
      <c r="AA30" s="227">
        <v>0</v>
      </c>
      <c r="AB30" s="227">
        <v>0</v>
      </c>
      <c r="AC30" s="227">
        <v>0</v>
      </c>
      <c r="AD30" s="227">
        <v>0</v>
      </c>
      <c r="AE30" s="227">
        <v>0</v>
      </c>
      <c r="AF30" s="227">
        <v>0</v>
      </c>
      <c r="AG30" s="227">
        <v>2</v>
      </c>
      <c r="AH30" s="227">
        <v>0</v>
      </c>
      <c r="AI30" s="227">
        <v>0</v>
      </c>
      <c r="AJ30" s="227">
        <v>0</v>
      </c>
      <c r="AK30" s="227">
        <v>0</v>
      </c>
      <c r="AL30" s="227">
        <v>0</v>
      </c>
      <c r="AM30" s="227">
        <v>0</v>
      </c>
      <c r="AN30" s="227">
        <v>2</v>
      </c>
      <c r="AO30" s="227">
        <v>0</v>
      </c>
      <c r="AP30" s="228"/>
      <c r="AQ30" s="228"/>
      <c r="AR30" s="228"/>
      <c r="AS30" s="228"/>
      <c r="AT30" s="228"/>
      <c r="AU30" s="228"/>
      <c r="AV30" s="228"/>
      <c r="AW30" s="228"/>
      <c r="AX30" s="228"/>
      <c r="AY30" s="228"/>
      <c r="AZ30" s="228"/>
      <c r="BA30" s="228"/>
      <c r="BB30" s="228"/>
      <c r="BC30" s="235"/>
      <c r="BD30" s="225">
        <v>84367500</v>
      </c>
    </row>
    <row r="31" spans="2:57" x14ac:dyDescent="0.35">
      <c r="B31" s="303"/>
      <c r="C31" s="186"/>
      <c r="D31" s="305"/>
      <c r="E31" s="309"/>
      <c r="F31" s="309"/>
      <c r="G31" s="305"/>
      <c r="H31" s="339"/>
      <c r="I31" s="186"/>
      <c r="J31" s="341"/>
      <c r="K31" s="232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>
        <v>2</v>
      </c>
      <c r="AH31" s="229"/>
      <c r="AI31" s="229"/>
      <c r="AJ31" s="229"/>
      <c r="AK31" s="229"/>
      <c r="AL31" s="229"/>
      <c r="AM31" s="229"/>
      <c r="AN31" s="229"/>
      <c r="AO31" s="229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3"/>
      <c r="BD31" s="226">
        <v>42183750</v>
      </c>
    </row>
    <row r="32" spans="2:57" ht="26" customHeight="1" x14ac:dyDescent="0.35">
      <c r="B32" s="303" t="s">
        <v>218</v>
      </c>
      <c r="C32" s="186" t="s">
        <v>219</v>
      </c>
      <c r="D32" s="305" t="s">
        <v>200</v>
      </c>
      <c r="E32" s="309">
        <v>44348</v>
      </c>
      <c r="F32" s="309">
        <v>44742</v>
      </c>
      <c r="G32" s="305">
        <v>12</v>
      </c>
      <c r="H32" s="339">
        <v>1655368179.3399999</v>
      </c>
      <c r="I32" s="186">
        <v>0</v>
      </c>
      <c r="J32" s="341" t="s">
        <v>97</v>
      </c>
      <c r="K32" s="234">
        <v>0</v>
      </c>
      <c r="L32" s="227">
        <v>0</v>
      </c>
      <c r="M32" s="227">
        <v>0</v>
      </c>
      <c r="N32" s="227">
        <v>0</v>
      </c>
      <c r="O32" s="227">
        <v>0</v>
      </c>
      <c r="P32" s="227">
        <v>0</v>
      </c>
      <c r="Q32" s="227">
        <v>0</v>
      </c>
      <c r="R32" s="227">
        <v>0</v>
      </c>
      <c r="S32" s="227">
        <v>0</v>
      </c>
      <c r="T32" s="227">
        <v>0</v>
      </c>
      <c r="U32" s="227">
        <v>0</v>
      </c>
      <c r="V32" s="227">
        <v>0</v>
      </c>
      <c r="W32" s="227">
        <v>0</v>
      </c>
      <c r="X32" s="227">
        <v>0</v>
      </c>
      <c r="Y32" s="227">
        <v>0</v>
      </c>
      <c r="Z32" s="227">
        <v>0</v>
      </c>
      <c r="AA32" s="227">
        <v>0</v>
      </c>
      <c r="AB32" s="227">
        <v>0</v>
      </c>
      <c r="AC32" s="227">
        <v>1</v>
      </c>
      <c r="AD32" s="227">
        <v>1</v>
      </c>
      <c r="AE32" s="227">
        <v>1</v>
      </c>
      <c r="AF32" s="227">
        <v>1</v>
      </c>
      <c r="AG32" s="227">
        <v>1</v>
      </c>
      <c r="AH32" s="227">
        <v>1</v>
      </c>
      <c r="AI32" s="227">
        <v>1</v>
      </c>
      <c r="AJ32" s="227">
        <v>1</v>
      </c>
      <c r="AK32" s="227">
        <v>1</v>
      </c>
      <c r="AL32" s="227">
        <v>1</v>
      </c>
      <c r="AM32" s="227">
        <v>1</v>
      </c>
      <c r="AN32" s="227">
        <v>0.5</v>
      </c>
      <c r="AO32" s="227">
        <v>0.5</v>
      </c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8"/>
      <c r="BA32" s="228"/>
      <c r="BB32" s="228"/>
      <c r="BC32" s="235"/>
      <c r="BD32" s="225">
        <v>1655368179</v>
      </c>
      <c r="BE32" s="127"/>
    </row>
    <row r="33" spans="2:56" x14ac:dyDescent="0.35">
      <c r="B33" s="303"/>
      <c r="C33" s="186"/>
      <c r="D33" s="305"/>
      <c r="E33" s="309"/>
      <c r="F33" s="309"/>
      <c r="G33" s="305"/>
      <c r="H33" s="339"/>
      <c r="I33" s="186"/>
      <c r="J33" s="341"/>
      <c r="K33" s="232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230"/>
      <c r="BC33" s="233"/>
      <c r="BD33" s="226">
        <v>1517420839</v>
      </c>
    </row>
    <row r="34" spans="2:56" ht="52" customHeight="1" x14ac:dyDescent="0.35">
      <c r="B34" s="303" t="s">
        <v>384</v>
      </c>
      <c r="C34" s="186" t="s">
        <v>220</v>
      </c>
      <c r="D34" s="305" t="s">
        <v>200</v>
      </c>
      <c r="E34" s="309">
        <v>44713</v>
      </c>
      <c r="F34" s="309">
        <v>44742</v>
      </c>
      <c r="G34" s="305">
        <v>1</v>
      </c>
      <c r="H34" s="339">
        <v>323601631</v>
      </c>
      <c r="I34" s="186">
        <v>0</v>
      </c>
      <c r="J34" s="341" t="s">
        <v>97</v>
      </c>
      <c r="K34" s="234">
        <v>0</v>
      </c>
      <c r="L34" s="227">
        <v>0</v>
      </c>
      <c r="M34" s="227">
        <v>0</v>
      </c>
      <c r="N34" s="227">
        <v>0</v>
      </c>
      <c r="O34" s="227">
        <v>0</v>
      </c>
      <c r="P34" s="227">
        <v>0</v>
      </c>
      <c r="Q34" s="227">
        <v>0</v>
      </c>
      <c r="R34" s="227">
        <v>0</v>
      </c>
      <c r="S34" s="227">
        <v>0</v>
      </c>
      <c r="T34" s="227">
        <v>0</v>
      </c>
      <c r="U34" s="227">
        <v>0</v>
      </c>
      <c r="V34" s="227">
        <v>0</v>
      </c>
      <c r="W34" s="227">
        <v>0</v>
      </c>
      <c r="X34" s="227">
        <v>0</v>
      </c>
      <c r="Y34" s="227">
        <v>0</v>
      </c>
      <c r="Z34" s="227">
        <v>0</v>
      </c>
      <c r="AA34" s="227">
        <v>0</v>
      </c>
      <c r="AB34" s="227">
        <v>0</v>
      </c>
      <c r="AC34" s="227">
        <v>0</v>
      </c>
      <c r="AD34" s="227">
        <v>0</v>
      </c>
      <c r="AE34" s="227">
        <v>0</v>
      </c>
      <c r="AF34" s="227">
        <v>0</v>
      </c>
      <c r="AG34" s="227">
        <v>0</v>
      </c>
      <c r="AH34" s="227">
        <v>0</v>
      </c>
      <c r="AI34" s="227">
        <v>0</v>
      </c>
      <c r="AJ34" s="227">
        <v>0</v>
      </c>
      <c r="AK34" s="227">
        <v>0</v>
      </c>
      <c r="AL34" s="227">
        <v>0</v>
      </c>
      <c r="AM34" s="227">
        <v>0</v>
      </c>
      <c r="AN34" s="227">
        <v>0</v>
      </c>
      <c r="AO34" s="227">
        <v>1</v>
      </c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35"/>
      <c r="BD34" s="225">
        <v>323601631</v>
      </c>
    </row>
    <row r="35" spans="2:56" x14ac:dyDescent="0.35">
      <c r="B35" s="303"/>
      <c r="C35" s="186"/>
      <c r="D35" s="305"/>
      <c r="E35" s="309"/>
      <c r="F35" s="309"/>
      <c r="G35" s="305"/>
      <c r="H35" s="339"/>
      <c r="I35" s="186"/>
      <c r="J35" s="341"/>
      <c r="K35" s="232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30"/>
      <c r="AQ35" s="230"/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230"/>
      <c r="BC35" s="233"/>
      <c r="BD35" s="226">
        <v>0</v>
      </c>
    </row>
    <row r="36" spans="2:56" ht="26" customHeight="1" x14ac:dyDescent="0.35">
      <c r="B36" s="303" t="s">
        <v>385</v>
      </c>
      <c r="C36" s="186" t="s">
        <v>221</v>
      </c>
      <c r="D36" s="305" t="s">
        <v>200</v>
      </c>
      <c r="E36" s="309">
        <v>44378</v>
      </c>
      <c r="F36" s="309">
        <v>44711</v>
      </c>
      <c r="G36" s="305">
        <v>2</v>
      </c>
      <c r="H36" s="339">
        <v>95444666.659999996</v>
      </c>
      <c r="I36" s="186">
        <v>0</v>
      </c>
      <c r="J36" s="341" t="s">
        <v>97</v>
      </c>
      <c r="K36" s="234">
        <v>0</v>
      </c>
      <c r="L36" s="227">
        <v>0</v>
      </c>
      <c r="M36" s="227">
        <v>0</v>
      </c>
      <c r="N36" s="227">
        <v>0</v>
      </c>
      <c r="O36" s="227">
        <v>0</v>
      </c>
      <c r="P36" s="227">
        <v>0</v>
      </c>
      <c r="Q36" s="227">
        <v>0</v>
      </c>
      <c r="R36" s="227">
        <v>0</v>
      </c>
      <c r="S36" s="227">
        <v>0</v>
      </c>
      <c r="T36" s="227">
        <v>0</v>
      </c>
      <c r="U36" s="227">
        <v>0</v>
      </c>
      <c r="V36" s="227">
        <v>0</v>
      </c>
      <c r="W36" s="227">
        <v>0</v>
      </c>
      <c r="X36" s="227">
        <v>0</v>
      </c>
      <c r="Y36" s="227">
        <v>0</v>
      </c>
      <c r="Z36" s="227">
        <v>0</v>
      </c>
      <c r="AA36" s="227">
        <v>0</v>
      </c>
      <c r="AB36" s="227">
        <v>0</v>
      </c>
      <c r="AC36" s="227">
        <v>0</v>
      </c>
      <c r="AD36" s="227">
        <v>1</v>
      </c>
      <c r="AE36" s="227">
        <v>0</v>
      </c>
      <c r="AF36" s="227">
        <v>0</v>
      </c>
      <c r="AG36" s="227">
        <v>0</v>
      </c>
      <c r="AH36" s="227">
        <v>0</v>
      </c>
      <c r="AI36" s="227">
        <v>0</v>
      </c>
      <c r="AJ36" s="227">
        <v>0</v>
      </c>
      <c r="AK36" s="227">
        <v>0</v>
      </c>
      <c r="AL36" s="227">
        <v>0</v>
      </c>
      <c r="AM36" s="227">
        <v>0</v>
      </c>
      <c r="AN36" s="227">
        <v>1</v>
      </c>
      <c r="AO36" s="227">
        <v>0</v>
      </c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35"/>
      <c r="BD36" s="225">
        <v>95444666.659999996</v>
      </c>
    </row>
    <row r="37" spans="2:56" x14ac:dyDescent="0.35">
      <c r="B37" s="303"/>
      <c r="C37" s="186"/>
      <c r="D37" s="305"/>
      <c r="E37" s="309"/>
      <c r="F37" s="309"/>
      <c r="G37" s="305"/>
      <c r="H37" s="339"/>
      <c r="I37" s="186"/>
      <c r="J37" s="341"/>
      <c r="K37" s="232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3"/>
      <c r="BD37" s="226">
        <v>47722335</v>
      </c>
    </row>
    <row r="38" spans="2:56" ht="26" customHeight="1" x14ac:dyDescent="0.35">
      <c r="B38" s="303" t="s">
        <v>222</v>
      </c>
      <c r="C38" s="186" t="s">
        <v>223</v>
      </c>
      <c r="D38" s="305" t="s">
        <v>200</v>
      </c>
      <c r="E38" s="309">
        <v>44105</v>
      </c>
      <c r="F38" s="309">
        <v>44470</v>
      </c>
      <c r="G38" s="305">
        <v>1</v>
      </c>
      <c r="H38" s="339">
        <v>363401300</v>
      </c>
      <c r="I38" s="186">
        <v>0</v>
      </c>
      <c r="J38" s="341" t="s">
        <v>97</v>
      </c>
      <c r="K38" s="234">
        <v>0</v>
      </c>
      <c r="L38" s="227">
        <v>0</v>
      </c>
      <c r="M38" s="227">
        <v>0</v>
      </c>
      <c r="N38" s="227">
        <v>0</v>
      </c>
      <c r="O38" s="227">
        <v>0</v>
      </c>
      <c r="P38" s="227">
        <v>0</v>
      </c>
      <c r="Q38" s="227">
        <v>0</v>
      </c>
      <c r="R38" s="227">
        <v>0</v>
      </c>
      <c r="S38" s="227">
        <v>0</v>
      </c>
      <c r="T38" s="227">
        <v>0</v>
      </c>
      <c r="U38" s="227">
        <v>0</v>
      </c>
      <c r="V38" s="227">
        <v>0.3</v>
      </c>
      <c r="W38" s="227">
        <v>0.2</v>
      </c>
      <c r="X38" s="227">
        <v>0</v>
      </c>
      <c r="Y38" s="227">
        <v>0</v>
      </c>
      <c r="Z38" s="227">
        <v>0</v>
      </c>
      <c r="AA38" s="227">
        <v>0</v>
      </c>
      <c r="AB38" s="227">
        <v>0</v>
      </c>
      <c r="AC38" s="227">
        <v>0.2</v>
      </c>
      <c r="AD38" s="227">
        <v>0</v>
      </c>
      <c r="AE38" s="227">
        <v>0.2</v>
      </c>
      <c r="AF38" s="227">
        <v>0</v>
      </c>
      <c r="AG38" s="227">
        <v>0.1</v>
      </c>
      <c r="AH38" s="227">
        <v>0</v>
      </c>
      <c r="AI38" s="227">
        <v>0</v>
      </c>
      <c r="AJ38" s="227">
        <v>0</v>
      </c>
      <c r="AK38" s="227">
        <v>0</v>
      </c>
      <c r="AL38" s="227">
        <v>0</v>
      </c>
      <c r="AM38" s="227">
        <v>0</v>
      </c>
      <c r="AN38" s="227">
        <v>0</v>
      </c>
      <c r="AO38" s="227">
        <v>0</v>
      </c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35"/>
      <c r="BD38" s="225">
        <v>363401300</v>
      </c>
    </row>
    <row r="39" spans="2:56" x14ac:dyDescent="0.35">
      <c r="B39" s="303"/>
      <c r="C39" s="186"/>
      <c r="D39" s="305"/>
      <c r="E39" s="309"/>
      <c r="F39" s="309"/>
      <c r="G39" s="305"/>
      <c r="H39" s="339"/>
      <c r="I39" s="186"/>
      <c r="J39" s="341"/>
      <c r="K39" s="232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233"/>
      <c r="BD39" s="226">
        <v>363401300</v>
      </c>
    </row>
    <row r="40" spans="2:56" ht="26" customHeight="1" x14ac:dyDescent="0.35">
      <c r="B40" s="303" t="s">
        <v>224</v>
      </c>
      <c r="C40" s="186" t="s">
        <v>225</v>
      </c>
      <c r="D40" s="305" t="s">
        <v>200</v>
      </c>
      <c r="E40" s="309">
        <v>44409</v>
      </c>
      <c r="F40" s="309">
        <v>44742</v>
      </c>
      <c r="G40" s="305">
        <v>1</v>
      </c>
      <c r="H40" s="339">
        <v>61080933.659999996</v>
      </c>
      <c r="I40" s="186">
        <v>0</v>
      </c>
      <c r="J40" s="341" t="s">
        <v>97</v>
      </c>
      <c r="K40" s="234">
        <v>0</v>
      </c>
      <c r="L40" s="227">
        <v>0</v>
      </c>
      <c r="M40" s="227">
        <v>0</v>
      </c>
      <c r="N40" s="227">
        <v>0</v>
      </c>
      <c r="O40" s="227">
        <v>0</v>
      </c>
      <c r="P40" s="227">
        <v>0</v>
      </c>
      <c r="Q40" s="227">
        <v>0</v>
      </c>
      <c r="R40" s="227">
        <v>0</v>
      </c>
      <c r="S40" s="227">
        <v>0</v>
      </c>
      <c r="T40" s="227">
        <v>0</v>
      </c>
      <c r="U40" s="227">
        <v>0</v>
      </c>
      <c r="V40" s="227">
        <v>0</v>
      </c>
      <c r="W40" s="227">
        <v>0</v>
      </c>
      <c r="X40" s="227">
        <v>0</v>
      </c>
      <c r="Y40" s="227">
        <v>0</v>
      </c>
      <c r="Z40" s="227">
        <v>0</v>
      </c>
      <c r="AA40" s="227">
        <v>0</v>
      </c>
      <c r="AB40" s="227">
        <v>0</v>
      </c>
      <c r="AC40" s="227">
        <v>0</v>
      </c>
      <c r="AD40" s="227">
        <v>0</v>
      </c>
      <c r="AE40" s="227">
        <v>0</v>
      </c>
      <c r="AF40" s="227">
        <v>0</v>
      </c>
      <c r="AG40" s="227">
        <v>0.5</v>
      </c>
      <c r="AH40" s="227">
        <v>0</v>
      </c>
      <c r="AI40" s="227">
        <v>0</v>
      </c>
      <c r="AJ40" s="227">
        <v>0</v>
      </c>
      <c r="AK40" s="227">
        <v>0</v>
      </c>
      <c r="AL40" s="227">
        <v>0</v>
      </c>
      <c r="AM40" s="227">
        <v>0</v>
      </c>
      <c r="AN40" s="227">
        <v>0.5</v>
      </c>
      <c r="AO40" s="227">
        <v>0</v>
      </c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35"/>
      <c r="BD40" s="225">
        <v>61080933.659999996</v>
      </c>
    </row>
    <row r="41" spans="2:56" x14ac:dyDescent="0.35">
      <c r="B41" s="303"/>
      <c r="C41" s="186"/>
      <c r="D41" s="305"/>
      <c r="E41" s="309"/>
      <c r="F41" s="309"/>
      <c r="G41" s="305"/>
      <c r="H41" s="339"/>
      <c r="I41" s="186"/>
      <c r="J41" s="341"/>
      <c r="K41" s="232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3"/>
      <c r="BD41" s="226">
        <v>0</v>
      </c>
    </row>
    <row r="42" spans="2:56" x14ac:dyDescent="0.35">
      <c r="B42" s="303" t="s">
        <v>226</v>
      </c>
      <c r="C42" s="186" t="s">
        <v>227</v>
      </c>
      <c r="D42" s="305" t="s">
        <v>215</v>
      </c>
      <c r="E42" s="309">
        <v>43891</v>
      </c>
      <c r="F42" s="309">
        <v>44742</v>
      </c>
      <c r="G42" s="305">
        <v>100</v>
      </c>
      <c r="H42" s="339">
        <v>1003212880</v>
      </c>
      <c r="I42" s="186">
        <v>0</v>
      </c>
      <c r="J42" s="341" t="s">
        <v>97</v>
      </c>
      <c r="K42" s="234">
        <v>0</v>
      </c>
      <c r="L42" s="227">
        <v>0</v>
      </c>
      <c r="M42" s="227">
        <v>0</v>
      </c>
      <c r="N42" s="227">
        <v>0</v>
      </c>
      <c r="O42" s="227">
        <v>4.82</v>
      </c>
      <c r="P42" s="227">
        <v>4.82</v>
      </c>
      <c r="Q42" s="227">
        <v>4.82</v>
      </c>
      <c r="R42" s="227">
        <v>3.14</v>
      </c>
      <c r="S42" s="227">
        <v>3.98</v>
      </c>
      <c r="T42" s="227">
        <v>3.98</v>
      </c>
      <c r="U42" s="227">
        <v>3.98</v>
      </c>
      <c r="V42" s="227">
        <v>3.98</v>
      </c>
      <c r="W42" s="227">
        <v>3.98</v>
      </c>
      <c r="X42" s="227">
        <v>3.2</v>
      </c>
      <c r="Y42" s="227">
        <v>3.2</v>
      </c>
      <c r="Z42" s="227">
        <v>3.2</v>
      </c>
      <c r="AA42" s="227">
        <v>3.2</v>
      </c>
      <c r="AB42" s="227">
        <v>3.2</v>
      </c>
      <c r="AC42" s="227">
        <v>3.2</v>
      </c>
      <c r="AD42" s="227">
        <v>3.2</v>
      </c>
      <c r="AE42" s="227">
        <v>3.2</v>
      </c>
      <c r="AF42" s="227">
        <v>3.2</v>
      </c>
      <c r="AG42" s="227">
        <v>3.2</v>
      </c>
      <c r="AH42" s="227">
        <v>3.2</v>
      </c>
      <c r="AI42" s="227">
        <v>3.2</v>
      </c>
      <c r="AJ42" s="227">
        <v>3.2</v>
      </c>
      <c r="AK42" s="227">
        <v>3.2</v>
      </c>
      <c r="AL42" s="227">
        <v>3.2</v>
      </c>
      <c r="AM42" s="227">
        <v>3.2</v>
      </c>
      <c r="AN42" s="227">
        <v>3.2</v>
      </c>
      <c r="AO42" s="227">
        <v>8.1</v>
      </c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35"/>
      <c r="BD42" s="225">
        <v>1003212880</v>
      </c>
    </row>
    <row r="43" spans="2:56" x14ac:dyDescent="0.35">
      <c r="B43" s="303"/>
      <c r="C43" s="186"/>
      <c r="D43" s="305"/>
      <c r="E43" s="309"/>
      <c r="F43" s="309"/>
      <c r="G43" s="305"/>
      <c r="H43" s="339"/>
      <c r="I43" s="186"/>
      <c r="J43" s="341"/>
      <c r="K43" s="232"/>
      <c r="L43" s="229"/>
      <c r="M43" s="229"/>
      <c r="N43" s="229"/>
      <c r="O43" s="229">
        <v>4.82</v>
      </c>
      <c r="P43" s="229">
        <v>4.82</v>
      </c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3"/>
      <c r="BD43" s="226">
        <v>922000000</v>
      </c>
    </row>
    <row r="44" spans="2:56" x14ac:dyDescent="0.35">
      <c r="B44" s="303" t="s">
        <v>228</v>
      </c>
      <c r="C44" s="186" t="s">
        <v>229</v>
      </c>
      <c r="D44" s="305" t="s">
        <v>215</v>
      </c>
      <c r="E44" s="309">
        <v>43803</v>
      </c>
      <c r="F44" s="309">
        <v>44742</v>
      </c>
      <c r="G44" s="305">
        <v>100</v>
      </c>
      <c r="H44" s="339">
        <v>429572259</v>
      </c>
      <c r="I44" s="186">
        <v>0</v>
      </c>
      <c r="J44" s="341" t="s">
        <v>135</v>
      </c>
      <c r="K44" s="234">
        <v>0</v>
      </c>
      <c r="L44" s="227">
        <v>0</v>
      </c>
      <c r="M44" s="227">
        <v>0</v>
      </c>
      <c r="N44" s="227">
        <v>0</v>
      </c>
      <c r="O44" s="227">
        <v>16.899999999999999</v>
      </c>
      <c r="P44" s="227">
        <v>0</v>
      </c>
      <c r="Q44" s="227">
        <v>0</v>
      </c>
      <c r="R44" s="227">
        <v>0</v>
      </c>
      <c r="S44" s="227">
        <v>10.34</v>
      </c>
      <c r="T44" s="227">
        <v>0</v>
      </c>
      <c r="U44" s="227">
        <v>0</v>
      </c>
      <c r="V44" s="227">
        <v>10.34</v>
      </c>
      <c r="W44" s="227">
        <v>0</v>
      </c>
      <c r="X44" s="227">
        <v>0</v>
      </c>
      <c r="Y44" s="227">
        <v>10.34</v>
      </c>
      <c r="Z44" s="227">
        <v>0</v>
      </c>
      <c r="AA44" s="227">
        <v>10.34</v>
      </c>
      <c r="AB44" s="227">
        <v>0</v>
      </c>
      <c r="AC44" s="227">
        <v>0</v>
      </c>
      <c r="AD44" s="227">
        <v>0</v>
      </c>
      <c r="AE44" s="227">
        <v>10.34</v>
      </c>
      <c r="AF44" s="227">
        <v>0</v>
      </c>
      <c r="AG44" s="227">
        <v>0</v>
      </c>
      <c r="AH44" s="227">
        <v>10.34</v>
      </c>
      <c r="AI44" s="227">
        <v>0</v>
      </c>
      <c r="AJ44" s="227">
        <v>0</v>
      </c>
      <c r="AK44" s="227">
        <v>10.34</v>
      </c>
      <c r="AL44" s="227">
        <v>0</v>
      </c>
      <c r="AM44" s="227">
        <v>0</v>
      </c>
      <c r="AN44" s="227">
        <v>10.72</v>
      </c>
      <c r="AO44" s="227">
        <v>0</v>
      </c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35"/>
      <c r="BD44" s="225">
        <v>429572259</v>
      </c>
    </row>
    <row r="45" spans="2:56" x14ac:dyDescent="0.35">
      <c r="B45" s="303"/>
      <c r="C45" s="186"/>
      <c r="D45" s="305"/>
      <c r="E45" s="309"/>
      <c r="F45" s="309"/>
      <c r="G45" s="305"/>
      <c r="H45" s="339"/>
      <c r="I45" s="186"/>
      <c r="J45" s="341"/>
      <c r="K45" s="232"/>
      <c r="L45" s="229"/>
      <c r="M45" s="229"/>
      <c r="N45" s="229"/>
      <c r="O45" s="229">
        <v>16.899999999999999</v>
      </c>
      <c r="P45" s="229"/>
      <c r="Q45" s="229"/>
      <c r="R45" s="229"/>
      <c r="S45" s="229">
        <v>10.34</v>
      </c>
      <c r="T45" s="229"/>
      <c r="U45" s="229"/>
      <c r="V45" s="229">
        <v>10.34</v>
      </c>
      <c r="W45" s="229"/>
      <c r="X45" s="229"/>
      <c r="Y45" s="229">
        <v>10.34</v>
      </c>
      <c r="Z45" s="229"/>
      <c r="AA45" s="229">
        <v>10.34</v>
      </c>
      <c r="AB45" s="229"/>
      <c r="AC45" s="229"/>
      <c r="AD45" s="229"/>
      <c r="AE45" s="229">
        <v>10.34</v>
      </c>
      <c r="AF45" s="229"/>
      <c r="AG45" s="229"/>
      <c r="AH45" s="229"/>
      <c r="AI45" s="229"/>
      <c r="AJ45" s="229"/>
      <c r="AK45" s="229"/>
      <c r="AL45" s="229"/>
      <c r="AM45" s="229"/>
      <c r="AN45" s="229">
        <v>20.7</v>
      </c>
      <c r="AO45" s="229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3"/>
      <c r="BD45" s="226">
        <v>413278141</v>
      </c>
    </row>
    <row r="46" spans="2:56" x14ac:dyDescent="0.35">
      <c r="B46" s="303" t="s">
        <v>230</v>
      </c>
      <c r="C46" s="186" t="s">
        <v>231</v>
      </c>
      <c r="D46" s="305" t="s">
        <v>215</v>
      </c>
      <c r="E46" s="309">
        <v>43891</v>
      </c>
      <c r="F46" s="309">
        <v>44742</v>
      </c>
      <c r="G46" s="305">
        <v>100</v>
      </c>
      <c r="H46" s="339">
        <v>632298589</v>
      </c>
      <c r="I46" s="186">
        <v>0</v>
      </c>
      <c r="J46" s="341" t="s">
        <v>97</v>
      </c>
      <c r="K46" s="234">
        <v>0</v>
      </c>
      <c r="L46" s="227">
        <v>0</v>
      </c>
      <c r="M46" s="227">
        <v>0</v>
      </c>
      <c r="N46" s="227">
        <v>3.57</v>
      </c>
      <c r="O46" s="227">
        <v>3.57</v>
      </c>
      <c r="P46" s="227">
        <v>3.57</v>
      </c>
      <c r="Q46" s="227">
        <v>3.57</v>
      </c>
      <c r="R46" s="227">
        <v>3.57</v>
      </c>
      <c r="S46" s="227">
        <v>3.57</v>
      </c>
      <c r="T46" s="227">
        <v>3.57</v>
      </c>
      <c r="U46" s="227">
        <v>3.57</v>
      </c>
      <c r="V46" s="227">
        <v>3.57</v>
      </c>
      <c r="W46" s="227">
        <v>3.57</v>
      </c>
      <c r="X46" s="227">
        <v>3.57</v>
      </c>
      <c r="Y46" s="227">
        <v>3.57</v>
      </c>
      <c r="Z46" s="227">
        <v>3.57</v>
      </c>
      <c r="AA46" s="227">
        <v>3.57</v>
      </c>
      <c r="AB46" s="227">
        <v>3.57</v>
      </c>
      <c r="AC46" s="227">
        <v>3.57</v>
      </c>
      <c r="AD46" s="227">
        <v>3.57</v>
      </c>
      <c r="AE46" s="227">
        <v>3.57</v>
      </c>
      <c r="AF46" s="227">
        <v>3.57</v>
      </c>
      <c r="AG46" s="227">
        <v>3.57</v>
      </c>
      <c r="AH46" s="227">
        <v>3.57</v>
      </c>
      <c r="AI46" s="227">
        <v>3.57</v>
      </c>
      <c r="AJ46" s="227">
        <v>3.57</v>
      </c>
      <c r="AK46" s="227">
        <v>3.57</v>
      </c>
      <c r="AL46" s="227">
        <v>3.57</v>
      </c>
      <c r="AM46" s="227">
        <v>3.57</v>
      </c>
      <c r="AN46" s="227">
        <v>3.57</v>
      </c>
      <c r="AO46" s="227">
        <v>3.61</v>
      </c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8"/>
      <c r="BC46" s="235"/>
      <c r="BD46" s="225">
        <v>632298589</v>
      </c>
    </row>
    <row r="47" spans="2:56" ht="15" thickBot="1" x14ac:dyDescent="0.4">
      <c r="B47" s="304"/>
      <c r="C47" s="45"/>
      <c r="D47" s="306"/>
      <c r="E47" s="338"/>
      <c r="F47" s="338"/>
      <c r="G47" s="306"/>
      <c r="H47" s="343"/>
      <c r="I47" s="45"/>
      <c r="J47" s="342"/>
      <c r="K47" s="236"/>
      <c r="L47" s="137"/>
      <c r="M47" s="137"/>
      <c r="N47" s="137">
        <v>3.57</v>
      </c>
      <c r="O47" s="137">
        <v>3.57</v>
      </c>
      <c r="P47" s="137">
        <v>3.57</v>
      </c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9"/>
      <c r="BD47" s="226">
        <v>609716511</v>
      </c>
    </row>
    <row r="48" spans="2:56" ht="26" x14ac:dyDescent="0.35">
      <c r="B48" s="122" t="s">
        <v>383</v>
      </c>
      <c r="C48" s="67"/>
      <c r="D48" s="120"/>
      <c r="E48" s="67"/>
      <c r="F48" s="67"/>
      <c r="G48" s="67"/>
      <c r="H48" s="121"/>
      <c r="I48" s="67"/>
      <c r="J48" s="67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9"/>
    </row>
    <row r="49" spans="2:2" ht="15" thickBot="1" x14ac:dyDescent="0.4"/>
    <row r="50" spans="2:2" x14ac:dyDescent="0.35">
      <c r="B50" s="14" t="s">
        <v>101</v>
      </c>
    </row>
    <row r="51" spans="2:2" ht="15" thickBot="1" x14ac:dyDescent="0.4">
      <c r="B51" s="15" t="s">
        <v>100</v>
      </c>
    </row>
  </sheetData>
  <sheetProtection algorithmName="SHA-512" hashValue="nt/Sn3teKiS4cm98FO+I92uzeP81NWwm1YA5c3CX3YgVsQB2u2lbUkjfEzjfAD6NWrnLlCIXC2Zw8vbwZY1qmg==" saltValue="KwaMRwF/yha8e2DaNBZQbw==" spinCount="100000" sheet="1" objects="1" scenarios="1"/>
  <mergeCells count="138">
    <mergeCell ref="H14:H15"/>
    <mergeCell ref="H16:H17"/>
    <mergeCell ref="H18:H19"/>
    <mergeCell ref="H20:H21"/>
    <mergeCell ref="H22:H23"/>
    <mergeCell ref="J42:J43"/>
    <mergeCell ref="J44:J45"/>
    <mergeCell ref="J46:J47"/>
    <mergeCell ref="H44:H45"/>
    <mergeCell ref="H46:H47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G44:G45"/>
    <mergeCell ref="G46:G47"/>
    <mergeCell ref="E44:E45"/>
    <mergeCell ref="F44:F45"/>
    <mergeCell ref="E46:E47"/>
    <mergeCell ref="F46:F47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G32:G33"/>
    <mergeCell ref="G34:G35"/>
    <mergeCell ref="G36:G37"/>
    <mergeCell ref="E38:E39"/>
    <mergeCell ref="F38:F39"/>
    <mergeCell ref="E40:E41"/>
    <mergeCell ref="F40:F41"/>
    <mergeCell ref="E42:E4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F42:F43"/>
    <mergeCell ref="E32:E33"/>
    <mergeCell ref="F32:F33"/>
    <mergeCell ref="E34:E35"/>
    <mergeCell ref="F34:F35"/>
    <mergeCell ref="E36:E37"/>
    <mergeCell ref="F36:F37"/>
    <mergeCell ref="G38:G39"/>
    <mergeCell ref="G40:G41"/>
    <mergeCell ref="G42:G43"/>
    <mergeCell ref="E26:E27"/>
    <mergeCell ref="F26:F27"/>
    <mergeCell ref="E28:E29"/>
    <mergeCell ref="F28:F29"/>
    <mergeCell ref="E30:E31"/>
    <mergeCell ref="F30:F31"/>
    <mergeCell ref="E20:E21"/>
    <mergeCell ref="F20:F21"/>
    <mergeCell ref="E22:E23"/>
    <mergeCell ref="F22:F23"/>
    <mergeCell ref="E24:E25"/>
    <mergeCell ref="F24:F25"/>
    <mergeCell ref="D2:K2"/>
    <mergeCell ref="D3:K3"/>
    <mergeCell ref="D4:F4"/>
    <mergeCell ref="H4:K4"/>
    <mergeCell ref="D5:F5"/>
    <mergeCell ref="H5:K5"/>
    <mergeCell ref="D10:F10"/>
    <mergeCell ref="G10:J10"/>
    <mergeCell ref="B12:J12"/>
    <mergeCell ref="K12:BC12"/>
    <mergeCell ref="D6:F6"/>
    <mergeCell ref="H6:K6"/>
    <mergeCell ref="B7:B9"/>
    <mergeCell ref="D7:F7"/>
    <mergeCell ref="G7:K7"/>
    <mergeCell ref="D8:F8"/>
    <mergeCell ref="G8:K8"/>
    <mergeCell ref="D9:F9"/>
    <mergeCell ref="G9:K9"/>
    <mergeCell ref="B18:B19"/>
    <mergeCell ref="B14:B15"/>
    <mergeCell ref="B16:B17"/>
    <mergeCell ref="B20:B21"/>
    <mergeCell ref="B22:B23"/>
    <mergeCell ref="B24:B25"/>
    <mergeCell ref="B26:B27"/>
    <mergeCell ref="B28:B29"/>
    <mergeCell ref="B30:B31"/>
    <mergeCell ref="D14:D15"/>
    <mergeCell ref="D16:D17"/>
    <mergeCell ref="D18:D19"/>
    <mergeCell ref="D20:D21"/>
    <mergeCell ref="D22:D23"/>
    <mergeCell ref="E14:E15"/>
    <mergeCell ref="F14:F15"/>
    <mergeCell ref="E16:E17"/>
    <mergeCell ref="F16:F17"/>
    <mergeCell ref="E18:E19"/>
    <mergeCell ref="F18:F19"/>
    <mergeCell ref="B38:B39"/>
    <mergeCell ref="B40:B41"/>
    <mergeCell ref="B42:B43"/>
    <mergeCell ref="B44:B45"/>
    <mergeCell ref="B46:B47"/>
    <mergeCell ref="D46:D47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B36:B37"/>
    <mergeCell ref="B32:B33"/>
    <mergeCell ref="B34:B35"/>
  </mergeCells>
  <pageMargins left="0.75" right="0.75" top="1" bottom="1" header="0.5" footer="0.5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0"/>
  <sheetViews>
    <sheetView showGridLines="0" topLeftCell="B1" workbookViewId="0">
      <selection activeCell="C16" sqref="C16:C17"/>
    </sheetView>
  </sheetViews>
  <sheetFormatPr baseColWidth="10" defaultRowHeight="14.5" x14ac:dyDescent="0.35"/>
  <cols>
    <col min="1" max="1" width="43.6328125" hidden="1" customWidth="1"/>
    <col min="2" max="2" width="29.08984375" customWidth="1"/>
    <col min="3" max="3" width="35.26953125" customWidth="1"/>
    <col min="4" max="4" width="7.26953125" bestFit="1" customWidth="1"/>
    <col min="5" max="5" width="10.54296875" customWidth="1"/>
    <col min="6" max="6" width="13.81640625" customWidth="1"/>
    <col min="7" max="7" width="20.54296875" customWidth="1"/>
    <col min="8" max="8" width="16.26953125" customWidth="1"/>
    <col min="9" max="9" width="9.08984375" hidden="1" customWidth="1"/>
    <col min="10" max="10" width="10.08984375" customWidth="1"/>
    <col min="11" max="12" width="12.453125" bestFit="1" customWidth="1"/>
    <col min="13" max="14" width="12.7265625" bestFit="1" customWidth="1"/>
    <col min="15" max="17" width="12.453125" bestFit="1" customWidth="1"/>
    <col min="18" max="18" width="13.54296875" bestFit="1" customWidth="1"/>
    <col min="19" max="21" width="12.453125" bestFit="1" customWidth="1"/>
    <col min="22" max="22" width="13.54296875" bestFit="1" customWidth="1"/>
    <col min="23" max="26" width="12.453125" bestFit="1" customWidth="1"/>
    <col min="27" max="27" width="13.54296875" bestFit="1" customWidth="1"/>
    <col min="28" max="32" width="12.453125" bestFit="1" customWidth="1"/>
    <col min="33" max="33" width="16.453125" bestFit="1" customWidth="1"/>
  </cols>
  <sheetData>
    <row r="2" spans="1:33" x14ac:dyDescent="0.35">
      <c r="B2" s="42" t="s">
        <v>102</v>
      </c>
      <c r="C2" s="418">
        <v>2022005500023</v>
      </c>
      <c r="D2" s="419"/>
      <c r="E2" s="419"/>
      <c r="F2" s="419"/>
      <c r="G2" s="419"/>
      <c r="H2" s="419"/>
      <c r="I2" s="419"/>
      <c r="J2" s="419"/>
      <c r="K2" s="420"/>
    </row>
    <row r="3" spans="1:33" ht="37.5" customHeight="1" x14ac:dyDescent="0.35">
      <c r="B3" s="42" t="s">
        <v>103</v>
      </c>
      <c r="C3" s="421" t="s">
        <v>371</v>
      </c>
      <c r="D3" s="422"/>
      <c r="E3" s="422"/>
      <c r="F3" s="422"/>
      <c r="G3" s="422"/>
      <c r="H3" s="422"/>
      <c r="I3" s="422"/>
      <c r="J3" s="422"/>
      <c r="K3" s="423"/>
    </row>
    <row r="4" spans="1:33" x14ac:dyDescent="0.35">
      <c r="B4" s="42" t="s">
        <v>106</v>
      </c>
      <c r="C4" s="506">
        <v>5369743308</v>
      </c>
      <c r="D4" s="507"/>
      <c r="E4" s="507"/>
      <c r="F4" s="508"/>
      <c r="G4" s="27" t="s">
        <v>107</v>
      </c>
      <c r="H4" s="315">
        <v>5369743308</v>
      </c>
      <c r="I4" s="315"/>
      <c r="J4" s="315"/>
      <c r="K4" s="315"/>
    </row>
    <row r="5" spans="1:33" x14ac:dyDescent="0.35">
      <c r="B5" s="42" t="s">
        <v>109</v>
      </c>
      <c r="C5" s="436" t="s">
        <v>372</v>
      </c>
      <c r="D5" s="437"/>
      <c r="E5" s="437"/>
      <c r="F5" s="438"/>
      <c r="G5" s="27" t="s">
        <v>108</v>
      </c>
      <c r="H5" s="316" t="s">
        <v>119</v>
      </c>
      <c r="I5" s="316"/>
      <c r="J5" s="316"/>
      <c r="K5" s="316"/>
    </row>
    <row r="6" spans="1:33" x14ac:dyDescent="0.35">
      <c r="B6" s="42" t="s">
        <v>110</v>
      </c>
      <c r="C6" s="433">
        <v>0.46</v>
      </c>
      <c r="D6" s="568"/>
      <c r="E6" s="568"/>
      <c r="F6" s="569"/>
      <c r="G6" s="26" t="s">
        <v>111</v>
      </c>
      <c r="H6" s="326">
        <v>0.4</v>
      </c>
      <c r="I6" s="327"/>
      <c r="J6" s="327"/>
      <c r="K6" s="327"/>
    </row>
    <row r="7" spans="1:33" ht="49" customHeight="1" x14ac:dyDescent="0.35">
      <c r="B7" s="374" t="s">
        <v>117</v>
      </c>
      <c r="C7" s="427" t="s">
        <v>113</v>
      </c>
      <c r="D7" s="428"/>
      <c r="E7" s="428"/>
      <c r="F7" s="429"/>
      <c r="G7" s="332" t="s">
        <v>374</v>
      </c>
      <c r="H7" s="332"/>
      <c r="I7" s="332"/>
      <c r="J7" s="332"/>
      <c r="K7" s="332"/>
    </row>
    <row r="8" spans="1:33" ht="94" customHeight="1" x14ac:dyDescent="0.35">
      <c r="B8" s="375"/>
      <c r="C8" s="427" t="s">
        <v>373</v>
      </c>
      <c r="D8" s="428"/>
      <c r="E8" s="428"/>
      <c r="F8" s="429"/>
      <c r="G8" s="332" t="s">
        <v>375</v>
      </c>
      <c r="H8" s="332"/>
      <c r="I8" s="332"/>
      <c r="J8" s="332"/>
      <c r="K8" s="332"/>
    </row>
    <row r="9" spans="1:33" ht="82.5" customHeight="1" x14ac:dyDescent="0.35">
      <c r="B9" s="376"/>
      <c r="C9" s="430" t="s">
        <v>377</v>
      </c>
      <c r="D9" s="431"/>
      <c r="E9" s="431"/>
      <c r="F9" s="432"/>
      <c r="G9" s="332" t="s">
        <v>376</v>
      </c>
      <c r="H9" s="332"/>
      <c r="I9" s="332"/>
      <c r="J9" s="332"/>
      <c r="K9" s="332"/>
    </row>
    <row r="10" spans="1:33" x14ac:dyDescent="0.35">
      <c r="B10" s="1"/>
      <c r="C10" s="1"/>
      <c r="D10" s="319"/>
      <c r="E10" s="319"/>
      <c r="F10" s="319"/>
      <c r="G10" s="319"/>
      <c r="H10" s="319"/>
      <c r="I10" s="319"/>
      <c r="J10" s="319"/>
    </row>
    <row r="11" spans="1:33" ht="15" thickBot="1" x14ac:dyDescent="0.4"/>
    <row r="12" spans="1:33" s="3" customFormat="1" ht="15" customHeight="1" thickBot="1" x14ac:dyDescent="0.35">
      <c r="A12" s="4" t="s">
        <v>94</v>
      </c>
      <c r="B12" s="320" t="s">
        <v>382</v>
      </c>
      <c r="C12" s="321"/>
      <c r="D12" s="321"/>
      <c r="E12" s="321"/>
      <c r="F12" s="321"/>
      <c r="G12" s="321"/>
      <c r="H12" s="321"/>
      <c r="I12" s="321"/>
      <c r="J12" s="322"/>
      <c r="K12" s="377" t="s">
        <v>366</v>
      </c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8"/>
      <c r="Y12" s="378"/>
      <c r="Z12" s="378"/>
      <c r="AA12" s="378"/>
      <c r="AB12" s="378"/>
      <c r="AC12" s="378"/>
      <c r="AD12" s="378"/>
      <c r="AE12" s="378"/>
      <c r="AF12" s="379"/>
    </row>
    <row r="13" spans="1:33" s="3" customFormat="1" ht="39.5" thickBot="1" x14ac:dyDescent="0.35">
      <c r="A13" s="6"/>
      <c r="B13" s="21" t="s">
        <v>1</v>
      </c>
      <c r="C13" s="22" t="s">
        <v>2</v>
      </c>
      <c r="D13" s="22" t="s">
        <v>3</v>
      </c>
      <c r="E13" s="22" t="s">
        <v>4</v>
      </c>
      <c r="F13" s="22" t="s">
        <v>5</v>
      </c>
      <c r="G13" s="22" t="s">
        <v>6</v>
      </c>
      <c r="H13" s="22" t="s">
        <v>7</v>
      </c>
      <c r="I13" s="22" t="s">
        <v>8</v>
      </c>
      <c r="J13" s="23" t="s">
        <v>9</v>
      </c>
      <c r="K13" s="43">
        <v>44743</v>
      </c>
      <c r="L13" s="43">
        <v>44774</v>
      </c>
      <c r="M13" s="43">
        <v>44805</v>
      </c>
      <c r="N13" s="43">
        <v>44835</v>
      </c>
      <c r="O13" s="43">
        <v>44866</v>
      </c>
      <c r="P13" s="43">
        <v>44896</v>
      </c>
      <c r="Q13" s="43">
        <v>44927</v>
      </c>
      <c r="R13" s="43">
        <v>44958</v>
      </c>
      <c r="S13" s="43">
        <v>44986</v>
      </c>
      <c r="T13" s="43">
        <v>45017</v>
      </c>
      <c r="U13" s="43">
        <v>45047</v>
      </c>
      <c r="V13" s="43">
        <v>45078</v>
      </c>
      <c r="W13" s="43">
        <v>45108</v>
      </c>
      <c r="X13" s="43">
        <v>45139</v>
      </c>
      <c r="Y13" s="43">
        <v>45170</v>
      </c>
      <c r="Z13" s="43">
        <v>45200</v>
      </c>
      <c r="AA13" s="43">
        <v>45231</v>
      </c>
      <c r="AB13" s="43">
        <v>45261</v>
      </c>
      <c r="AC13" s="43">
        <v>45292</v>
      </c>
      <c r="AD13" s="43">
        <v>45323</v>
      </c>
      <c r="AE13" s="43">
        <v>45352</v>
      </c>
      <c r="AF13" s="44">
        <v>45383</v>
      </c>
      <c r="AG13" s="195" t="s">
        <v>7</v>
      </c>
    </row>
    <row r="14" spans="1:33" s="3" customFormat="1" ht="26" customHeight="1" x14ac:dyDescent="0.3">
      <c r="A14" s="4" t="s">
        <v>94</v>
      </c>
      <c r="B14" s="580" t="s">
        <v>367</v>
      </c>
      <c r="C14" s="570" t="s">
        <v>367</v>
      </c>
      <c r="D14" s="574" t="s">
        <v>96</v>
      </c>
      <c r="E14" s="578">
        <v>44760</v>
      </c>
      <c r="F14" s="578">
        <v>45394</v>
      </c>
      <c r="G14" s="590">
        <v>68736000</v>
      </c>
      <c r="H14" s="590">
        <v>68736000</v>
      </c>
      <c r="I14" s="71"/>
      <c r="J14" s="584" t="s">
        <v>97</v>
      </c>
      <c r="K14" s="95">
        <v>1493333</v>
      </c>
      <c r="L14" s="96">
        <v>3200000</v>
      </c>
      <c r="M14" s="96">
        <v>3200000</v>
      </c>
      <c r="N14" s="96">
        <v>3200000</v>
      </c>
      <c r="O14" s="96">
        <v>3200000</v>
      </c>
      <c r="P14" s="96">
        <v>3200000</v>
      </c>
      <c r="Q14" s="96">
        <v>3328000</v>
      </c>
      <c r="R14" s="97">
        <v>3328000</v>
      </c>
      <c r="S14" s="97">
        <v>3328000</v>
      </c>
      <c r="T14" s="97">
        <v>3328000</v>
      </c>
      <c r="U14" s="97">
        <v>3328000</v>
      </c>
      <c r="V14" s="97">
        <v>3328000</v>
      </c>
      <c r="W14" s="97">
        <v>3328000</v>
      </c>
      <c r="X14" s="97">
        <v>3328000</v>
      </c>
      <c r="Y14" s="97">
        <v>3328000</v>
      </c>
      <c r="Z14" s="97">
        <v>3328000</v>
      </c>
      <c r="AA14" s="97">
        <v>3328000</v>
      </c>
      <c r="AB14" s="97">
        <v>3328000</v>
      </c>
      <c r="AC14" s="97">
        <v>3328000</v>
      </c>
      <c r="AD14" s="97">
        <v>3328000</v>
      </c>
      <c r="AE14" s="97">
        <v>3328000</v>
      </c>
      <c r="AF14" s="209">
        <v>1322667</v>
      </c>
      <c r="AG14" s="211">
        <f>SUM(K14:AF14)</f>
        <v>68736000</v>
      </c>
    </row>
    <row r="15" spans="1:33" s="3" customFormat="1" ht="13" x14ac:dyDescent="0.3">
      <c r="A15" s="4"/>
      <c r="B15" s="581"/>
      <c r="C15" s="571"/>
      <c r="D15" s="575"/>
      <c r="E15" s="579"/>
      <c r="F15" s="579"/>
      <c r="G15" s="591"/>
      <c r="H15" s="591"/>
      <c r="I15" s="65"/>
      <c r="J15" s="585"/>
      <c r="K15" s="109">
        <v>1493333</v>
      </c>
      <c r="L15" s="100">
        <v>3200000</v>
      </c>
      <c r="M15" s="100">
        <v>3200000</v>
      </c>
      <c r="N15" s="100">
        <v>3200000</v>
      </c>
      <c r="O15" s="100">
        <v>3200000</v>
      </c>
      <c r="P15" s="100">
        <v>3200000</v>
      </c>
      <c r="Q15" s="100">
        <v>3328000</v>
      </c>
      <c r="R15" s="101">
        <v>3328000</v>
      </c>
      <c r="S15" s="101">
        <v>3328000</v>
      </c>
      <c r="T15" s="101">
        <v>3328000</v>
      </c>
      <c r="U15" s="101">
        <v>3328000</v>
      </c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300"/>
      <c r="AG15" s="212">
        <f>SUM(K15:AF15)</f>
        <v>34133333</v>
      </c>
    </row>
    <row r="16" spans="1:33" s="3" customFormat="1" ht="39" customHeight="1" x14ac:dyDescent="0.3">
      <c r="A16" s="6"/>
      <c r="B16" s="582" t="s">
        <v>368</v>
      </c>
      <c r="C16" s="572" t="s">
        <v>368</v>
      </c>
      <c r="D16" s="576" t="s">
        <v>96</v>
      </c>
      <c r="E16" s="588">
        <v>44747</v>
      </c>
      <c r="F16" s="588">
        <v>45404</v>
      </c>
      <c r="G16" s="592">
        <v>5301007308</v>
      </c>
      <c r="H16" s="592">
        <v>5301007308</v>
      </c>
      <c r="I16" s="65"/>
      <c r="J16" s="586" t="s">
        <v>97</v>
      </c>
      <c r="K16" s="110">
        <v>269573600</v>
      </c>
      <c r="L16" s="98">
        <v>262111600</v>
      </c>
      <c r="M16" s="98">
        <v>0</v>
      </c>
      <c r="N16" s="98">
        <v>237163200</v>
      </c>
      <c r="O16" s="98">
        <v>316992000</v>
      </c>
      <c r="P16" s="98">
        <v>252625600</v>
      </c>
      <c r="Q16" s="98">
        <v>158496000</v>
      </c>
      <c r="R16" s="99">
        <v>207980800</v>
      </c>
      <c r="S16" s="99">
        <v>187016000</v>
      </c>
      <c r="T16" s="99">
        <v>202632000</v>
      </c>
      <c r="U16" s="99">
        <v>348256000</v>
      </c>
      <c r="V16" s="99">
        <v>332640000</v>
      </c>
      <c r="W16" s="99">
        <v>155784000</v>
      </c>
      <c r="X16" s="99">
        <v>145624000</v>
      </c>
      <c r="Y16" s="99">
        <v>353336000</v>
      </c>
      <c r="Z16" s="99">
        <v>348256000</v>
      </c>
      <c r="AA16" s="99">
        <v>332640000</v>
      </c>
      <c r="AB16" s="99">
        <v>202632000</v>
      </c>
      <c r="AC16" s="99">
        <v>197552000</v>
      </c>
      <c r="AD16" s="99">
        <v>379488000</v>
      </c>
      <c r="AE16" s="99">
        <v>301408000</v>
      </c>
      <c r="AF16" s="210">
        <v>108800508</v>
      </c>
      <c r="AG16" s="212">
        <f t="shared" ref="AG16:AG17" si="0">SUM(K16:AF16)</f>
        <v>5301007308</v>
      </c>
    </row>
    <row r="17" spans="1:33" s="3" customFormat="1" ht="15" customHeight="1" thickBot="1" x14ac:dyDescent="0.35">
      <c r="A17" s="6"/>
      <c r="B17" s="583"/>
      <c r="C17" s="573"/>
      <c r="D17" s="577"/>
      <c r="E17" s="589"/>
      <c r="F17" s="589"/>
      <c r="G17" s="593"/>
      <c r="H17" s="593"/>
      <c r="I17" s="92"/>
      <c r="J17" s="587"/>
      <c r="K17" s="111">
        <v>269573600</v>
      </c>
      <c r="L17" s="112">
        <v>262111600</v>
      </c>
      <c r="M17" s="112">
        <v>0</v>
      </c>
      <c r="N17" s="112">
        <v>237163200</v>
      </c>
      <c r="O17" s="112">
        <v>316992000</v>
      </c>
      <c r="P17" s="112">
        <v>252625600</v>
      </c>
      <c r="Q17" s="112">
        <v>158496000</v>
      </c>
      <c r="R17" s="113">
        <v>207980800</v>
      </c>
      <c r="S17" s="113">
        <v>187016000</v>
      </c>
      <c r="T17" s="113">
        <v>202632000</v>
      </c>
      <c r="U17" s="113">
        <v>348256000</v>
      </c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301"/>
      <c r="AG17" s="213">
        <f t="shared" si="0"/>
        <v>2442846800</v>
      </c>
    </row>
    <row r="18" spans="1:33" ht="27" thickBot="1" x14ac:dyDescent="0.4">
      <c r="B18" s="145" t="s">
        <v>383</v>
      </c>
      <c r="AG18" s="208"/>
    </row>
    <row r="19" spans="1:33" x14ac:dyDescent="0.35">
      <c r="B19" s="14" t="s">
        <v>101</v>
      </c>
      <c r="AG19" s="208"/>
    </row>
    <row r="20" spans="1:33" ht="15" thickBot="1" x14ac:dyDescent="0.4">
      <c r="B20" s="15" t="s">
        <v>100</v>
      </c>
    </row>
  </sheetData>
  <sheetProtection algorithmName="SHA-512" hashValue="mXxV4Rljp8jZuO5pFal7CDI2h+tHzGPxuaaH+CnHTZhBEdYPtf0EqNH6k8OgAr6rljnj1QbihtZxewjTLmilwQ==" saltValue="gcMyWgqhExdN+MkAgAkXgw==" spinCount="100000" sheet="1" objects="1" scenarios="1"/>
  <mergeCells count="35">
    <mergeCell ref="C2:K2"/>
    <mergeCell ref="C3:K3"/>
    <mergeCell ref="C4:F4"/>
    <mergeCell ref="C5:F5"/>
    <mergeCell ref="C7:F7"/>
    <mergeCell ref="C6:F6"/>
    <mergeCell ref="H4:K4"/>
    <mergeCell ref="H5:K5"/>
    <mergeCell ref="H6:K6"/>
    <mergeCell ref="B7:B9"/>
    <mergeCell ref="G7:K7"/>
    <mergeCell ref="G8:K8"/>
    <mergeCell ref="G9:K9"/>
    <mergeCell ref="C8:F8"/>
    <mergeCell ref="C9:F9"/>
    <mergeCell ref="D10:F10"/>
    <mergeCell ref="G10:J10"/>
    <mergeCell ref="B14:B15"/>
    <mergeCell ref="B16:B17"/>
    <mergeCell ref="B12:J12"/>
    <mergeCell ref="J14:J15"/>
    <mergeCell ref="J16:J17"/>
    <mergeCell ref="F16:F17"/>
    <mergeCell ref="E16:E17"/>
    <mergeCell ref="G14:G15"/>
    <mergeCell ref="G16:G17"/>
    <mergeCell ref="H14:H15"/>
    <mergeCell ref="H16:H17"/>
    <mergeCell ref="K12:AF12"/>
    <mergeCell ref="C14:C15"/>
    <mergeCell ref="C16:C17"/>
    <mergeCell ref="D14:D15"/>
    <mergeCell ref="D16:D17"/>
    <mergeCell ref="E14:E15"/>
    <mergeCell ref="F14:F15"/>
  </mergeCell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showGridLines="0" tabSelected="1" topLeftCell="B1" workbookViewId="0">
      <selection activeCell="L15" sqref="L15"/>
    </sheetView>
  </sheetViews>
  <sheetFormatPr baseColWidth="10" defaultRowHeight="14.5" x14ac:dyDescent="0.35"/>
  <cols>
    <col min="1" max="1" width="43.6328125" hidden="1" customWidth="1"/>
    <col min="2" max="2" width="35.453125" customWidth="1"/>
    <col min="3" max="3" width="42.1796875" hidden="1" customWidth="1"/>
    <col min="4" max="4" width="7.26953125" bestFit="1" customWidth="1"/>
    <col min="5" max="5" width="9.26953125" bestFit="1" customWidth="1"/>
    <col min="6" max="6" width="9.453125" bestFit="1" customWidth="1"/>
    <col min="7" max="7" width="16.90625" bestFit="1" customWidth="1"/>
    <col min="8" max="8" width="13.7265625" bestFit="1" customWidth="1"/>
    <col min="9" max="9" width="9.08984375" hidden="1" customWidth="1"/>
    <col min="10" max="10" width="10.08984375" customWidth="1"/>
    <col min="11" max="11" width="14.1796875" bestFit="1" customWidth="1"/>
    <col min="12" max="12" width="12.81640625" bestFit="1" customWidth="1"/>
    <col min="13" max="19" width="14.6328125" bestFit="1" customWidth="1"/>
    <col min="20" max="21" width="13.453125" bestFit="1" customWidth="1"/>
    <col min="22" max="22" width="13.54296875" bestFit="1" customWidth="1"/>
    <col min="23" max="26" width="13.453125" bestFit="1" customWidth="1"/>
    <col min="27" max="27" width="13.54296875" bestFit="1" customWidth="1"/>
    <col min="28" max="30" width="13.453125" bestFit="1" customWidth="1"/>
    <col min="31" max="31" width="17.7265625" bestFit="1" customWidth="1"/>
  </cols>
  <sheetData>
    <row r="1" spans="1:31" ht="15" thickBot="1" x14ac:dyDescent="0.4"/>
    <row r="2" spans="1:31" x14ac:dyDescent="0.35">
      <c r="B2" s="221" t="s">
        <v>102</v>
      </c>
      <c r="C2" s="222"/>
      <c r="D2" s="311">
        <v>2022005500054</v>
      </c>
      <c r="E2" s="311"/>
      <c r="F2" s="311"/>
      <c r="G2" s="311"/>
      <c r="H2" s="311"/>
      <c r="I2" s="311"/>
      <c r="J2" s="311"/>
      <c r="K2" s="312"/>
    </row>
    <row r="3" spans="1:31" ht="39.5" customHeight="1" x14ac:dyDescent="0.35">
      <c r="B3" s="223" t="s">
        <v>103</v>
      </c>
      <c r="C3" s="220"/>
      <c r="D3" s="596" t="s">
        <v>475</v>
      </c>
      <c r="E3" s="596"/>
      <c r="F3" s="596"/>
      <c r="G3" s="596"/>
      <c r="H3" s="596"/>
      <c r="I3" s="596"/>
      <c r="J3" s="596"/>
      <c r="K3" s="597"/>
    </row>
    <row r="4" spans="1:31" x14ac:dyDescent="0.35">
      <c r="B4" s="224" t="s">
        <v>106</v>
      </c>
      <c r="C4" s="8"/>
      <c r="D4" s="315">
        <v>4080866965</v>
      </c>
      <c r="E4" s="316"/>
      <c r="F4" s="316"/>
      <c r="G4" s="27" t="s">
        <v>107</v>
      </c>
      <c r="H4" s="315">
        <v>4067434133</v>
      </c>
      <c r="I4" s="315"/>
      <c r="J4" s="315"/>
      <c r="K4" s="317"/>
    </row>
    <row r="5" spans="1:31" x14ac:dyDescent="0.35">
      <c r="B5" s="224" t="s">
        <v>109</v>
      </c>
      <c r="C5" s="8"/>
      <c r="D5" s="316" t="s">
        <v>476</v>
      </c>
      <c r="E5" s="316"/>
      <c r="F5" s="316"/>
      <c r="G5" s="27" t="s">
        <v>108</v>
      </c>
      <c r="H5" s="316" t="s">
        <v>119</v>
      </c>
      <c r="I5" s="316"/>
      <c r="J5" s="316"/>
      <c r="K5" s="318"/>
    </row>
    <row r="6" spans="1:31" x14ac:dyDescent="0.35">
      <c r="B6" s="224" t="s">
        <v>110</v>
      </c>
      <c r="C6" s="8"/>
      <c r="D6" s="326">
        <v>0.44</v>
      </c>
      <c r="E6" s="327"/>
      <c r="F6" s="327"/>
      <c r="G6" s="26" t="s">
        <v>111</v>
      </c>
      <c r="H6" s="326">
        <v>0.23</v>
      </c>
      <c r="I6" s="327"/>
      <c r="J6" s="327"/>
      <c r="K6" s="328"/>
    </row>
    <row r="7" spans="1:31" ht="50" customHeight="1" x14ac:dyDescent="0.35">
      <c r="B7" s="329" t="s">
        <v>117</v>
      </c>
      <c r="C7" s="8"/>
      <c r="D7" s="332" t="s">
        <v>113</v>
      </c>
      <c r="E7" s="333"/>
      <c r="F7" s="333"/>
      <c r="G7" s="332" t="s">
        <v>378</v>
      </c>
      <c r="H7" s="332"/>
      <c r="I7" s="332"/>
      <c r="J7" s="332"/>
      <c r="K7" s="334"/>
    </row>
    <row r="8" spans="1:31" ht="143" customHeight="1" x14ac:dyDescent="0.35">
      <c r="B8" s="330"/>
      <c r="C8" s="28"/>
      <c r="D8" s="332" t="s">
        <v>373</v>
      </c>
      <c r="E8" s="332"/>
      <c r="F8" s="332"/>
      <c r="G8" s="332" t="s">
        <v>375</v>
      </c>
      <c r="H8" s="332"/>
      <c r="I8" s="332"/>
      <c r="J8" s="332"/>
      <c r="K8" s="334"/>
    </row>
    <row r="9" spans="1:31" ht="82.5" customHeight="1" thickBot="1" x14ac:dyDescent="0.4">
      <c r="B9" s="331"/>
      <c r="C9" s="148"/>
      <c r="D9" s="335" t="s">
        <v>377</v>
      </c>
      <c r="E9" s="336"/>
      <c r="F9" s="336"/>
      <c r="G9" s="336" t="s">
        <v>376</v>
      </c>
      <c r="H9" s="336"/>
      <c r="I9" s="336"/>
      <c r="J9" s="336"/>
      <c r="K9" s="337"/>
    </row>
    <row r="10" spans="1:31" x14ac:dyDescent="0.35">
      <c r="B10" s="1"/>
      <c r="C10" s="1"/>
      <c r="D10" s="319"/>
      <c r="E10" s="319"/>
      <c r="F10" s="319"/>
      <c r="G10" s="319"/>
      <c r="H10" s="319"/>
      <c r="I10" s="319"/>
      <c r="J10" s="319"/>
    </row>
    <row r="11" spans="1:31" ht="15" thickBot="1" x14ac:dyDescent="0.4"/>
    <row r="12" spans="1:31" ht="14.5" customHeight="1" thickBot="1" x14ac:dyDescent="0.4">
      <c r="B12" s="320" t="s">
        <v>382</v>
      </c>
      <c r="C12" s="321"/>
      <c r="D12" s="321"/>
      <c r="E12" s="321"/>
      <c r="F12" s="321"/>
      <c r="G12" s="321"/>
      <c r="H12" s="321"/>
      <c r="I12" s="321"/>
      <c r="J12" s="322"/>
      <c r="K12" s="377" t="s">
        <v>105</v>
      </c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8"/>
      <c r="Y12" s="378"/>
      <c r="Z12" s="378"/>
      <c r="AA12" s="378"/>
      <c r="AB12" s="378"/>
      <c r="AC12" s="378"/>
      <c r="AD12" s="379"/>
    </row>
    <row r="13" spans="1:31" s="3" customFormat="1" ht="39.5" thickBot="1" x14ac:dyDescent="0.35">
      <c r="A13" s="2" t="s">
        <v>0</v>
      </c>
      <c r="B13" s="50" t="s">
        <v>1</v>
      </c>
      <c r="C13" s="51" t="s">
        <v>2</v>
      </c>
      <c r="D13" s="51" t="s">
        <v>3</v>
      </c>
      <c r="E13" s="51" t="s">
        <v>4</v>
      </c>
      <c r="F13" s="51" t="s">
        <v>5</v>
      </c>
      <c r="G13" s="51" t="s">
        <v>6</v>
      </c>
      <c r="H13" s="51" t="s">
        <v>7</v>
      </c>
      <c r="I13" s="51" t="s">
        <v>8</v>
      </c>
      <c r="J13" s="52" t="s">
        <v>9</v>
      </c>
      <c r="K13" s="43">
        <v>44774</v>
      </c>
      <c r="L13" s="43">
        <v>44805</v>
      </c>
      <c r="M13" s="43">
        <v>44835</v>
      </c>
      <c r="N13" s="43">
        <v>44866</v>
      </c>
      <c r="O13" s="43">
        <v>44896</v>
      </c>
      <c r="P13" s="43">
        <v>44927</v>
      </c>
      <c r="Q13" s="43">
        <v>44958</v>
      </c>
      <c r="R13" s="43">
        <v>44986</v>
      </c>
      <c r="S13" s="43">
        <v>45017</v>
      </c>
      <c r="T13" s="43">
        <v>45047</v>
      </c>
      <c r="U13" s="43">
        <v>45078</v>
      </c>
      <c r="V13" s="43">
        <v>45108</v>
      </c>
      <c r="W13" s="43">
        <v>45139</v>
      </c>
      <c r="X13" s="43">
        <v>45170</v>
      </c>
      <c r="Y13" s="43">
        <v>45200</v>
      </c>
      <c r="Z13" s="43">
        <v>45231</v>
      </c>
      <c r="AA13" s="43">
        <v>45261</v>
      </c>
      <c r="AB13" s="43">
        <v>45292</v>
      </c>
      <c r="AC13" s="43">
        <v>45323</v>
      </c>
      <c r="AD13" s="44">
        <v>45352</v>
      </c>
      <c r="AE13" s="195" t="s">
        <v>7</v>
      </c>
    </row>
    <row r="14" spans="1:31" s="104" customFormat="1" ht="52" customHeight="1" x14ac:dyDescent="0.3">
      <c r="A14" s="53" t="s">
        <v>94</v>
      </c>
      <c r="B14" s="580" t="s">
        <v>379</v>
      </c>
      <c r="C14" s="570" t="s">
        <v>379</v>
      </c>
      <c r="D14" s="574" t="s">
        <v>96</v>
      </c>
      <c r="E14" s="578">
        <v>44771</v>
      </c>
      <c r="F14" s="578">
        <v>45379</v>
      </c>
      <c r="G14" s="590">
        <v>3955818133</v>
      </c>
      <c r="H14" s="590">
        <v>3955818133</v>
      </c>
      <c r="I14" s="103"/>
      <c r="J14" s="584" t="s">
        <v>97</v>
      </c>
      <c r="K14" s="106">
        <v>228864680</v>
      </c>
      <c r="L14" s="107">
        <v>0</v>
      </c>
      <c r="M14" s="107">
        <v>199231998</v>
      </c>
      <c r="N14" s="107">
        <v>265992514</v>
      </c>
      <c r="O14" s="107">
        <v>209477000</v>
      </c>
      <c r="P14" s="107">
        <v>92833000</v>
      </c>
      <c r="Q14" s="107">
        <v>173425400</v>
      </c>
      <c r="R14" s="107">
        <v>101444320</v>
      </c>
      <c r="S14" s="107">
        <v>167576160</v>
      </c>
      <c r="T14" s="107">
        <v>292090880</v>
      </c>
      <c r="U14" s="107">
        <v>278359680</v>
      </c>
      <c r="V14" s="107">
        <v>140113760</v>
      </c>
      <c r="W14" s="107">
        <v>194104640</v>
      </c>
      <c r="X14" s="107">
        <v>293024800</v>
      </c>
      <c r="Y14" s="107">
        <v>292090880</v>
      </c>
      <c r="Z14" s="107">
        <v>278359680</v>
      </c>
      <c r="AA14" s="107">
        <v>70523840</v>
      </c>
      <c r="AB14" s="107">
        <v>110783520</v>
      </c>
      <c r="AC14" s="107">
        <v>292090880</v>
      </c>
      <c r="AD14" s="108">
        <v>275430501</v>
      </c>
      <c r="AE14" s="214">
        <f>SUM(K14:AD14)</f>
        <v>3955818133</v>
      </c>
    </row>
    <row r="15" spans="1:31" s="104" customFormat="1" ht="13" x14ac:dyDescent="0.3">
      <c r="A15" s="53"/>
      <c r="B15" s="581"/>
      <c r="C15" s="571"/>
      <c r="D15" s="575"/>
      <c r="E15" s="579"/>
      <c r="F15" s="579"/>
      <c r="G15" s="591"/>
      <c r="H15" s="591"/>
      <c r="I15" s="54"/>
      <c r="J15" s="585"/>
      <c r="K15" s="173"/>
      <c r="L15" s="170"/>
      <c r="M15" s="170">
        <v>428096678</v>
      </c>
      <c r="N15" s="170">
        <v>265992514</v>
      </c>
      <c r="O15" s="170">
        <v>209477000</v>
      </c>
      <c r="P15" s="170">
        <v>92833000</v>
      </c>
      <c r="Q15" s="170">
        <v>173425400</v>
      </c>
      <c r="R15" s="170">
        <v>101444320</v>
      </c>
      <c r="S15" s="170">
        <v>167576160</v>
      </c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302"/>
      <c r="AE15" s="215">
        <f t="shared" ref="AE15:AE19" si="0">SUM(K15:AD15)</f>
        <v>1438845072</v>
      </c>
    </row>
    <row r="16" spans="1:31" s="104" customFormat="1" ht="26" customHeight="1" x14ac:dyDescent="0.3">
      <c r="A16" s="53"/>
      <c r="B16" s="594" t="s">
        <v>380</v>
      </c>
      <c r="C16" s="572" t="s">
        <v>380</v>
      </c>
      <c r="D16" s="576" t="s">
        <v>96</v>
      </c>
      <c r="E16" s="588">
        <v>44771</v>
      </c>
      <c r="F16" s="588">
        <v>45379</v>
      </c>
      <c r="G16" s="592">
        <v>13432832</v>
      </c>
      <c r="H16" s="592">
        <v>13432832</v>
      </c>
      <c r="I16" s="55"/>
      <c r="J16" s="586" t="s">
        <v>135</v>
      </c>
      <c r="K16" s="218">
        <v>0</v>
      </c>
      <c r="L16" s="217">
        <v>0</v>
      </c>
      <c r="M16" s="217">
        <v>1918976</v>
      </c>
      <c r="N16" s="217">
        <v>0</v>
      </c>
      <c r="O16" s="217">
        <v>0</v>
      </c>
      <c r="P16" s="217">
        <v>1918976</v>
      </c>
      <c r="Q16" s="217">
        <v>0</v>
      </c>
      <c r="R16" s="217">
        <v>0</v>
      </c>
      <c r="S16" s="217">
        <v>1918976</v>
      </c>
      <c r="T16" s="217">
        <v>0</v>
      </c>
      <c r="U16" s="217">
        <v>0</v>
      </c>
      <c r="V16" s="217">
        <v>1918976</v>
      </c>
      <c r="W16" s="217">
        <v>0</v>
      </c>
      <c r="X16" s="217">
        <v>0</v>
      </c>
      <c r="Y16" s="217">
        <v>1918976</v>
      </c>
      <c r="Z16" s="217">
        <v>0</v>
      </c>
      <c r="AA16" s="217">
        <v>0</v>
      </c>
      <c r="AB16" s="217">
        <v>1918976</v>
      </c>
      <c r="AC16" s="217">
        <v>0</v>
      </c>
      <c r="AD16" s="219">
        <v>1918976</v>
      </c>
      <c r="AE16" s="215">
        <f t="shared" si="0"/>
        <v>13432832</v>
      </c>
    </row>
    <row r="17" spans="1:31" s="104" customFormat="1" ht="13" x14ac:dyDescent="0.3">
      <c r="A17" s="53"/>
      <c r="B17" s="595"/>
      <c r="C17" s="571"/>
      <c r="D17" s="575"/>
      <c r="E17" s="579"/>
      <c r="F17" s="579"/>
      <c r="G17" s="591"/>
      <c r="H17" s="591"/>
      <c r="I17" s="55"/>
      <c r="J17" s="585"/>
      <c r="K17" s="173"/>
      <c r="L17" s="170"/>
      <c r="M17" s="170">
        <v>1918976</v>
      </c>
      <c r="N17" s="170"/>
      <c r="O17" s="170"/>
      <c r="P17" s="170">
        <v>1918976</v>
      </c>
      <c r="Q17" s="170"/>
      <c r="R17" s="170"/>
      <c r="S17" s="170">
        <v>1918976</v>
      </c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5"/>
      <c r="AE17" s="215">
        <f t="shared" si="0"/>
        <v>5756928</v>
      </c>
    </row>
    <row r="18" spans="1:31" s="104" customFormat="1" ht="26" customHeight="1" x14ac:dyDescent="0.3">
      <c r="A18" s="53" t="s">
        <v>94</v>
      </c>
      <c r="B18" s="582" t="s">
        <v>381</v>
      </c>
      <c r="C18" s="572" t="s">
        <v>381</v>
      </c>
      <c r="D18" s="576" t="s">
        <v>96</v>
      </c>
      <c r="E18" s="588">
        <v>44771</v>
      </c>
      <c r="F18" s="588">
        <v>45379</v>
      </c>
      <c r="G18" s="592">
        <v>111616000</v>
      </c>
      <c r="H18" s="592">
        <v>111616000</v>
      </c>
      <c r="I18" s="55"/>
      <c r="J18" s="586" t="s">
        <v>97</v>
      </c>
      <c r="K18" s="218">
        <v>4005000</v>
      </c>
      <c r="L18" s="217">
        <v>5450000</v>
      </c>
      <c r="M18" s="217">
        <v>5450000</v>
      </c>
      <c r="N18" s="217">
        <v>5450000</v>
      </c>
      <c r="O18" s="217">
        <v>5450000</v>
      </c>
      <c r="P18" s="217">
        <v>5668000</v>
      </c>
      <c r="Q18" s="217">
        <v>5668000</v>
      </c>
      <c r="R18" s="217">
        <v>5668000</v>
      </c>
      <c r="S18" s="217">
        <v>5668000</v>
      </c>
      <c r="T18" s="217">
        <v>5668000</v>
      </c>
      <c r="U18" s="217">
        <v>5668000</v>
      </c>
      <c r="V18" s="217">
        <v>5668000</v>
      </c>
      <c r="W18" s="217">
        <v>5668000</v>
      </c>
      <c r="X18" s="217">
        <v>5668000</v>
      </c>
      <c r="Y18" s="217">
        <v>5668000</v>
      </c>
      <c r="Z18" s="217">
        <v>5668000</v>
      </c>
      <c r="AA18" s="217">
        <v>5668000</v>
      </c>
      <c r="AB18" s="217">
        <v>5668000</v>
      </c>
      <c r="AC18" s="217">
        <v>5668000</v>
      </c>
      <c r="AD18" s="219">
        <v>6459000</v>
      </c>
      <c r="AE18" s="215">
        <f t="shared" si="0"/>
        <v>111616000</v>
      </c>
    </row>
    <row r="19" spans="1:31" s="49" customFormat="1" ht="15" customHeight="1" thickBot="1" x14ac:dyDescent="0.35">
      <c r="A19" s="53"/>
      <c r="B19" s="583"/>
      <c r="C19" s="573"/>
      <c r="D19" s="577"/>
      <c r="E19" s="589"/>
      <c r="F19" s="589"/>
      <c r="G19" s="593"/>
      <c r="H19" s="593"/>
      <c r="I19" s="105"/>
      <c r="J19" s="587"/>
      <c r="K19" s="174">
        <v>4005000</v>
      </c>
      <c r="L19" s="131">
        <v>5450000</v>
      </c>
      <c r="M19" s="131">
        <v>5450000</v>
      </c>
      <c r="N19" s="131">
        <v>5450000</v>
      </c>
      <c r="O19" s="131">
        <v>5450000</v>
      </c>
      <c r="P19" s="131">
        <v>5668000</v>
      </c>
      <c r="Q19" s="131">
        <v>5668000</v>
      </c>
      <c r="R19" s="131">
        <v>5668000</v>
      </c>
      <c r="S19" s="131">
        <v>5668000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20"/>
      <c r="AE19" s="216">
        <f t="shared" si="0"/>
        <v>48477000</v>
      </c>
    </row>
    <row r="20" spans="1:31" ht="27" thickBot="1" x14ac:dyDescent="0.4">
      <c r="B20" s="145" t="s">
        <v>383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28"/>
    </row>
    <row r="21" spans="1:31" x14ac:dyDescent="0.35">
      <c r="B21" s="14" t="s">
        <v>101</v>
      </c>
    </row>
    <row r="22" spans="1:31" ht="15" thickBot="1" x14ac:dyDescent="0.4">
      <c r="B22" s="15" t="s">
        <v>100</v>
      </c>
    </row>
  </sheetData>
  <sheetProtection algorithmName="SHA-512" hashValue="8pzXsZ3BALfAW8Py88uQfsPsKsVVHjsmYacwI4/h4GyZOkoVsv35flBeIpSIXLjXm8s3VEijO6OYnn1fYzArrA==" saltValue="7OzQLWh6yw3ikVj64Na2sw==" spinCount="100000" sheet="1" objects="1" scenarios="1"/>
  <mergeCells count="43">
    <mergeCell ref="D2:K2"/>
    <mergeCell ref="D3:K3"/>
    <mergeCell ref="D4:F4"/>
    <mergeCell ref="H4:K4"/>
    <mergeCell ref="D5:F5"/>
    <mergeCell ref="H5:K5"/>
    <mergeCell ref="D6:F6"/>
    <mergeCell ref="H6:K6"/>
    <mergeCell ref="B7:B9"/>
    <mergeCell ref="D7:F7"/>
    <mergeCell ref="G7:K7"/>
    <mergeCell ref="D8:F8"/>
    <mergeCell ref="G8:K8"/>
    <mergeCell ref="D9:F9"/>
    <mergeCell ref="G9:K9"/>
    <mergeCell ref="B18:B19"/>
    <mergeCell ref="D10:F10"/>
    <mergeCell ref="G10:J10"/>
    <mergeCell ref="B12:J12"/>
    <mergeCell ref="B14:B15"/>
    <mergeCell ref="B16:B17"/>
    <mergeCell ref="F14:F15"/>
    <mergeCell ref="F16:F17"/>
    <mergeCell ref="E16:E17"/>
    <mergeCell ref="E18:E19"/>
    <mergeCell ref="F18:F19"/>
    <mergeCell ref="J14:J15"/>
    <mergeCell ref="J16:J17"/>
    <mergeCell ref="J18:J19"/>
    <mergeCell ref="G14:G15"/>
    <mergeCell ref="G16:G17"/>
    <mergeCell ref="K12:AD12"/>
    <mergeCell ref="C14:C15"/>
    <mergeCell ref="C16:C17"/>
    <mergeCell ref="C18:C19"/>
    <mergeCell ref="D14:D15"/>
    <mergeCell ref="D16:D17"/>
    <mergeCell ref="D18:D19"/>
    <mergeCell ref="E14:E15"/>
    <mergeCell ref="G18:G19"/>
    <mergeCell ref="H14:H15"/>
    <mergeCell ref="H16:H17"/>
    <mergeCell ref="H18:H19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3"/>
  <sheetViews>
    <sheetView showGridLines="0" topLeftCell="B8" workbookViewId="0">
      <selection activeCell="AU13" sqref="AU13"/>
    </sheetView>
  </sheetViews>
  <sheetFormatPr baseColWidth="10" defaultRowHeight="14.5" x14ac:dyDescent="0.35"/>
  <cols>
    <col min="1" max="1" width="43.6328125" hidden="1" customWidth="1"/>
    <col min="2" max="2" width="35.453125" customWidth="1"/>
    <col min="3" max="3" width="43.6328125" hidden="1" customWidth="1"/>
    <col min="4" max="4" width="7.26953125" bestFit="1" customWidth="1"/>
    <col min="5" max="5" width="10.54296875" customWidth="1"/>
    <col min="6" max="6" width="13.81640625" customWidth="1"/>
    <col min="7" max="7" width="20.54296875" customWidth="1"/>
    <col min="8" max="8" width="16.26953125" customWidth="1"/>
    <col min="9" max="9" width="9.08984375" hidden="1" customWidth="1"/>
    <col min="10" max="10" width="10.08984375" customWidth="1"/>
    <col min="11" max="11" width="7.1796875" bestFit="1" customWidth="1"/>
    <col min="12" max="12" width="11.81640625" bestFit="1" customWidth="1"/>
    <col min="13" max="14" width="12.6328125" bestFit="1" customWidth="1"/>
    <col min="15" max="17" width="7.1796875" bestFit="1" customWidth="1"/>
    <col min="18" max="18" width="13.453125" bestFit="1" customWidth="1"/>
    <col min="19" max="21" width="7.1796875" bestFit="1" customWidth="1"/>
    <col min="22" max="22" width="13.453125" bestFit="1" customWidth="1"/>
    <col min="23" max="26" width="7.1796875" bestFit="1" customWidth="1"/>
    <col min="27" max="27" width="13.453125" bestFit="1" customWidth="1"/>
    <col min="28" max="30" width="7.1796875" bestFit="1" customWidth="1"/>
    <col min="31" max="32" width="10.54296875" bestFit="1" customWidth="1"/>
    <col min="33" max="33" width="13.453125" bestFit="1" customWidth="1"/>
    <col min="34" max="37" width="10.54296875" bestFit="1" customWidth="1"/>
    <col min="38" max="38" width="13.453125" bestFit="1" customWidth="1"/>
    <col min="39" max="39" width="12.6328125" bestFit="1" customWidth="1"/>
    <col min="40" max="43" width="10.54296875" bestFit="1" customWidth="1"/>
    <col min="44" max="44" width="11.7265625" bestFit="1" customWidth="1"/>
    <col min="45" max="45" width="13.453125" bestFit="1" customWidth="1"/>
    <col min="46" max="46" width="12.6328125" bestFit="1" customWidth="1"/>
    <col min="47" max="48" width="10.54296875" bestFit="1" customWidth="1"/>
    <col min="49" max="49" width="12.6328125" bestFit="1" customWidth="1"/>
    <col min="50" max="93" width="11.81640625" bestFit="1" customWidth="1"/>
    <col min="94" max="94" width="13.453125" bestFit="1" customWidth="1"/>
    <col min="95" max="95" width="14.6328125" hidden="1" customWidth="1"/>
    <col min="96" max="96" width="17.7265625" bestFit="1" customWidth="1"/>
  </cols>
  <sheetData>
    <row r="1" spans="1:96" ht="15" thickBot="1" x14ac:dyDescent="0.4">
      <c r="B1" s="35"/>
    </row>
    <row r="2" spans="1:96" x14ac:dyDescent="0.35">
      <c r="B2" s="251" t="s">
        <v>102</v>
      </c>
      <c r="C2" s="222"/>
      <c r="D2" s="311">
        <v>2019000100044</v>
      </c>
      <c r="E2" s="311"/>
      <c r="F2" s="311"/>
      <c r="G2" s="311"/>
      <c r="H2" s="311"/>
      <c r="I2" s="311"/>
      <c r="J2" s="312"/>
    </row>
    <row r="3" spans="1:96" x14ac:dyDescent="0.35">
      <c r="B3" s="223" t="s">
        <v>103</v>
      </c>
      <c r="C3" s="7"/>
      <c r="D3" s="313" t="s">
        <v>104</v>
      </c>
      <c r="E3" s="313"/>
      <c r="F3" s="313"/>
      <c r="G3" s="313"/>
      <c r="H3" s="313"/>
      <c r="I3" s="313"/>
      <c r="J3" s="314"/>
    </row>
    <row r="4" spans="1:96" x14ac:dyDescent="0.35">
      <c r="B4" s="223" t="s">
        <v>106</v>
      </c>
      <c r="C4" s="8"/>
      <c r="D4" s="315">
        <v>1443625000</v>
      </c>
      <c r="E4" s="316"/>
      <c r="F4" s="316"/>
      <c r="G4" s="27" t="s">
        <v>107</v>
      </c>
      <c r="H4" s="315">
        <v>1443625000</v>
      </c>
      <c r="I4" s="316"/>
      <c r="J4" s="318"/>
    </row>
    <row r="5" spans="1:96" x14ac:dyDescent="0.35">
      <c r="B5" s="223" t="s">
        <v>109</v>
      </c>
      <c r="C5" s="8"/>
      <c r="D5" s="316" t="s">
        <v>118</v>
      </c>
      <c r="E5" s="316"/>
      <c r="F5" s="316"/>
      <c r="G5" s="27" t="s">
        <v>108</v>
      </c>
      <c r="H5" s="316" t="s">
        <v>119</v>
      </c>
      <c r="I5" s="316"/>
      <c r="J5" s="318"/>
    </row>
    <row r="6" spans="1:96" x14ac:dyDescent="0.35">
      <c r="B6" s="223" t="s">
        <v>110</v>
      </c>
      <c r="C6" s="8"/>
      <c r="D6" s="345">
        <v>0.69</v>
      </c>
      <c r="E6" s="346"/>
      <c r="F6" s="346"/>
      <c r="G6" s="26" t="s">
        <v>111</v>
      </c>
      <c r="H6" s="345">
        <v>0.69</v>
      </c>
      <c r="I6" s="346"/>
      <c r="J6" s="349"/>
    </row>
    <row r="7" spans="1:96" ht="89" customHeight="1" x14ac:dyDescent="0.35">
      <c r="B7" s="347" t="s">
        <v>117</v>
      </c>
      <c r="C7" s="8"/>
      <c r="D7" s="332" t="s">
        <v>113</v>
      </c>
      <c r="E7" s="333"/>
      <c r="F7" s="333"/>
      <c r="G7" s="332" t="s">
        <v>114</v>
      </c>
      <c r="H7" s="333"/>
      <c r="I7" s="333"/>
      <c r="J7" s="350"/>
    </row>
    <row r="8" spans="1:96" ht="147.5" customHeight="1" x14ac:dyDescent="0.35">
      <c r="B8" s="347"/>
      <c r="C8" s="8"/>
      <c r="D8" s="332" t="s">
        <v>116</v>
      </c>
      <c r="E8" s="332"/>
      <c r="F8" s="332"/>
      <c r="G8" s="332" t="s">
        <v>115</v>
      </c>
      <c r="H8" s="332"/>
      <c r="I8" s="332"/>
      <c r="J8" s="334"/>
    </row>
    <row r="9" spans="1:96" ht="98" customHeight="1" thickBot="1" x14ac:dyDescent="0.4">
      <c r="B9" s="348"/>
      <c r="C9" s="148"/>
      <c r="D9" s="335" t="s">
        <v>121</v>
      </c>
      <c r="E9" s="336"/>
      <c r="F9" s="336"/>
      <c r="G9" s="336" t="s">
        <v>122</v>
      </c>
      <c r="H9" s="336"/>
      <c r="I9" s="336"/>
      <c r="J9" s="337"/>
    </row>
    <row r="10" spans="1:96" x14ac:dyDescent="0.35">
      <c r="B10" s="1"/>
      <c r="C10" s="1"/>
      <c r="D10" s="319"/>
      <c r="E10" s="319"/>
      <c r="F10" s="319"/>
      <c r="G10" s="319"/>
      <c r="H10" s="319"/>
      <c r="I10" s="319"/>
      <c r="J10" s="319"/>
    </row>
    <row r="11" spans="1:96" ht="15" thickBot="1" x14ac:dyDescent="0.4"/>
    <row r="12" spans="1:96" ht="14.5" customHeight="1" thickBot="1" x14ac:dyDescent="0.4">
      <c r="B12" s="320" t="s">
        <v>382</v>
      </c>
      <c r="C12" s="321"/>
      <c r="D12" s="321"/>
      <c r="E12" s="321"/>
      <c r="F12" s="321"/>
      <c r="G12" s="321"/>
      <c r="H12" s="321"/>
      <c r="I12" s="321"/>
      <c r="J12" s="322"/>
      <c r="K12" s="323" t="s">
        <v>105</v>
      </c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4"/>
      <c r="BP12" s="324"/>
      <c r="BQ12" s="324"/>
      <c r="BR12" s="324"/>
      <c r="BS12" s="324"/>
      <c r="BT12" s="324"/>
      <c r="BU12" s="324"/>
      <c r="BV12" s="324"/>
      <c r="BW12" s="324"/>
      <c r="BX12" s="324"/>
      <c r="BY12" s="324"/>
      <c r="BZ12" s="324"/>
      <c r="CA12" s="324"/>
      <c r="CB12" s="324"/>
      <c r="CC12" s="324"/>
      <c r="CD12" s="324"/>
      <c r="CE12" s="324"/>
      <c r="CF12" s="324"/>
      <c r="CG12" s="324"/>
      <c r="CH12" s="324"/>
      <c r="CI12" s="324"/>
      <c r="CJ12" s="324"/>
      <c r="CK12" s="324"/>
      <c r="CL12" s="324"/>
      <c r="CM12" s="324"/>
      <c r="CN12" s="324"/>
      <c r="CO12" s="324"/>
      <c r="CP12" s="325"/>
    </row>
    <row r="13" spans="1:96" s="3" customFormat="1" ht="39.5" thickBot="1" x14ac:dyDescent="0.35">
      <c r="A13" s="2" t="s">
        <v>0</v>
      </c>
      <c r="B13" s="21" t="s">
        <v>1</v>
      </c>
      <c r="C13" s="22" t="s">
        <v>2</v>
      </c>
      <c r="D13" s="22" t="s">
        <v>3</v>
      </c>
      <c r="E13" s="22" t="s">
        <v>4</v>
      </c>
      <c r="F13" s="22" t="s">
        <v>5</v>
      </c>
      <c r="G13" s="22" t="s">
        <v>6</v>
      </c>
      <c r="H13" s="22" t="s">
        <v>7</v>
      </c>
      <c r="I13" s="22" t="s">
        <v>8</v>
      </c>
      <c r="J13" s="23" t="s">
        <v>9</v>
      </c>
      <c r="K13" s="21" t="s">
        <v>10</v>
      </c>
      <c r="L13" s="22" t="s">
        <v>11</v>
      </c>
      <c r="M13" s="22" t="s">
        <v>12</v>
      </c>
      <c r="N13" s="22" t="s">
        <v>13</v>
      </c>
      <c r="O13" s="22" t="s">
        <v>14</v>
      </c>
      <c r="P13" s="22" t="s">
        <v>15</v>
      </c>
      <c r="Q13" s="22" t="s">
        <v>16</v>
      </c>
      <c r="R13" s="22" t="s">
        <v>17</v>
      </c>
      <c r="S13" s="22" t="s">
        <v>18</v>
      </c>
      <c r="T13" s="22" t="s">
        <v>19</v>
      </c>
      <c r="U13" s="22" t="s">
        <v>20</v>
      </c>
      <c r="V13" s="22" t="s">
        <v>21</v>
      </c>
      <c r="W13" s="22" t="s">
        <v>22</v>
      </c>
      <c r="X13" s="22" t="s">
        <v>23</v>
      </c>
      <c r="Y13" s="22" t="s">
        <v>24</v>
      </c>
      <c r="Z13" s="22" t="s">
        <v>25</v>
      </c>
      <c r="AA13" s="22" t="s">
        <v>26</v>
      </c>
      <c r="AB13" s="22" t="s">
        <v>27</v>
      </c>
      <c r="AC13" s="22" t="s">
        <v>28</v>
      </c>
      <c r="AD13" s="22" t="s">
        <v>29</v>
      </c>
      <c r="AE13" s="22" t="s">
        <v>30</v>
      </c>
      <c r="AF13" s="22" t="s">
        <v>31</v>
      </c>
      <c r="AG13" s="22" t="s">
        <v>32</v>
      </c>
      <c r="AH13" s="22" t="s">
        <v>33</v>
      </c>
      <c r="AI13" s="22" t="s">
        <v>34</v>
      </c>
      <c r="AJ13" s="22" t="s">
        <v>35</v>
      </c>
      <c r="AK13" s="22" t="s">
        <v>36</v>
      </c>
      <c r="AL13" s="22" t="s">
        <v>37</v>
      </c>
      <c r="AM13" s="22" t="s">
        <v>38</v>
      </c>
      <c r="AN13" s="22" t="s">
        <v>39</v>
      </c>
      <c r="AO13" s="22" t="s">
        <v>40</v>
      </c>
      <c r="AP13" s="22" t="s">
        <v>41</v>
      </c>
      <c r="AQ13" s="22" t="s">
        <v>42</v>
      </c>
      <c r="AR13" s="22" t="s">
        <v>43</v>
      </c>
      <c r="AS13" s="22" t="s">
        <v>44</v>
      </c>
      <c r="AT13" s="22" t="s">
        <v>45</v>
      </c>
      <c r="AU13" s="22" t="s">
        <v>46</v>
      </c>
      <c r="AV13" s="22" t="s">
        <v>47</v>
      </c>
      <c r="AW13" s="22" t="s">
        <v>48</v>
      </c>
      <c r="AX13" s="22" t="s">
        <v>49</v>
      </c>
      <c r="AY13" s="22" t="s">
        <v>50</v>
      </c>
      <c r="AZ13" s="22" t="s">
        <v>51</v>
      </c>
      <c r="BA13" s="22" t="s">
        <v>52</v>
      </c>
      <c r="BB13" s="22" t="s">
        <v>53</v>
      </c>
      <c r="BC13" s="22" t="s">
        <v>54</v>
      </c>
      <c r="BD13" s="22" t="s">
        <v>55</v>
      </c>
      <c r="BE13" s="22" t="s">
        <v>56</v>
      </c>
      <c r="BF13" s="22" t="s">
        <v>57</v>
      </c>
      <c r="BG13" s="22" t="s">
        <v>58</v>
      </c>
      <c r="BH13" s="22" t="s">
        <v>59</v>
      </c>
      <c r="BI13" s="22" t="s">
        <v>60</v>
      </c>
      <c r="BJ13" s="22" t="s">
        <v>61</v>
      </c>
      <c r="BK13" s="22" t="s">
        <v>62</v>
      </c>
      <c r="BL13" s="22" t="s">
        <v>63</v>
      </c>
      <c r="BM13" s="22" t="s">
        <v>64</v>
      </c>
      <c r="BN13" s="22" t="s">
        <v>65</v>
      </c>
      <c r="BO13" s="22" t="s">
        <v>66</v>
      </c>
      <c r="BP13" s="22" t="s">
        <v>67</v>
      </c>
      <c r="BQ13" s="22" t="s">
        <v>68</v>
      </c>
      <c r="BR13" s="22" t="s">
        <v>69</v>
      </c>
      <c r="BS13" s="22" t="s">
        <v>70</v>
      </c>
      <c r="BT13" s="22" t="s">
        <v>71</v>
      </c>
      <c r="BU13" s="22" t="s">
        <v>72</v>
      </c>
      <c r="BV13" s="22" t="s">
        <v>73</v>
      </c>
      <c r="BW13" s="22" t="s">
        <v>74</v>
      </c>
      <c r="BX13" s="22" t="s">
        <v>75</v>
      </c>
      <c r="BY13" s="22" t="s">
        <v>76</v>
      </c>
      <c r="BZ13" s="22" t="s">
        <v>77</v>
      </c>
      <c r="CA13" s="22" t="s">
        <v>78</v>
      </c>
      <c r="CB13" s="22" t="s">
        <v>79</v>
      </c>
      <c r="CC13" s="22" t="s">
        <v>80</v>
      </c>
      <c r="CD13" s="22" t="s">
        <v>81</v>
      </c>
      <c r="CE13" s="22" t="s">
        <v>82</v>
      </c>
      <c r="CF13" s="22" t="s">
        <v>83</v>
      </c>
      <c r="CG13" s="22" t="s">
        <v>84</v>
      </c>
      <c r="CH13" s="22" t="s">
        <v>85</v>
      </c>
      <c r="CI13" s="22" t="s">
        <v>86</v>
      </c>
      <c r="CJ13" s="22" t="s">
        <v>87</v>
      </c>
      <c r="CK13" s="22" t="s">
        <v>88</v>
      </c>
      <c r="CL13" s="22" t="s">
        <v>89</v>
      </c>
      <c r="CM13" s="22" t="s">
        <v>90</v>
      </c>
      <c r="CN13" s="22" t="s">
        <v>91</v>
      </c>
      <c r="CO13" s="22" t="s">
        <v>92</v>
      </c>
      <c r="CP13" s="24" t="s">
        <v>93</v>
      </c>
      <c r="CR13" s="185" t="s">
        <v>7</v>
      </c>
    </row>
    <row r="14" spans="1:96" s="3" customFormat="1" ht="13" x14ac:dyDescent="0.3">
      <c r="A14" s="4" t="s">
        <v>94</v>
      </c>
      <c r="B14" s="362" t="s">
        <v>95</v>
      </c>
      <c r="C14" s="16" t="s">
        <v>95</v>
      </c>
      <c r="D14" s="365" t="s">
        <v>96</v>
      </c>
      <c r="E14" s="359">
        <v>43952</v>
      </c>
      <c r="F14" s="359">
        <v>46537</v>
      </c>
      <c r="G14" s="351">
        <v>15000000</v>
      </c>
      <c r="H14" s="351">
        <v>15000000</v>
      </c>
      <c r="I14" s="40">
        <v>0</v>
      </c>
      <c r="J14" s="354" t="s">
        <v>97</v>
      </c>
      <c r="K14" s="17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220000</v>
      </c>
      <c r="AF14" s="18">
        <v>220000</v>
      </c>
      <c r="AG14" s="18">
        <v>220000</v>
      </c>
      <c r="AH14" s="18">
        <v>220000</v>
      </c>
      <c r="AI14" s="18">
        <v>220000</v>
      </c>
      <c r="AJ14" s="18">
        <v>220000</v>
      </c>
      <c r="AK14" s="18">
        <v>220000</v>
      </c>
      <c r="AL14" s="18">
        <v>220000</v>
      </c>
      <c r="AM14" s="18">
        <v>220000</v>
      </c>
      <c r="AN14" s="18">
        <v>220000</v>
      </c>
      <c r="AO14" s="18">
        <v>220000</v>
      </c>
      <c r="AP14" s="18">
        <v>220000</v>
      </c>
      <c r="AQ14" s="18">
        <v>220000</v>
      </c>
      <c r="AR14" s="18">
        <v>220000</v>
      </c>
      <c r="AS14" s="18">
        <v>220000</v>
      </c>
      <c r="AT14" s="18">
        <v>220000</v>
      </c>
      <c r="AU14" s="18">
        <v>220000</v>
      </c>
      <c r="AV14" s="18">
        <v>220000</v>
      </c>
      <c r="AW14" s="18">
        <v>220000</v>
      </c>
      <c r="AX14" s="18">
        <v>220000</v>
      </c>
      <c r="AY14" s="18">
        <v>220000</v>
      </c>
      <c r="AZ14" s="18">
        <v>220000</v>
      </c>
      <c r="BA14" s="18">
        <v>220000</v>
      </c>
      <c r="BB14" s="18">
        <v>220000</v>
      </c>
      <c r="BC14" s="18">
        <v>240000</v>
      </c>
      <c r="BD14" s="18">
        <v>240000</v>
      </c>
      <c r="BE14" s="18">
        <v>240000</v>
      </c>
      <c r="BF14" s="18">
        <v>240000</v>
      </c>
      <c r="BG14" s="18">
        <v>240000</v>
      </c>
      <c r="BH14" s="18">
        <v>240000</v>
      </c>
      <c r="BI14" s="18">
        <v>240000</v>
      </c>
      <c r="BJ14" s="18">
        <v>240000</v>
      </c>
      <c r="BK14" s="18">
        <v>240000</v>
      </c>
      <c r="BL14" s="18">
        <v>240000</v>
      </c>
      <c r="BM14" s="18">
        <v>240000</v>
      </c>
      <c r="BN14" s="18">
        <v>240000</v>
      </c>
      <c r="BO14" s="18">
        <v>240000</v>
      </c>
      <c r="BP14" s="18">
        <v>240000</v>
      </c>
      <c r="BQ14" s="18">
        <v>240000</v>
      </c>
      <c r="BR14" s="18">
        <v>240000</v>
      </c>
      <c r="BS14" s="18">
        <v>240000</v>
      </c>
      <c r="BT14" s="18">
        <v>240000</v>
      </c>
      <c r="BU14" s="18">
        <v>240000</v>
      </c>
      <c r="BV14" s="18">
        <v>240000</v>
      </c>
      <c r="BW14" s="18">
        <v>240000</v>
      </c>
      <c r="BX14" s="18">
        <v>240000</v>
      </c>
      <c r="BY14" s="18">
        <v>240000</v>
      </c>
      <c r="BZ14" s="18">
        <v>240000</v>
      </c>
      <c r="CA14" s="18">
        <v>240000</v>
      </c>
      <c r="CB14" s="18">
        <v>240000</v>
      </c>
      <c r="CC14" s="18">
        <v>240000</v>
      </c>
      <c r="CD14" s="18">
        <v>240000</v>
      </c>
      <c r="CE14" s="18">
        <v>250000</v>
      </c>
      <c r="CF14" s="18">
        <v>250000</v>
      </c>
      <c r="CG14" s="18">
        <v>250000</v>
      </c>
      <c r="CH14" s="18">
        <v>250000</v>
      </c>
      <c r="CI14" s="18">
        <v>250000</v>
      </c>
      <c r="CJ14" s="18">
        <v>250000</v>
      </c>
      <c r="CK14" s="18">
        <v>250000</v>
      </c>
      <c r="CL14" s="18">
        <v>250000</v>
      </c>
      <c r="CM14" s="18">
        <v>250000</v>
      </c>
      <c r="CN14" s="18">
        <v>250000</v>
      </c>
      <c r="CO14" s="18">
        <v>250000</v>
      </c>
      <c r="CP14" s="19">
        <v>250000</v>
      </c>
      <c r="CQ14" s="9">
        <f>SUM(K14:CP14)</f>
        <v>15000000</v>
      </c>
      <c r="CR14" s="250">
        <f>SUM(K14:CP14)</f>
        <v>15000000</v>
      </c>
    </row>
    <row r="15" spans="1:96" s="3" customFormat="1" ht="15" customHeight="1" x14ac:dyDescent="0.3">
      <c r="A15" s="6"/>
      <c r="B15" s="363"/>
      <c r="C15" s="239"/>
      <c r="D15" s="366"/>
      <c r="E15" s="360"/>
      <c r="F15" s="360"/>
      <c r="G15" s="352"/>
      <c r="H15" s="352"/>
      <c r="I15" s="238"/>
      <c r="J15" s="355"/>
      <c r="K15" s="244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>
        <v>533333</v>
      </c>
      <c r="AP15" s="243"/>
      <c r="AQ15" s="243"/>
      <c r="AR15" s="243">
        <v>2000000</v>
      </c>
      <c r="AS15" s="243">
        <v>1000000</v>
      </c>
      <c r="AT15" s="243">
        <v>2000000</v>
      </c>
      <c r="AU15" s="243">
        <v>466667</v>
      </c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5"/>
      <c r="CQ15" s="9">
        <f t="shared" ref="CQ15:CQ19" si="0">SUM(K15:CP15)</f>
        <v>6000000</v>
      </c>
      <c r="CR15" s="248">
        <f>SUM(K15:CP15)</f>
        <v>6000000</v>
      </c>
    </row>
    <row r="16" spans="1:96" s="3" customFormat="1" ht="13" x14ac:dyDescent="0.3">
      <c r="A16" s="4" t="s">
        <v>94</v>
      </c>
      <c r="B16" s="363" t="s">
        <v>98</v>
      </c>
      <c r="C16" s="237" t="s">
        <v>98</v>
      </c>
      <c r="D16" s="366" t="s">
        <v>96</v>
      </c>
      <c r="E16" s="360">
        <v>43952</v>
      </c>
      <c r="F16" s="360">
        <v>46537</v>
      </c>
      <c r="G16" s="352">
        <v>1368625000</v>
      </c>
      <c r="H16" s="352">
        <v>1368625000</v>
      </c>
      <c r="I16" s="238">
        <v>0</v>
      </c>
      <c r="J16" s="355" t="s">
        <v>97</v>
      </c>
      <c r="K16" s="246">
        <v>0</v>
      </c>
      <c r="L16" s="242">
        <v>0</v>
      </c>
      <c r="M16" s="242">
        <v>87098212</v>
      </c>
      <c r="N16" s="242">
        <v>44309868</v>
      </c>
      <c r="O16" s="242">
        <v>0</v>
      </c>
      <c r="P16" s="242">
        <v>0</v>
      </c>
      <c r="Q16" s="242">
        <v>0</v>
      </c>
      <c r="R16" s="242">
        <v>146108352</v>
      </c>
      <c r="S16" s="242">
        <v>0</v>
      </c>
      <c r="T16" s="242">
        <v>0</v>
      </c>
      <c r="U16" s="242">
        <v>0</v>
      </c>
      <c r="V16" s="242">
        <v>135110418</v>
      </c>
      <c r="W16" s="242">
        <v>0</v>
      </c>
      <c r="X16" s="242">
        <v>0</v>
      </c>
      <c r="Y16" s="242">
        <v>0</v>
      </c>
      <c r="Z16" s="242">
        <v>0</v>
      </c>
      <c r="AA16" s="242">
        <v>138000000</v>
      </c>
      <c r="AB16" s="242">
        <v>0</v>
      </c>
      <c r="AC16" s="242">
        <v>0</v>
      </c>
      <c r="AD16" s="242">
        <v>0</v>
      </c>
      <c r="AE16" s="242">
        <v>0</v>
      </c>
      <c r="AF16" s="242">
        <v>0</v>
      </c>
      <c r="AG16" s="242">
        <v>140000000</v>
      </c>
      <c r="AH16" s="242">
        <v>0</v>
      </c>
      <c r="AI16" s="242">
        <v>0</v>
      </c>
      <c r="AJ16" s="242">
        <v>0</v>
      </c>
      <c r="AK16" s="242">
        <v>0</v>
      </c>
      <c r="AL16" s="242">
        <v>140000000</v>
      </c>
      <c r="AM16" s="242">
        <v>24000000</v>
      </c>
      <c r="AN16" s="242">
        <v>0</v>
      </c>
      <c r="AO16" s="242"/>
      <c r="AP16" s="242">
        <v>0</v>
      </c>
      <c r="AQ16" s="242">
        <v>0</v>
      </c>
      <c r="AR16" s="242">
        <v>0</v>
      </c>
      <c r="AS16" s="242">
        <v>144000000</v>
      </c>
      <c r="AT16" s="242">
        <v>48000000</v>
      </c>
      <c r="AU16" s="242">
        <v>0</v>
      </c>
      <c r="AV16" s="242">
        <v>0</v>
      </c>
      <c r="AW16" s="242">
        <v>96000000</v>
      </c>
      <c r="AX16" s="242">
        <v>0</v>
      </c>
      <c r="AY16" s="242">
        <v>0</v>
      </c>
      <c r="AZ16" s="242">
        <v>0</v>
      </c>
      <c r="BA16" s="242">
        <v>0</v>
      </c>
      <c r="BB16" s="242">
        <v>0</v>
      </c>
      <c r="BC16" s="242">
        <v>0</v>
      </c>
      <c r="BD16" s="242">
        <v>0</v>
      </c>
      <c r="BE16" s="242">
        <v>0</v>
      </c>
      <c r="BF16" s="242">
        <v>0</v>
      </c>
      <c r="BG16" s="242">
        <v>0</v>
      </c>
      <c r="BH16" s="242">
        <v>0</v>
      </c>
      <c r="BI16" s="242">
        <v>0</v>
      </c>
      <c r="BJ16" s="242">
        <v>0</v>
      </c>
      <c r="BK16" s="242">
        <v>0</v>
      </c>
      <c r="BL16" s="242">
        <v>0</v>
      </c>
      <c r="BM16" s="242">
        <v>0</v>
      </c>
      <c r="BN16" s="242">
        <v>0</v>
      </c>
      <c r="BO16" s="242">
        <v>0</v>
      </c>
      <c r="BP16" s="242">
        <v>0</v>
      </c>
      <c r="BQ16" s="242">
        <v>0</v>
      </c>
      <c r="BR16" s="242">
        <v>0</v>
      </c>
      <c r="BS16" s="242">
        <v>0</v>
      </c>
      <c r="BT16" s="242">
        <v>0</v>
      </c>
      <c r="BU16" s="242">
        <v>0</v>
      </c>
      <c r="BV16" s="242">
        <v>0</v>
      </c>
      <c r="BW16" s="242">
        <v>0</v>
      </c>
      <c r="BX16" s="242">
        <v>0</v>
      </c>
      <c r="BY16" s="242">
        <v>0</v>
      </c>
      <c r="BZ16" s="242">
        <v>0</v>
      </c>
      <c r="CA16" s="242">
        <v>0</v>
      </c>
      <c r="CB16" s="242">
        <v>0</v>
      </c>
      <c r="CC16" s="242">
        <v>0</v>
      </c>
      <c r="CD16" s="242">
        <v>0</v>
      </c>
      <c r="CE16" s="242">
        <v>0</v>
      </c>
      <c r="CF16" s="242">
        <v>0</v>
      </c>
      <c r="CG16" s="242">
        <v>0</v>
      </c>
      <c r="CH16" s="242">
        <v>0</v>
      </c>
      <c r="CI16" s="242">
        <v>0</v>
      </c>
      <c r="CJ16" s="242">
        <v>0</v>
      </c>
      <c r="CK16" s="242">
        <v>0</v>
      </c>
      <c r="CL16" s="242">
        <v>0</v>
      </c>
      <c r="CM16" s="242">
        <v>0</v>
      </c>
      <c r="CN16" s="242">
        <v>0</v>
      </c>
      <c r="CO16" s="242">
        <v>0</v>
      </c>
      <c r="CP16" s="247">
        <v>225998150</v>
      </c>
      <c r="CQ16" s="9">
        <f t="shared" si="0"/>
        <v>1368625000</v>
      </c>
      <c r="CR16" s="248">
        <f t="shared" ref="CR16:CR19" si="1">SUM(K16:CP16)</f>
        <v>1368625000</v>
      </c>
    </row>
    <row r="17" spans="1:96" s="3" customFormat="1" ht="15" customHeight="1" x14ac:dyDescent="0.3">
      <c r="A17" s="6"/>
      <c r="B17" s="363"/>
      <c r="C17" s="239"/>
      <c r="D17" s="366"/>
      <c r="E17" s="360"/>
      <c r="F17" s="360"/>
      <c r="G17" s="352"/>
      <c r="H17" s="352"/>
      <c r="I17" s="238"/>
      <c r="J17" s="355"/>
      <c r="K17" s="244"/>
      <c r="L17" s="243"/>
      <c r="M17" s="243">
        <v>87098212</v>
      </c>
      <c r="N17" s="243">
        <v>44309868</v>
      </c>
      <c r="O17" s="243"/>
      <c r="P17" s="243"/>
      <c r="Q17" s="243"/>
      <c r="R17" s="243">
        <v>146108352</v>
      </c>
      <c r="S17" s="243"/>
      <c r="T17" s="243"/>
      <c r="U17" s="243"/>
      <c r="V17" s="243">
        <v>135110418</v>
      </c>
      <c r="W17" s="243"/>
      <c r="X17" s="243"/>
      <c r="Y17" s="243"/>
      <c r="Z17" s="243"/>
      <c r="AA17" s="243">
        <v>136079506</v>
      </c>
      <c r="AB17" s="243"/>
      <c r="AC17" s="243"/>
      <c r="AD17" s="243"/>
      <c r="AE17" s="243"/>
      <c r="AF17" s="243"/>
      <c r="AG17" s="243">
        <v>139340445</v>
      </c>
      <c r="AH17" s="243"/>
      <c r="AI17" s="243"/>
      <c r="AJ17" s="243"/>
      <c r="AK17" s="243"/>
      <c r="AL17" s="243">
        <v>139773800</v>
      </c>
      <c r="AM17" s="243"/>
      <c r="AN17" s="243"/>
      <c r="AO17" s="243"/>
      <c r="AP17" s="243"/>
      <c r="AQ17" s="243"/>
      <c r="AR17" s="243"/>
      <c r="AS17" s="243">
        <v>161851733</v>
      </c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5"/>
      <c r="CQ17" s="9">
        <f t="shared" si="0"/>
        <v>989672334</v>
      </c>
      <c r="CR17" s="248">
        <f t="shared" si="1"/>
        <v>989672334</v>
      </c>
    </row>
    <row r="18" spans="1:96" s="3" customFormat="1" ht="26" x14ac:dyDescent="0.3">
      <c r="A18" s="5" t="s">
        <v>94</v>
      </c>
      <c r="B18" s="363" t="s">
        <v>99</v>
      </c>
      <c r="C18" s="237" t="s">
        <v>99</v>
      </c>
      <c r="D18" s="366" t="s">
        <v>96</v>
      </c>
      <c r="E18" s="360">
        <v>43952</v>
      </c>
      <c r="F18" s="360">
        <v>46537</v>
      </c>
      <c r="G18" s="352">
        <v>60000000</v>
      </c>
      <c r="H18" s="352">
        <v>60000000</v>
      </c>
      <c r="I18" s="238">
        <v>0</v>
      </c>
      <c r="J18" s="355" t="s">
        <v>97</v>
      </c>
      <c r="K18" s="246">
        <v>0</v>
      </c>
      <c r="L18" s="242">
        <v>1785000</v>
      </c>
      <c r="M18" s="242">
        <v>297500</v>
      </c>
      <c r="N18" s="242">
        <v>0</v>
      </c>
      <c r="O18" s="242">
        <v>0</v>
      </c>
      <c r="P18" s="242">
        <v>0</v>
      </c>
      <c r="Q18" s="242">
        <v>0</v>
      </c>
      <c r="R18" s="242">
        <v>0</v>
      </c>
      <c r="S18" s="242">
        <v>0</v>
      </c>
      <c r="T18" s="242">
        <v>0</v>
      </c>
      <c r="U18" s="242">
        <v>0</v>
      </c>
      <c r="V18" s="242">
        <v>0</v>
      </c>
      <c r="W18" s="242">
        <v>0</v>
      </c>
      <c r="X18" s="242">
        <v>0</v>
      </c>
      <c r="Y18" s="242">
        <v>0</v>
      </c>
      <c r="Z18" s="242">
        <v>0</v>
      </c>
      <c r="AA18" s="242">
        <v>0</v>
      </c>
      <c r="AB18" s="242">
        <v>0</v>
      </c>
      <c r="AC18" s="242">
        <v>0</v>
      </c>
      <c r="AD18" s="242">
        <v>0</v>
      </c>
      <c r="AE18" s="242">
        <v>500000</v>
      </c>
      <c r="AF18" s="242">
        <v>500000</v>
      </c>
      <c r="AG18" s="242">
        <v>500000</v>
      </c>
      <c r="AH18" s="242">
        <v>500000</v>
      </c>
      <c r="AI18" s="242">
        <v>500000</v>
      </c>
      <c r="AJ18" s="242">
        <v>500000</v>
      </c>
      <c r="AK18" s="242">
        <v>500000</v>
      </c>
      <c r="AL18" s="242">
        <v>500000</v>
      </c>
      <c r="AM18" s="242">
        <v>500000</v>
      </c>
      <c r="AN18" s="242">
        <v>500000</v>
      </c>
      <c r="AO18" s="242">
        <v>500000</v>
      </c>
      <c r="AP18" s="242">
        <v>500000</v>
      </c>
      <c r="AQ18" s="242">
        <v>500000</v>
      </c>
      <c r="AR18" s="242">
        <v>500000</v>
      </c>
      <c r="AS18" s="242">
        <v>500000</v>
      </c>
      <c r="AT18" s="242">
        <v>500000</v>
      </c>
      <c r="AU18" s="242">
        <v>500000</v>
      </c>
      <c r="AV18" s="242">
        <v>500000</v>
      </c>
      <c r="AW18" s="242">
        <v>1000000</v>
      </c>
      <c r="AX18" s="242">
        <v>1000000</v>
      </c>
      <c r="AY18" s="242">
        <v>1000000</v>
      </c>
      <c r="AZ18" s="242">
        <v>1000000</v>
      </c>
      <c r="BA18" s="242">
        <v>1000000</v>
      </c>
      <c r="BB18" s="242">
        <v>1000000</v>
      </c>
      <c r="BC18" s="242">
        <v>1000000</v>
      </c>
      <c r="BD18" s="242">
        <v>1000000</v>
      </c>
      <c r="BE18" s="242">
        <v>1000000</v>
      </c>
      <c r="BF18" s="242">
        <v>1000000</v>
      </c>
      <c r="BG18" s="242">
        <v>1000000</v>
      </c>
      <c r="BH18" s="242">
        <v>1000000</v>
      </c>
      <c r="BI18" s="242">
        <v>1000000</v>
      </c>
      <c r="BJ18" s="242">
        <v>1000000</v>
      </c>
      <c r="BK18" s="242">
        <v>1000000</v>
      </c>
      <c r="BL18" s="242">
        <v>1000000</v>
      </c>
      <c r="BM18" s="242">
        <v>1000000</v>
      </c>
      <c r="BN18" s="242">
        <v>1000000</v>
      </c>
      <c r="BO18" s="242">
        <v>1060000</v>
      </c>
      <c r="BP18" s="242">
        <v>1060000</v>
      </c>
      <c r="BQ18" s="242">
        <v>1060000</v>
      </c>
      <c r="BR18" s="242">
        <v>1060000</v>
      </c>
      <c r="BS18" s="242">
        <v>1060000</v>
      </c>
      <c r="BT18" s="242">
        <v>1060000</v>
      </c>
      <c r="BU18" s="242">
        <v>1130000</v>
      </c>
      <c r="BV18" s="242">
        <v>1130000</v>
      </c>
      <c r="BW18" s="242">
        <v>1130000</v>
      </c>
      <c r="BX18" s="242">
        <v>1130000</v>
      </c>
      <c r="BY18" s="242">
        <v>1130000</v>
      </c>
      <c r="BZ18" s="242">
        <v>1130000</v>
      </c>
      <c r="CA18" s="242">
        <v>1080000</v>
      </c>
      <c r="CB18" s="242">
        <v>1080000</v>
      </c>
      <c r="CC18" s="242">
        <v>1080000</v>
      </c>
      <c r="CD18" s="242">
        <v>1080000</v>
      </c>
      <c r="CE18" s="242">
        <v>1080000</v>
      </c>
      <c r="CF18" s="242">
        <v>1080000</v>
      </c>
      <c r="CG18" s="242">
        <v>1080000</v>
      </c>
      <c r="CH18" s="242">
        <v>1080000</v>
      </c>
      <c r="CI18" s="242">
        <v>1080000</v>
      </c>
      <c r="CJ18" s="242">
        <v>1080000</v>
      </c>
      <c r="CK18" s="242">
        <v>1080000</v>
      </c>
      <c r="CL18" s="242">
        <v>1120000</v>
      </c>
      <c r="CM18" s="242">
        <v>1120000</v>
      </c>
      <c r="CN18" s="242">
        <v>1120000</v>
      </c>
      <c r="CO18" s="242">
        <v>1120000</v>
      </c>
      <c r="CP18" s="247">
        <v>1417500</v>
      </c>
      <c r="CQ18" s="9">
        <f t="shared" si="0"/>
        <v>60000000</v>
      </c>
      <c r="CR18" s="248">
        <f t="shared" si="1"/>
        <v>60000000</v>
      </c>
    </row>
    <row r="19" spans="1:96" ht="15" thickBot="1" x14ac:dyDescent="0.4">
      <c r="B19" s="364"/>
      <c r="C19" s="241"/>
      <c r="D19" s="367"/>
      <c r="E19" s="361"/>
      <c r="F19" s="361"/>
      <c r="G19" s="353"/>
      <c r="H19" s="353"/>
      <c r="I19" s="41"/>
      <c r="J19" s="356"/>
      <c r="K19" s="10"/>
      <c r="L19" s="11">
        <v>1785000</v>
      </c>
      <c r="M19" s="11">
        <v>297500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3"/>
      <c r="CQ19" s="9">
        <f t="shared" si="0"/>
        <v>2082500</v>
      </c>
      <c r="CR19" s="249">
        <f t="shared" si="1"/>
        <v>2082500</v>
      </c>
    </row>
    <row r="20" spans="1:96" x14ac:dyDescent="0.35">
      <c r="B20" s="357" t="s">
        <v>383</v>
      </c>
      <c r="CR20" s="128"/>
    </row>
    <row r="21" spans="1:96" ht="15" thickBot="1" x14ac:dyDescent="0.4">
      <c r="B21" s="358"/>
    </row>
    <row r="22" spans="1:96" x14ac:dyDescent="0.35">
      <c r="B22" s="14" t="s">
        <v>101</v>
      </c>
    </row>
    <row r="23" spans="1:96" ht="15" thickBot="1" x14ac:dyDescent="0.4">
      <c r="B23" s="15" t="s">
        <v>100</v>
      </c>
    </row>
  </sheetData>
  <sheetProtection algorithmName="SHA-512" hashValue="q7xLsBuoxhOQ+EHUUCnw1Zdw8pq/OCSVJD/oTajbpo/XoPB365gc0RPZl4Ab7i79+qz5ckaE3dbqQ3IMGB5IOQ==" saltValue="hBVjEOBTGy49WX5nFoz7Lw==" spinCount="100000" sheet="1" objects="1" scenarios="1"/>
  <mergeCells count="41">
    <mergeCell ref="J14:J15"/>
    <mergeCell ref="J16:J17"/>
    <mergeCell ref="J18:J19"/>
    <mergeCell ref="B20:B21"/>
    <mergeCell ref="E14:E15"/>
    <mergeCell ref="E16:E17"/>
    <mergeCell ref="E18:E19"/>
    <mergeCell ref="F14:F15"/>
    <mergeCell ref="F16:F17"/>
    <mergeCell ref="F18:F19"/>
    <mergeCell ref="B14:B15"/>
    <mergeCell ref="B16:B17"/>
    <mergeCell ref="B18:B19"/>
    <mergeCell ref="D14:D15"/>
    <mergeCell ref="D16:D17"/>
    <mergeCell ref="D18:D19"/>
    <mergeCell ref="G14:G15"/>
    <mergeCell ref="H14:H15"/>
    <mergeCell ref="G16:G17"/>
    <mergeCell ref="H16:H17"/>
    <mergeCell ref="G18:G19"/>
    <mergeCell ref="H18:H19"/>
    <mergeCell ref="D2:J2"/>
    <mergeCell ref="D3:J3"/>
    <mergeCell ref="B12:J12"/>
    <mergeCell ref="D4:F4"/>
    <mergeCell ref="H4:J4"/>
    <mergeCell ref="B7:B9"/>
    <mergeCell ref="H5:J5"/>
    <mergeCell ref="H6:J6"/>
    <mergeCell ref="G7:J7"/>
    <mergeCell ref="K12:CP12"/>
    <mergeCell ref="D5:F5"/>
    <mergeCell ref="D6:F6"/>
    <mergeCell ref="D7:F7"/>
    <mergeCell ref="D10:F10"/>
    <mergeCell ref="G10:J10"/>
    <mergeCell ref="D8:F8"/>
    <mergeCell ref="G8:J8"/>
    <mergeCell ref="D9:F9"/>
    <mergeCell ref="G9:J9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71"/>
  <sheetViews>
    <sheetView showGridLines="0" topLeftCell="B49" workbookViewId="0">
      <pane xSplit="2" topLeftCell="AM1" activePane="topRight" state="frozen"/>
      <selection activeCell="B19" sqref="B19"/>
      <selection pane="topRight" activeCell="AP15" sqref="AP15"/>
    </sheetView>
  </sheetViews>
  <sheetFormatPr baseColWidth="10" defaultRowHeight="14.5" x14ac:dyDescent="0.35"/>
  <cols>
    <col min="1" max="1" width="43.6328125" hidden="1" customWidth="1"/>
    <col min="2" max="2" width="35.453125" customWidth="1"/>
    <col min="3" max="3" width="42.1796875" hidden="1" customWidth="1"/>
    <col min="4" max="4" width="7.26953125" bestFit="1" customWidth="1"/>
    <col min="5" max="5" width="10.54296875" customWidth="1"/>
    <col min="6" max="6" width="13.81640625" customWidth="1"/>
    <col min="7" max="7" width="20.54296875" customWidth="1"/>
    <col min="8" max="8" width="16.26953125" customWidth="1"/>
    <col min="9" max="9" width="9.08984375" hidden="1" customWidth="1"/>
    <col min="10" max="10" width="10.08984375" customWidth="1"/>
    <col min="11" max="11" width="12.54296875" customWidth="1"/>
    <col min="12" max="24" width="13.7265625" bestFit="1" customWidth="1"/>
    <col min="25" max="25" width="14.6328125" bestFit="1" customWidth="1"/>
    <col min="26" max="26" width="12.81640625" bestFit="1" customWidth="1"/>
    <col min="27" max="36" width="13.7265625" bestFit="1" customWidth="1"/>
    <col min="37" max="38" width="14.6328125" bestFit="1" customWidth="1"/>
    <col min="39" max="42" width="13.7265625" bestFit="1" customWidth="1"/>
    <col min="43" max="44" width="12.6328125" bestFit="1" customWidth="1"/>
    <col min="45" max="45" width="13.7265625" bestFit="1" customWidth="1"/>
    <col min="46" max="46" width="12.90625" bestFit="1" customWidth="1"/>
    <col min="47" max="48" width="12.6328125" bestFit="1" customWidth="1"/>
    <col min="49" max="49" width="12.90625" bestFit="1" customWidth="1"/>
    <col min="50" max="50" width="14.6328125" bestFit="1" customWidth="1"/>
    <col min="52" max="52" width="15.08984375" bestFit="1" customWidth="1"/>
  </cols>
  <sheetData>
    <row r="2" spans="1:50" x14ac:dyDescent="0.35">
      <c r="B2" s="42" t="s">
        <v>102</v>
      </c>
      <c r="C2" s="25"/>
      <c r="D2" s="368">
        <v>2019000100057</v>
      </c>
      <c r="E2" s="368"/>
      <c r="F2" s="368"/>
      <c r="G2" s="368"/>
      <c r="H2" s="368"/>
      <c r="I2" s="368"/>
      <c r="J2" s="368"/>
      <c r="K2" s="368"/>
    </row>
    <row r="3" spans="1:50" ht="49" customHeight="1" x14ac:dyDescent="0.35">
      <c r="B3" s="42" t="s">
        <v>103</v>
      </c>
      <c r="C3" s="7"/>
      <c r="D3" s="313" t="s">
        <v>120</v>
      </c>
      <c r="E3" s="313"/>
      <c r="F3" s="313"/>
      <c r="G3" s="313"/>
      <c r="H3" s="313"/>
      <c r="I3" s="313"/>
      <c r="J3" s="313"/>
      <c r="K3" s="313"/>
    </row>
    <row r="4" spans="1:50" x14ac:dyDescent="0.35">
      <c r="B4" s="42" t="s">
        <v>106</v>
      </c>
      <c r="C4" s="8"/>
      <c r="D4" s="372" t="s">
        <v>386</v>
      </c>
      <c r="E4" s="316"/>
      <c r="F4" s="316"/>
      <c r="G4" s="27" t="s">
        <v>107</v>
      </c>
      <c r="H4" s="315">
        <v>1998000000</v>
      </c>
      <c r="I4" s="315"/>
      <c r="J4" s="315"/>
      <c r="K4" s="315"/>
    </row>
    <row r="5" spans="1:50" x14ac:dyDescent="0.35">
      <c r="B5" s="42" t="s">
        <v>109</v>
      </c>
      <c r="C5" s="8"/>
      <c r="D5" s="316" t="s">
        <v>477</v>
      </c>
      <c r="E5" s="316"/>
      <c r="F5" s="316"/>
      <c r="G5" s="27" t="s">
        <v>108</v>
      </c>
      <c r="H5" s="316" t="s">
        <v>119</v>
      </c>
      <c r="I5" s="316"/>
      <c r="J5" s="316"/>
      <c r="K5" s="316"/>
    </row>
    <row r="6" spans="1:50" x14ac:dyDescent="0.35">
      <c r="B6" s="42" t="s">
        <v>110</v>
      </c>
      <c r="C6" s="8"/>
      <c r="D6" s="326">
        <v>0.53</v>
      </c>
      <c r="E6" s="327"/>
      <c r="F6" s="327"/>
      <c r="G6" s="26" t="s">
        <v>111</v>
      </c>
      <c r="H6" s="326">
        <v>0.59</v>
      </c>
      <c r="I6" s="327"/>
      <c r="J6" s="327"/>
      <c r="K6" s="327"/>
    </row>
    <row r="7" spans="1:50" ht="130" customHeight="1" x14ac:dyDescent="0.35">
      <c r="B7" s="374" t="s">
        <v>117</v>
      </c>
      <c r="C7" s="8"/>
      <c r="D7" s="332" t="s">
        <v>113</v>
      </c>
      <c r="E7" s="333"/>
      <c r="F7" s="333"/>
      <c r="G7" s="332" t="s">
        <v>127</v>
      </c>
      <c r="H7" s="332"/>
      <c r="I7" s="332"/>
      <c r="J7" s="332"/>
      <c r="K7" s="332"/>
    </row>
    <row r="8" spans="1:50" ht="178.5" customHeight="1" x14ac:dyDescent="0.35">
      <c r="B8" s="375"/>
      <c r="C8" s="28"/>
      <c r="D8" s="332" t="s">
        <v>125</v>
      </c>
      <c r="E8" s="332"/>
      <c r="F8" s="332"/>
      <c r="G8" s="332" t="s">
        <v>123</v>
      </c>
      <c r="H8" s="332"/>
      <c r="I8" s="332"/>
      <c r="J8" s="332"/>
      <c r="K8" s="332"/>
    </row>
    <row r="9" spans="1:50" ht="146" customHeight="1" x14ac:dyDescent="0.35">
      <c r="B9" s="376"/>
      <c r="C9" s="8"/>
      <c r="D9" s="373" t="s">
        <v>121</v>
      </c>
      <c r="E9" s="332"/>
      <c r="F9" s="332"/>
      <c r="G9" s="332" t="s">
        <v>124</v>
      </c>
      <c r="H9" s="332"/>
      <c r="I9" s="332"/>
      <c r="J9" s="332"/>
      <c r="K9" s="332"/>
    </row>
    <row r="10" spans="1:50" x14ac:dyDescent="0.35">
      <c r="B10" s="1"/>
      <c r="C10" s="1"/>
      <c r="D10" s="319"/>
      <c r="E10" s="319"/>
      <c r="F10" s="319"/>
      <c r="G10" s="319"/>
      <c r="H10" s="319"/>
      <c r="I10" s="319"/>
      <c r="J10" s="319"/>
    </row>
    <row r="11" spans="1:50" ht="15" thickBot="1" x14ac:dyDescent="0.4"/>
    <row r="12" spans="1:50" ht="14.5" customHeight="1" thickBot="1" x14ac:dyDescent="0.4">
      <c r="B12" s="369" t="s">
        <v>382</v>
      </c>
      <c r="C12" s="370"/>
      <c r="D12" s="370"/>
      <c r="E12" s="370"/>
      <c r="F12" s="370"/>
      <c r="G12" s="370"/>
      <c r="H12" s="370"/>
      <c r="I12" s="370"/>
      <c r="J12" s="371"/>
      <c r="K12" s="377" t="s">
        <v>105</v>
      </c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8"/>
      <c r="Y12" s="378"/>
      <c r="Z12" s="378"/>
      <c r="AA12" s="378"/>
      <c r="AB12" s="378"/>
      <c r="AC12" s="378"/>
      <c r="AD12" s="378"/>
      <c r="AE12" s="378"/>
      <c r="AF12" s="378"/>
      <c r="AG12" s="378"/>
      <c r="AH12" s="378"/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8"/>
      <c r="AW12" s="379"/>
    </row>
    <row r="13" spans="1:50" s="3" customFormat="1" ht="39.5" thickBot="1" x14ac:dyDescent="0.35">
      <c r="A13" s="2" t="s">
        <v>0</v>
      </c>
      <c r="B13" s="21" t="s">
        <v>1</v>
      </c>
      <c r="C13" s="22" t="s">
        <v>2</v>
      </c>
      <c r="D13" s="22" t="s">
        <v>3</v>
      </c>
      <c r="E13" s="22" t="s">
        <v>4</v>
      </c>
      <c r="F13" s="22" t="s">
        <v>5</v>
      </c>
      <c r="G13" s="22" t="s">
        <v>6</v>
      </c>
      <c r="H13" s="22" t="s">
        <v>7</v>
      </c>
      <c r="I13" s="22" t="s">
        <v>8</v>
      </c>
      <c r="J13" s="24" t="s">
        <v>9</v>
      </c>
      <c r="K13" s="43">
        <v>44105</v>
      </c>
      <c r="L13" s="43">
        <v>44136</v>
      </c>
      <c r="M13" s="43">
        <v>44166</v>
      </c>
      <c r="N13" s="43">
        <v>44197</v>
      </c>
      <c r="O13" s="43">
        <v>44228</v>
      </c>
      <c r="P13" s="43">
        <v>44256</v>
      </c>
      <c r="Q13" s="43">
        <v>44287</v>
      </c>
      <c r="R13" s="43">
        <v>44317</v>
      </c>
      <c r="S13" s="43">
        <v>44348</v>
      </c>
      <c r="T13" s="43">
        <v>44378</v>
      </c>
      <c r="U13" s="43">
        <v>44409</v>
      </c>
      <c r="V13" s="43">
        <v>44440</v>
      </c>
      <c r="W13" s="43">
        <v>44470</v>
      </c>
      <c r="X13" s="43">
        <v>44501</v>
      </c>
      <c r="Y13" s="43">
        <v>44531</v>
      </c>
      <c r="Z13" s="43">
        <v>44562</v>
      </c>
      <c r="AA13" s="43">
        <v>44593</v>
      </c>
      <c r="AB13" s="43">
        <v>44621</v>
      </c>
      <c r="AC13" s="43">
        <v>44652</v>
      </c>
      <c r="AD13" s="43">
        <v>44682</v>
      </c>
      <c r="AE13" s="43">
        <v>44713</v>
      </c>
      <c r="AF13" s="43">
        <v>44743</v>
      </c>
      <c r="AG13" s="43">
        <v>44774</v>
      </c>
      <c r="AH13" s="43">
        <v>44805</v>
      </c>
      <c r="AI13" s="43">
        <v>44835</v>
      </c>
      <c r="AJ13" s="43">
        <v>44866</v>
      </c>
      <c r="AK13" s="43">
        <v>44896</v>
      </c>
      <c r="AL13" s="43">
        <v>44927</v>
      </c>
      <c r="AM13" s="43">
        <v>44958</v>
      </c>
      <c r="AN13" s="43">
        <v>44986</v>
      </c>
      <c r="AO13" s="43">
        <v>45017</v>
      </c>
      <c r="AP13" s="43">
        <v>45047</v>
      </c>
      <c r="AQ13" s="43">
        <v>45078</v>
      </c>
      <c r="AR13" s="43">
        <v>45108</v>
      </c>
      <c r="AS13" s="43">
        <v>45139</v>
      </c>
      <c r="AT13" s="43">
        <v>45170</v>
      </c>
      <c r="AU13" s="43">
        <v>45200</v>
      </c>
      <c r="AV13" s="43">
        <v>45231</v>
      </c>
      <c r="AW13" s="44">
        <v>45261</v>
      </c>
      <c r="AX13" s="185" t="s">
        <v>7</v>
      </c>
    </row>
    <row r="14" spans="1:50" s="3" customFormat="1" ht="39" customHeight="1" x14ac:dyDescent="0.3">
      <c r="A14" s="4" t="s">
        <v>94</v>
      </c>
      <c r="B14" s="310" t="s">
        <v>387</v>
      </c>
      <c r="C14" s="380" t="s">
        <v>387</v>
      </c>
      <c r="D14" s="307" t="s">
        <v>96</v>
      </c>
      <c r="E14" s="308">
        <v>44124</v>
      </c>
      <c r="F14" s="308">
        <v>45291</v>
      </c>
      <c r="G14" s="384">
        <v>460164230</v>
      </c>
      <c r="H14" s="384">
        <v>460164230</v>
      </c>
      <c r="I14" s="132">
        <v>0</v>
      </c>
      <c r="J14" s="344" t="s">
        <v>97</v>
      </c>
      <c r="K14" s="252">
        <v>8000000</v>
      </c>
      <c r="L14" s="85">
        <v>8000000</v>
      </c>
      <c r="M14" s="85">
        <v>990000</v>
      </c>
      <c r="N14" s="85">
        <v>8990000</v>
      </c>
      <c r="O14" s="85">
        <v>990000</v>
      </c>
      <c r="P14" s="85">
        <v>1640000</v>
      </c>
      <c r="Q14" s="85">
        <v>1980000</v>
      </c>
      <c r="R14" s="85">
        <v>720000</v>
      </c>
      <c r="S14" s="85">
        <v>1530000</v>
      </c>
      <c r="T14" s="85">
        <v>0</v>
      </c>
      <c r="U14" s="85">
        <v>299315000</v>
      </c>
      <c r="V14" s="85">
        <v>360000</v>
      </c>
      <c r="W14" s="85">
        <v>1190770</v>
      </c>
      <c r="X14" s="85">
        <v>2760000</v>
      </c>
      <c r="Y14" s="85">
        <v>42129230</v>
      </c>
      <c r="Z14" s="85">
        <v>969230</v>
      </c>
      <c r="AA14" s="85">
        <v>0</v>
      </c>
      <c r="AB14" s="85">
        <v>0</v>
      </c>
      <c r="AC14" s="85">
        <v>23100000</v>
      </c>
      <c r="AD14" s="85">
        <v>0</v>
      </c>
      <c r="AE14" s="85">
        <v>0</v>
      </c>
      <c r="AF14" s="85">
        <v>0</v>
      </c>
      <c r="AG14" s="85">
        <v>0</v>
      </c>
      <c r="AH14" s="85">
        <v>0</v>
      </c>
      <c r="AI14" s="85">
        <v>0</v>
      </c>
      <c r="AJ14" s="85">
        <v>57500000</v>
      </c>
      <c r="AK14" s="85">
        <v>0</v>
      </c>
      <c r="AL14" s="85">
        <v>0</v>
      </c>
      <c r="AM14" s="85">
        <v>0</v>
      </c>
      <c r="AN14" s="85">
        <v>0</v>
      </c>
      <c r="AO14" s="85">
        <v>0</v>
      </c>
      <c r="AP14" s="85">
        <v>0</v>
      </c>
      <c r="AQ14" s="85">
        <v>0</v>
      </c>
      <c r="AR14" s="85">
        <v>0</v>
      </c>
      <c r="AS14" s="85">
        <v>0</v>
      </c>
      <c r="AT14" s="85">
        <v>0</v>
      </c>
      <c r="AU14" s="85">
        <v>0</v>
      </c>
      <c r="AV14" s="85">
        <v>0</v>
      </c>
      <c r="AW14" s="258">
        <v>0</v>
      </c>
      <c r="AX14" s="262">
        <f t="shared" ref="AX14:AX45" si="0">SUM(K14:AW14)</f>
        <v>460164230</v>
      </c>
    </row>
    <row r="15" spans="1:50" s="3" customFormat="1" ht="13" x14ac:dyDescent="0.3">
      <c r="A15" s="4"/>
      <c r="B15" s="303"/>
      <c r="C15" s="381"/>
      <c r="D15" s="305"/>
      <c r="E15" s="309"/>
      <c r="F15" s="309"/>
      <c r="G15" s="383"/>
      <c r="H15" s="383"/>
      <c r="I15" s="29"/>
      <c r="J15" s="341"/>
      <c r="K15" s="253"/>
      <c r="L15" s="39">
        <v>8000000</v>
      </c>
      <c r="M15" s="39">
        <v>8000000</v>
      </c>
      <c r="N15" s="39">
        <v>990000</v>
      </c>
      <c r="O15" s="39">
        <v>8990000</v>
      </c>
      <c r="P15" s="39">
        <v>990000</v>
      </c>
      <c r="Q15" s="39">
        <v>1620000</v>
      </c>
      <c r="R15" s="39">
        <v>1980000</v>
      </c>
      <c r="S15" s="39">
        <v>225000</v>
      </c>
      <c r="T15" s="39">
        <v>1980000</v>
      </c>
      <c r="U15" s="39"/>
      <c r="V15" s="39"/>
      <c r="W15" s="39"/>
      <c r="X15" s="39">
        <v>270000</v>
      </c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>
        <v>17440000</v>
      </c>
      <c r="AJ15" s="39"/>
      <c r="AK15" s="39">
        <v>292239828</v>
      </c>
      <c r="AL15" s="39">
        <v>186488008</v>
      </c>
      <c r="AM15" s="39"/>
      <c r="AN15" s="39"/>
      <c r="AO15" s="39">
        <v>6120000</v>
      </c>
      <c r="AP15" s="39">
        <v>52920214</v>
      </c>
      <c r="AQ15" s="39"/>
      <c r="AR15" s="39"/>
      <c r="AS15" s="39"/>
      <c r="AT15" s="39"/>
      <c r="AU15" s="39"/>
      <c r="AV15" s="39"/>
      <c r="AW15" s="259"/>
      <c r="AX15" s="263">
        <f t="shared" si="0"/>
        <v>588253050</v>
      </c>
    </row>
    <row r="16" spans="1:50" s="3" customFormat="1" ht="39.5" customHeight="1" x14ac:dyDescent="0.3">
      <c r="A16" s="6"/>
      <c r="B16" s="303" t="s">
        <v>388</v>
      </c>
      <c r="C16" s="381" t="s">
        <v>413</v>
      </c>
      <c r="D16" s="305" t="s">
        <v>96</v>
      </c>
      <c r="E16" s="309">
        <v>44124</v>
      </c>
      <c r="F16" s="309">
        <v>45291</v>
      </c>
      <c r="G16" s="383">
        <v>32064900</v>
      </c>
      <c r="H16" s="383">
        <v>32064900</v>
      </c>
      <c r="I16" s="29">
        <v>0</v>
      </c>
      <c r="J16" s="341" t="s">
        <v>135</v>
      </c>
      <c r="K16" s="254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3424980</v>
      </c>
      <c r="AG16" s="38">
        <v>0</v>
      </c>
      <c r="AH16" s="38">
        <v>0</v>
      </c>
      <c r="AI16" s="38">
        <v>28639920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260">
        <v>0</v>
      </c>
      <c r="AX16" s="263">
        <f t="shared" si="0"/>
        <v>32064900</v>
      </c>
    </row>
    <row r="17" spans="1:52" s="3" customFormat="1" ht="13" x14ac:dyDescent="0.3">
      <c r="A17" s="6"/>
      <c r="B17" s="303"/>
      <c r="C17" s="381"/>
      <c r="D17" s="305"/>
      <c r="E17" s="309"/>
      <c r="F17" s="309"/>
      <c r="G17" s="383"/>
      <c r="H17" s="383"/>
      <c r="I17" s="29"/>
      <c r="J17" s="341"/>
      <c r="K17" s="253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>
        <v>21027720</v>
      </c>
      <c r="AC17" s="39"/>
      <c r="AD17" s="39"/>
      <c r="AE17" s="39">
        <v>12921000</v>
      </c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259"/>
      <c r="AX17" s="263">
        <f t="shared" si="0"/>
        <v>33948720</v>
      </c>
    </row>
    <row r="18" spans="1:52" s="3" customFormat="1" ht="13" x14ac:dyDescent="0.3">
      <c r="A18" s="4" t="s">
        <v>94</v>
      </c>
      <c r="B18" s="303" t="s">
        <v>389</v>
      </c>
      <c r="C18" s="381" t="s">
        <v>389</v>
      </c>
      <c r="D18" s="305" t="s">
        <v>96</v>
      </c>
      <c r="E18" s="309">
        <v>44124</v>
      </c>
      <c r="F18" s="309">
        <v>45291</v>
      </c>
      <c r="G18" s="383">
        <v>244559230</v>
      </c>
      <c r="H18" s="383">
        <v>244559230</v>
      </c>
      <c r="I18" s="29">
        <v>0</v>
      </c>
      <c r="J18" s="341" t="s">
        <v>97</v>
      </c>
      <c r="K18" s="254">
        <v>0</v>
      </c>
      <c r="L18" s="38">
        <v>0</v>
      </c>
      <c r="M18" s="38">
        <v>10970000</v>
      </c>
      <c r="N18" s="38">
        <v>0</v>
      </c>
      <c r="O18" s="38">
        <v>8000000</v>
      </c>
      <c r="P18" s="38">
        <v>8990000</v>
      </c>
      <c r="Q18" s="38">
        <v>9935000</v>
      </c>
      <c r="R18" s="38">
        <v>9755000</v>
      </c>
      <c r="S18" s="38">
        <v>9260000</v>
      </c>
      <c r="T18" s="38">
        <v>9440000</v>
      </c>
      <c r="U18" s="38">
        <v>24840000</v>
      </c>
      <c r="V18" s="38">
        <v>13840000</v>
      </c>
      <c r="W18" s="38">
        <v>12829230</v>
      </c>
      <c r="X18" s="38">
        <v>11440000</v>
      </c>
      <c r="Y18" s="38">
        <v>11260000</v>
      </c>
      <c r="Z18" s="38">
        <v>10000000</v>
      </c>
      <c r="AA18" s="38">
        <v>10000000</v>
      </c>
      <c r="AB18" s="38">
        <v>10000000</v>
      </c>
      <c r="AC18" s="38">
        <v>10000000</v>
      </c>
      <c r="AD18" s="38">
        <v>10000000</v>
      </c>
      <c r="AE18" s="38">
        <v>10000000</v>
      </c>
      <c r="AF18" s="38">
        <v>10000000</v>
      </c>
      <c r="AG18" s="38">
        <v>10000000</v>
      </c>
      <c r="AH18" s="38">
        <v>10000000</v>
      </c>
      <c r="AI18" s="38">
        <v>2000000</v>
      </c>
      <c r="AJ18" s="38">
        <v>2000000</v>
      </c>
      <c r="AK18" s="38">
        <v>2000000</v>
      </c>
      <c r="AL18" s="38">
        <v>2000000</v>
      </c>
      <c r="AM18" s="38">
        <v>2000000</v>
      </c>
      <c r="AN18" s="38">
        <v>2000000</v>
      </c>
      <c r="AO18" s="38">
        <v>2000000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260">
        <v>0</v>
      </c>
      <c r="AX18" s="263">
        <f t="shared" si="0"/>
        <v>244559230</v>
      </c>
    </row>
    <row r="19" spans="1:52" s="3" customFormat="1" ht="13" x14ac:dyDescent="0.3">
      <c r="A19" s="4"/>
      <c r="B19" s="303"/>
      <c r="C19" s="381"/>
      <c r="D19" s="305"/>
      <c r="E19" s="309"/>
      <c r="F19" s="309"/>
      <c r="G19" s="383"/>
      <c r="H19" s="383"/>
      <c r="I19" s="29"/>
      <c r="J19" s="341"/>
      <c r="K19" s="253"/>
      <c r="L19" s="39"/>
      <c r="M19" s="39"/>
      <c r="N19" s="39">
        <v>10970000</v>
      </c>
      <c r="O19" s="39"/>
      <c r="P19" s="39">
        <v>8000000</v>
      </c>
      <c r="Q19" s="39">
        <v>8990000</v>
      </c>
      <c r="R19" s="39">
        <v>9935000</v>
      </c>
      <c r="S19" s="39">
        <v>9755000</v>
      </c>
      <c r="T19" s="39">
        <v>8990000</v>
      </c>
      <c r="U19" s="39">
        <v>9080000</v>
      </c>
      <c r="V19" s="39">
        <v>8000000</v>
      </c>
      <c r="W19" s="39">
        <v>8000000</v>
      </c>
      <c r="X19" s="39">
        <v>8000000</v>
      </c>
      <c r="Y19" s="39">
        <v>8000000</v>
      </c>
      <c r="Z19" s="39"/>
      <c r="AA19" s="39">
        <v>7733332</v>
      </c>
      <c r="AB19" s="39">
        <v>8000000</v>
      </c>
      <c r="AC19" s="39">
        <v>8000000</v>
      </c>
      <c r="AD19" s="39">
        <v>8000000</v>
      </c>
      <c r="AE19" s="39">
        <v>8000000</v>
      </c>
      <c r="AF19" s="39">
        <v>8000000</v>
      </c>
      <c r="AG19" s="39">
        <v>8000000</v>
      </c>
      <c r="AH19" s="39">
        <v>8000000</v>
      </c>
      <c r="AI19" s="39">
        <v>8000000</v>
      </c>
      <c r="AJ19" s="39">
        <v>8000000</v>
      </c>
      <c r="AK19" s="39"/>
      <c r="AL19" s="39"/>
      <c r="AM19" s="39">
        <v>24000000</v>
      </c>
      <c r="AN19" s="39">
        <v>8266668</v>
      </c>
      <c r="AO19" s="39">
        <v>7733332</v>
      </c>
      <c r="AP19" s="39">
        <v>9040000</v>
      </c>
      <c r="AQ19" s="39"/>
      <c r="AR19" s="39"/>
      <c r="AS19" s="39"/>
      <c r="AT19" s="39"/>
      <c r="AU19" s="39"/>
      <c r="AV19" s="39"/>
      <c r="AW19" s="259"/>
      <c r="AX19" s="263">
        <f t="shared" si="0"/>
        <v>226493332</v>
      </c>
    </row>
    <row r="20" spans="1:52" s="3" customFormat="1" ht="13" x14ac:dyDescent="0.3">
      <c r="A20" s="6"/>
      <c r="B20" s="303" t="s">
        <v>390</v>
      </c>
      <c r="C20" s="381" t="s">
        <v>414</v>
      </c>
      <c r="D20" s="305" t="s">
        <v>96</v>
      </c>
      <c r="E20" s="309">
        <v>44124</v>
      </c>
      <c r="F20" s="309">
        <v>45291</v>
      </c>
      <c r="G20" s="383">
        <v>249354300</v>
      </c>
      <c r="H20" s="383">
        <v>249354300</v>
      </c>
      <c r="I20" s="29">
        <v>0</v>
      </c>
      <c r="J20" s="341" t="s">
        <v>135</v>
      </c>
      <c r="K20" s="254">
        <v>32064900</v>
      </c>
      <c r="L20" s="38">
        <v>0</v>
      </c>
      <c r="M20" s="38">
        <v>0</v>
      </c>
      <c r="N20" s="38">
        <v>32064900</v>
      </c>
      <c r="O20" s="38">
        <v>0</v>
      </c>
      <c r="P20" s="38">
        <v>0</v>
      </c>
      <c r="Q20" s="38">
        <v>20806080</v>
      </c>
      <c r="R20" s="38">
        <v>0</v>
      </c>
      <c r="S20" s="38">
        <v>0</v>
      </c>
      <c r="T20" s="38">
        <v>33568680</v>
      </c>
      <c r="U20" s="38">
        <v>0</v>
      </c>
      <c r="V20" s="38">
        <v>0</v>
      </c>
      <c r="W20" s="38">
        <v>33568680</v>
      </c>
      <c r="X20" s="38">
        <v>0</v>
      </c>
      <c r="Y20" s="38">
        <v>0</v>
      </c>
      <c r="Z20" s="38">
        <v>33568680</v>
      </c>
      <c r="AA20" s="38">
        <v>0</v>
      </c>
      <c r="AB20" s="38">
        <v>0</v>
      </c>
      <c r="AC20" s="38">
        <v>33568680</v>
      </c>
      <c r="AD20" s="38">
        <v>0</v>
      </c>
      <c r="AE20" s="38">
        <v>0</v>
      </c>
      <c r="AF20" s="38">
        <v>30143700</v>
      </c>
      <c r="AG20" s="38">
        <v>0</v>
      </c>
      <c r="AH20" s="38">
        <v>0</v>
      </c>
      <c r="AI20" s="38">
        <v>0</v>
      </c>
      <c r="AJ20" s="38">
        <v>0</v>
      </c>
      <c r="AK20" s="38">
        <v>0</v>
      </c>
      <c r="AL20" s="38">
        <v>0</v>
      </c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260">
        <v>0</v>
      </c>
      <c r="AX20" s="263">
        <f t="shared" si="0"/>
        <v>249354300</v>
      </c>
    </row>
    <row r="21" spans="1:52" s="3" customFormat="1" ht="13" x14ac:dyDescent="0.3">
      <c r="A21" s="6"/>
      <c r="B21" s="303"/>
      <c r="C21" s="381"/>
      <c r="D21" s="305"/>
      <c r="E21" s="309"/>
      <c r="F21" s="309"/>
      <c r="G21" s="383"/>
      <c r="H21" s="383"/>
      <c r="I21" s="29"/>
      <c r="J21" s="341"/>
      <c r="K21" s="253"/>
      <c r="L21" s="39"/>
      <c r="M21" s="39">
        <v>32064900</v>
      </c>
      <c r="N21" s="39"/>
      <c r="O21" s="39"/>
      <c r="P21" s="39">
        <v>32064900</v>
      </c>
      <c r="Q21" s="39"/>
      <c r="R21" s="39"/>
      <c r="S21" s="39">
        <v>19302300</v>
      </c>
      <c r="T21" s="39"/>
      <c r="U21" s="39"/>
      <c r="V21" s="39">
        <v>12921000</v>
      </c>
      <c r="W21" s="39"/>
      <c r="X21" s="39"/>
      <c r="Y21" s="39">
        <v>18325480</v>
      </c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>
        <v>33948720</v>
      </c>
      <c r="AL21" s="39"/>
      <c r="AM21" s="39"/>
      <c r="AN21" s="39">
        <v>9485399</v>
      </c>
      <c r="AO21" s="39"/>
      <c r="AP21" s="39"/>
      <c r="AQ21" s="39"/>
      <c r="AR21" s="39"/>
      <c r="AS21" s="39"/>
      <c r="AT21" s="39"/>
      <c r="AU21" s="39"/>
      <c r="AV21" s="39"/>
      <c r="AW21" s="259"/>
      <c r="AX21" s="264">
        <f t="shared" si="0"/>
        <v>158112699</v>
      </c>
      <c r="AY21" s="140"/>
      <c r="AZ21" s="9"/>
    </row>
    <row r="22" spans="1:52" s="3" customFormat="1" ht="26" customHeight="1" x14ac:dyDescent="0.3">
      <c r="A22" s="5" t="s">
        <v>94</v>
      </c>
      <c r="B22" s="303" t="s">
        <v>391</v>
      </c>
      <c r="C22" s="381" t="s">
        <v>415</v>
      </c>
      <c r="D22" s="305" t="s">
        <v>96</v>
      </c>
      <c r="E22" s="309">
        <v>44124</v>
      </c>
      <c r="F22" s="309">
        <v>45291</v>
      </c>
      <c r="G22" s="383">
        <v>40533230</v>
      </c>
      <c r="H22" s="383">
        <v>40533230</v>
      </c>
      <c r="I22" s="29">
        <v>0</v>
      </c>
      <c r="J22" s="341" t="s">
        <v>97</v>
      </c>
      <c r="K22" s="254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1440000</v>
      </c>
      <c r="T22" s="38">
        <v>2970000</v>
      </c>
      <c r="U22" s="38">
        <v>10590000</v>
      </c>
      <c r="V22" s="38">
        <v>0</v>
      </c>
      <c r="W22" s="38">
        <v>0</v>
      </c>
      <c r="X22" s="38">
        <v>0</v>
      </c>
      <c r="Y22" s="38">
        <v>5230770</v>
      </c>
      <c r="Z22" s="38">
        <v>6380770</v>
      </c>
      <c r="AA22" s="38">
        <v>7303845</v>
      </c>
      <c r="AB22" s="38">
        <v>3564000</v>
      </c>
      <c r="AC22" s="38">
        <v>3053845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260">
        <v>0</v>
      </c>
      <c r="AX22" s="263">
        <f t="shared" si="0"/>
        <v>40533230</v>
      </c>
    </row>
    <row r="23" spans="1:52" s="3" customFormat="1" ht="13" x14ac:dyDescent="0.3">
      <c r="A23" s="5"/>
      <c r="B23" s="303"/>
      <c r="C23" s="381"/>
      <c r="D23" s="305"/>
      <c r="E23" s="309"/>
      <c r="F23" s="309"/>
      <c r="G23" s="383"/>
      <c r="H23" s="383"/>
      <c r="I23" s="29"/>
      <c r="J23" s="341"/>
      <c r="K23" s="253"/>
      <c r="L23" s="39"/>
      <c r="M23" s="39"/>
      <c r="N23" s="39"/>
      <c r="O23" s="39"/>
      <c r="P23" s="39"/>
      <c r="Q23" s="39"/>
      <c r="R23" s="39"/>
      <c r="S23" s="39"/>
      <c r="T23" s="39"/>
      <c r="U23" s="39">
        <v>1485000</v>
      </c>
      <c r="V23" s="39">
        <v>1485000</v>
      </c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259"/>
      <c r="AX23" s="263">
        <f t="shared" si="0"/>
        <v>2970000</v>
      </c>
    </row>
    <row r="24" spans="1:52" x14ac:dyDescent="0.35">
      <c r="B24" s="303" t="s">
        <v>392</v>
      </c>
      <c r="C24" s="381" t="s">
        <v>416</v>
      </c>
      <c r="D24" s="305" t="s">
        <v>96</v>
      </c>
      <c r="E24" s="309">
        <v>44124</v>
      </c>
      <c r="F24" s="309">
        <v>45291</v>
      </c>
      <c r="G24" s="383">
        <v>29664830</v>
      </c>
      <c r="H24" s="383">
        <v>29664830</v>
      </c>
      <c r="I24" s="29">
        <v>0</v>
      </c>
      <c r="J24" s="341" t="s">
        <v>135</v>
      </c>
      <c r="K24" s="254">
        <v>23259699</v>
      </c>
      <c r="L24" s="38">
        <v>0</v>
      </c>
      <c r="M24" s="38">
        <v>0</v>
      </c>
      <c r="N24" s="38">
        <v>6405131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0</v>
      </c>
      <c r="AR24" s="38">
        <v>0</v>
      </c>
      <c r="AS24" s="38">
        <v>0</v>
      </c>
      <c r="AT24" s="38">
        <v>0</v>
      </c>
      <c r="AU24" s="38">
        <v>0</v>
      </c>
      <c r="AV24" s="38">
        <v>0</v>
      </c>
      <c r="AW24" s="260">
        <v>0</v>
      </c>
      <c r="AX24" s="263">
        <f t="shared" si="0"/>
        <v>29664830</v>
      </c>
    </row>
    <row r="25" spans="1:52" x14ac:dyDescent="0.35">
      <c r="B25" s="303"/>
      <c r="C25" s="381"/>
      <c r="D25" s="305"/>
      <c r="E25" s="309"/>
      <c r="F25" s="309"/>
      <c r="G25" s="383"/>
      <c r="H25" s="383"/>
      <c r="I25" s="29"/>
      <c r="J25" s="341"/>
      <c r="K25" s="253"/>
      <c r="L25" s="39"/>
      <c r="M25" s="39">
        <v>23259699</v>
      </c>
      <c r="N25" s="39"/>
      <c r="O25" s="39"/>
      <c r="P25" s="39">
        <v>6405132</v>
      </c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259"/>
      <c r="AX25" s="264">
        <f t="shared" si="0"/>
        <v>29664831</v>
      </c>
      <c r="AY25" s="127"/>
      <c r="AZ25" s="128"/>
    </row>
    <row r="26" spans="1:52" ht="14.5" customHeight="1" x14ac:dyDescent="0.35">
      <c r="B26" s="303" t="s">
        <v>417</v>
      </c>
      <c r="C26" s="381" t="s">
        <v>417</v>
      </c>
      <c r="D26" s="305" t="s">
        <v>96</v>
      </c>
      <c r="E26" s="309">
        <v>44124</v>
      </c>
      <c r="F26" s="309">
        <v>45291</v>
      </c>
      <c r="G26" s="383">
        <v>21685000</v>
      </c>
      <c r="H26" s="383">
        <v>21685000</v>
      </c>
      <c r="I26" s="29">
        <v>0</v>
      </c>
      <c r="J26" s="341" t="s">
        <v>97</v>
      </c>
      <c r="K26" s="254">
        <v>927500</v>
      </c>
      <c r="L26" s="38">
        <v>1325000</v>
      </c>
      <c r="M26" s="38">
        <v>2252500</v>
      </c>
      <c r="N26" s="38">
        <v>2650000</v>
      </c>
      <c r="O26" s="38">
        <v>4530000</v>
      </c>
      <c r="P26" s="38">
        <v>5000000</v>
      </c>
      <c r="Q26" s="38">
        <v>5000000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8">
        <v>0</v>
      </c>
      <c r="AI26" s="38">
        <v>0</v>
      </c>
      <c r="AJ26" s="38">
        <v>0</v>
      </c>
      <c r="AK26" s="38">
        <v>0</v>
      </c>
      <c r="AL26" s="38">
        <v>0</v>
      </c>
      <c r="AM26" s="38">
        <v>0</v>
      </c>
      <c r="AN26" s="38">
        <v>0</v>
      </c>
      <c r="AO26" s="38">
        <v>0</v>
      </c>
      <c r="AP26" s="38">
        <v>0</v>
      </c>
      <c r="AQ26" s="38">
        <v>0</v>
      </c>
      <c r="AR26" s="38">
        <v>0</v>
      </c>
      <c r="AS26" s="38">
        <v>0</v>
      </c>
      <c r="AT26" s="38">
        <v>0</v>
      </c>
      <c r="AU26" s="38">
        <v>0</v>
      </c>
      <c r="AV26" s="38">
        <v>0</v>
      </c>
      <c r="AW26" s="260">
        <v>0</v>
      </c>
      <c r="AX26" s="263">
        <f t="shared" si="0"/>
        <v>21685000</v>
      </c>
    </row>
    <row r="27" spans="1:52" ht="14.5" customHeight="1" x14ac:dyDescent="0.35">
      <c r="B27" s="303"/>
      <c r="C27" s="381"/>
      <c r="D27" s="305"/>
      <c r="E27" s="309"/>
      <c r="F27" s="309"/>
      <c r="G27" s="383"/>
      <c r="H27" s="383"/>
      <c r="I27" s="29"/>
      <c r="J27" s="341"/>
      <c r="K27" s="253"/>
      <c r="L27" s="39"/>
      <c r="M27" s="39">
        <v>927500</v>
      </c>
      <c r="N27" s="39">
        <v>1325000</v>
      </c>
      <c r="O27" s="39">
        <v>2252500</v>
      </c>
      <c r="P27" s="39">
        <v>2650000</v>
      </c>
      <c r="Q27" s="39">
        <v>4530000</v>
      </c>
      <c r="R27" s="39">
        <v>5000000</v>
      </c>
      <c r="S27" s="39">
        <v>5000000</v>
      </c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259"/>
      <c r="AX27" s="263">
        <f t="shared" si="0"/>
        <v>21685000</v>
      </c>
    </row>
    <row r="28" spans="1:52" ht="39" customHeight="1" x14ac:dyDescent="0.35">
      <c r="B28" s="303" t="s">
        <v>393</v>
      </c>
      <c r="C28" s="381" t="s">
        <v>418</v>
      </c>
      <c r="D28" s="305" t="s">
        <v>96</v>
      </c>
      <c r="E28" s="309">
        <v>44124</v>
      </c>
      <c r="F28" s="309">
        <v>45291</v>
      </c>
      <c r="G28" s="383">
        <v>70448618</v>
      </c>
      <c r="H28" s="383">
        <v>70448618</v>
      </c>
      <c r="I28" s="29">
        <v>0</v>
      </c>
      <c r="J28" s="341" t="s">
        <v>97</v>
      </c>
      <c r="K28" s="254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7200000</v>
      </c>
      <c r="U28" s="38">
        <v>32400000</v>
      </c>
      <c r="V28" s="38">
        <v>0</v>
      </c>
      <c r="W28" s="38">
        <v>0</v>
      </c>
      <c r="X28" s="38">
        <v>5200000</v>
      </c>
      <c r="Y28" s="38">
        <v>0</v>
      </c>
      <c r="Z28" s="38">
        <v>0</v>
      </c>
      <c r="AA28" s="38">
        <v>0</v>
      </c>
      <c r="AB28" s="38">
        <v>3200000</v>
      </c>
      <c r="AC28" s="38">
        <v>0</v>
      </c>
      <c r="AD28" s="38">
        <v>0</v>
      </c>
      <c r="AE28" s="38">
        <v>0</v>
      </c>
      <c r="AF28" s="38">
        <v>2200000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1980000</v>
      </c>
      <c r="AP28" s="38">
        <v>2970000</v>
      </c>
      <c r="AQ28" s="38">
        <v>2250000</v>
      </c>
      <c r="AR28" s="38">
        <v>0</v>
      </c>
      <c r="AS28" s="38">
        <v>0</v>
      </c>
      <c r="AT28" s="38">
        <v>461540</v>
      </c>
      <c r="AU28" s="38">
        <v>3924000</v>
      </c>
      <c r="AV28" s="38">
        <v>5273078</v>
      </c>
      <c r="AW28" s="260">
        <v>3390000</v>
      </c>
      <c r="AX28" s="263">
        <f t="shared" si="0"/>
        <v>70448618</v>
      </c>
    </row>
    <row r="29" spans="1:52" x14ac:dyDescent="0.35">
      <c r="B29" s="303"/>
      <c r="C29" s="381"/>
      <c r="D29" s="305"/>
      <c r="E29" s="309"/>
      <c r="F29" s="309"/>
      <c r="G29" s="383"/>
      <c r="H29" s="383"/>
      <c r="I29" s="29"/>
      <c r="J29" s="341"/>
      <c r="K29" s="253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>
        <v>2749470</v>
      </c>
      <c r="AL29" s="39"/>
      <c r="AM29" s="39">
        <v>180000</v>
      </c>
      <c r="AN29" s="39"/>
      <c r="AO29" s="39">
        <v>1771200</v>
      </c>
      <c r="AP29" s="39">
        <v>11508750</v>
      </c>
      <c r="AQ29" s="39"/>
      <c r="AR29" s="39"/>
      <c r="AS29" s="39"/>
      <c r="AT29" s="39"/>
      <c r="AU29" s="39"/>
      <c r="AV29" s="39"/>
      <c r="AW29" s="259"/>
      <c r="AX29" s="263">
        <f t="shared" si="0"/>
        <v>16209420</v>
      </c>
    </row>
    <row r="30" spans="1:52" ht="39" customHeight="1" x14ac:dyDescent="0.35">
      <c r="B30" s="303" t="s">
        <v>394</v>
      </c>
      <c r="C30" s="381" t="s">
        <v>419</v>
      </c>
      <c r="D30" s="305" t="s">
        <v>96</v>
      </c>
      <c r="E30" s="309">
        <v>44124</v>
      </c>
      <c r="F30" s="309">
        <v>45291</v>
      </c>
      <c r="G30" s="383">
        <v>6000000</v>
      </c>
      <c r="H30" s="383">
        <v>6000000</v>
      </c>
      <c r="I30" s="29">
        <v>0</v>
      </c>
      <c r="J30" s="341" t="s">
        <v>135</v>
      </c>
      <c r="K30" s="254">
        <v>0</v>
      </c>
      <c r="L30" s="38">
        <v>0</v>
      </c>
      <c r="M30" s="38">
        <v>0</v>
      </c>
      <c r="N30" s="38">
        <v>1200000</v>
      </c>
      <c r="O30" s="38">
        <v>0</v>
      </c>
      <c r="P30" s="38">
        <v>0</v>
      </c>
      <c r="Q30" s="38">
        <v>0</v>
      </c>
      <c r="R30" s="38">
        <v>0</v>
      </c>
      <c r="S30" s="38">
        <v>800000</v>
      </c>
      <c r="T30" s="38">
        <v>800000</v>
      </c>
      <c r="U30" s="38">
        <v>800000</v>
      </c>
      <c r="V30" s="38">
        <v>0</v>
      </c>
      <c r="W30" s="38">
        <v>0</v>
      </c>
      <c r="X30" s="38">
        <v>0</v>
      </c>
      <c r="Y30" s="38">
        <v>800000</v>
      </c>
      <c r="Z30" s="38">
        <v>0</v>
      </c>
      <c r="AA30" s="38">
        <v>0</v>
      </c>
      <c r="AB30" s="38">
        <v>800000</v>
      </c>
      <c r="AC30" s="38">
        <v>0</v>
      </c>
      <c r="AD30" s="38">
        <v>0</v>
      </c>
      <c r="AE30" s="38">
        <v>800000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260">
        <v>0</v>
      </c>
      <c r="AX30" s="263">
        <f t="shared" si="0"/>
        <v>6000000</v>
      </c>
    </row>
    <row r="31" spans="1:52" x14ac:dyDescent="0.35">
      <c r="B31" s="303"/>
      <c r="C31" s="381"/>
      <c r="D31" s="305"/>
      <c r="E31" s="309"/>
      <c r="F31" s="309"/>
      <c r="G31" s="383"/>
      <c r="H31" s="383"/>
      <c r="I31" s="29"/>
      <c r="J31" s="341"/>
      <c r="K31" s="253"/>
      <c r="L31" s="39"/>
      <c r="M31" s="39"/>
      <c r="N31" s="39"/>
      <c r="O31" s="39"/>
      <c r="P31" s="39">
        <v>1200000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259"/>
      <c r="AX31" s="263">
        <f t="shared" si="0"/>
        <v>1200000</v>
      </c>
    </row>
    <row r="32" spans="1:52" ht="39" customHeight="1" x14ac:dyDescent="0.35">
      <c r="B32" s="303" t="s">
        <v>399</v>
      </c>
      <c r="C32" s="381" t="s">
        <v>420</v>
      </c>
      <c r="D32" s="305" t="s">
        <v>96</v>
      </c>
      <c r="E32" s="309">
        <v>44124</v>
      </c>
      <c r="F32" s="309">
        <v>45291</v>
      </c>
      <c r="G32" s="383">
        <v>29733230</v>
      </c>
      <c r="H32" s="383">
        <v>29733230</v>
      </c>
      <c r="I32" s="29">
        <v>0</v>
      </c>
      <c r="J32" s="341" t="s">
        <v>97</v>
      </c>
      <c r="K32" s="254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4500000</v>
      </c>
      <c r="V32" s="38">
        <v>0</v>
      </c>
      <c r="W32" s="38">
        <v>0</v>
      </c>
      <c r="X32" s="38">
        <v>0</v>
      </c>
      <c r="Y32" s="38">
        <v>0</v>
      </c>
      <c r="Z32" s="38">
        <v>630000</v>
      </c>
      <c r="AA32" s="38">
        <v>2970000</v>
      </c>
      <c r="AB32" s="38">
        <v>2970000</v>
      </c>
      <c r="AC32" s="38">
        <v>630000</v>
      </c>
      <c r="AD32" s="38">
        <v>0</v>
      </c>
      <c r="AE32" s="38">
        <v>0</v>
      </c>
      <c r="AF32" s="38">
        <v>0</v>
      </c>
      <c r="AG32" s="38">
        <v>4608000</v>
      </c>
      <c r="AH32" s="38">
        <v>5042310</v>
      </c>
      <c r="AI32" s="38">
        <v>2706000</v>
      </c>
      <c r="AJ32" s="38">
        <v>600000</v>
      </c>
      <c r="AK32" s="38">
        <v>784615</v>
      </c>
      <c r="AL32" s="38">
        <v>1800000</v>
      </c>
      <c r="AM32" s="38">
        <v>1800000</v>
      </c>
      <c r="AN32" s="38">
        <v>692305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260">
        <v>0</v>
      </c>
      <c r="AX32" s="263">
        <f t="shared" si="0"/>
        <v>29733230</v>
      </c>
    </row>
    <row r="33" spans="2:50" x14ac:dyDescent="0.35">
      <c r="B33" s="303"/>
      <c r="C33" s="381"/>
      <c r="D33" s="305"/>
      <c r="E33" s="309"/>
      <c r="F33" s="309"/>
      <c r="G33" s="383"/>
      <c r="H33" s="383"/>
      <c r="I33" s="29"/>
      <c r="J33" s="341"/>
      <c r="K33" s="253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259"/>
      <c r="AX33" s="263">
        <f t="shared" si="0"/>
        <v>0</v>
      </c>
    </row>
    <row r="34" spans="2:50" x14ac:dyDescent="0.35">
      <c r="B34" s="303" t="s">
        <v>400</v>
      </c>
      <c r="C34" s="381" t="s">
        <v>421</v>
      </c>
      <c r="D34" s="305" t="s">
        <v>96</v>
      </c>
      <c r="E34" s="309">
        <v>44124</v>
      </c>
      <c r="F34" s="309">
        <v>45291</v>
      </c>
      <c r="G34" s="383">
        <v>25000000</v>
      </c>
      <c r="H34" s="383">
        <v>25000000</v>
      </c>
      <c r="I34" s="29">
        <v>0</v>
      </c>
      <c r="J34" s="341" t="s">
        <v>97</v>
      </c>
      <c r="K34" s="254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25000000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8">
        <v>0</v>
      </c>
      <c r="AI34" s="38">
        <v>0</v>
      </c>
      <c r="AJ34" s="38">
        <v>0</v>
      </c>
      <c r="AK34" s="38">
        <v>0</v>
      </c>
      <c r="AL34" s="38">
        <v>0</v>
      </c>
      <c r="AM34" s="38">
        <v>0</v>
      </c>
      <c r="AN34" s="38">
        <v>0</v>
      </c>
      <c r="AO34" s="38">
        <v>0</v>
      </c>
      <c r="AP34" s="38">
        <v>0</v>
      </c>
      <c r="AQ34" s="38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260">
        <v>0</v>
      </c>
      <c r="AX34" s="263">
        <f t="shared" si="0"/>
        <v>25000000</v>
      </c>
    </row>
    <row r="35" spans="2:50" x14ac:dyDescent="0.35">
      <c r="B35" s="303"/>
      <c r="C35" s="381"/>
      <c r="D35" s="305"/>
      <c r="E35" s="309"/>
      <c r="F35" s="309"/>
      <c r="G35" s="383"/>
      <c r="H35" s="383"/>
      <c r="I35" s="29"/>
      <c r="J35" s="341"/>
      <c r="K35" s="253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259"/>
      <c r="AX35" s="263">
        <f t="shared" si="0"/>
        <v>0</v>
      </c>
    </row>
    <row r="36" spans="2:50" ht="39" customHeight="1" x14ac:dyDescent="0.35">
      <c r="B36" s="303" t="s">
        <v>401</v>
      </c>
      <c r="C36" s="381" t="s">
        <v>422</v>
      </c>
      <c r="D36" s="305" t="s">
        <v>96</v>
      </c>
      <c r="E36" s="309">
        <v>44124</v>
      </c>
      <c r="F36" s="309">
        <v>45291</v>
      </c>
      <c r="G36" s="383">
        <v>27233230</v>
      </c>
      <c r="H36" s="383">
        <v>27233230</v>
      </c>
      <c r="I36" s="29">
        <v>0</v>
      </c>
      <c r="J36" s="341" t="s">
        <v>97</v>
      </c>
      <c r="K36" s="254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500000</v>
      </c>
      <c r="U36" s="38">
        <v>180000</v>
      </c>
      <c r="V36" s="38">
        <v>2970000</v>
      </c>
      <c r="W36" s="38">
        <v>2970000</v>
      </c>
      <c r="X36" s="38">
        <v>1080000</v>
      </c>
      <c r="Y36" s="38">
        <v>500000</v>
      </c>
      <c r="Z36" s="38">
        <v>0</v>
      </c>
      <c r="AA36" s="38">
        <v>46155</v>
      </c>
      <c r="AB36" s="38">
        <v>3786000</v>
      </c>
      <c r="AC36" s="38">
        <v>7296155</v>
      </c>
      <c r="AD36" s="38">
        <v>5466460</v>
      </c>
      <c r="AE36" s="38">
        <v>1800000</v>
      </c>
      <c r="AF36" s="38">
        <v>138460</v>
      </c>
      <c r="AG36" s="38">
        <v>500000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260">
        <v>0</v>
      </c>
      <c r="AX36" s="263">
        <f t="shared" si="0"/>
        <v>27233230</v>
      </c>
    </row>
    <row r="37" spans="2:50" x14ac:dyDescent="0.35">
      <c r="B37" s="303"/>
      <c r="C37" s="381"/>
      <c r="D37" s="305"/>
      <c r="E37" s="309"/>
      <c r="F37" s="309"/>
      <c r="G37" s="383"/>
      <c r="H37" s="383"/>
      <c r="I37" s="29"/>
      <c r="J37" s="341"/>
      <c r="K37" s="253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>
        <v>2970000</v>
      </c>
      <c r="X37" s="39">
        <v>495000</v>
      </c>
      <c r="Y37" s="39">
        <v>990000</v>
      </c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259"/>
      <c r="AX37" s="263">
        <f t="shared" si="0"/>
        <v>4455000</v>
      </c>
    </row>
    <row r="38" spans="2:50" ht="39" customHeight="1" x14ac:dyDescent="0.35">
      <c r="B38" s="303" t="s">
        <v>402</v>
      </c>
      <c r="C38" s="381" t="s">
        <v>423</v>
      </c>
      <c r="D38" s="305" t="s">
        <v>96</v>
      </c>
      <c r="E38" s="309">
        <v>44124</v>
      </c>
      <c r="F38" s="309">
        <v>45291</v>
      </c>
      <c r="G38" s="383">
        <v>145233231</v>
      </c>
      <c r="H38" s="383">
        <v>145233231</v>
      </c>
      <c r="I38" s="29">
        <v>0</v>
      </c>
      <c r="J38" s="341" t="s">
        <v>97</v>
      </c>
      <c r="K38" s="254">
        <v>0</v>
      </c>
      <c r="L38" s="38">
        <v>119999957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1080000</v>
      </c>
      <c r="AF38" s="38">
        <v>2970000</v>
      </c>
      <c r="AG38" s="38">
        <v>2970000</v>
      </c>
      <c r="AH38" s="38">
        <v>180000</v>
      </c>
      <c r="AI38" s="38">
        <v>0</v>
      </c>
      <c r="AJ38" s="38">
        <v>0</v>
      </c>
      <c r="AK38" s="38">
        <v>1080000</v>
      </c>
      <c r="AL38" s="38">
        <v>4950000</v>
      </c>
      <c r="AM38" s="38">
        <v>5273080</v>
      </c>
      <c r="AN38" s="38">
        <v>1284000</v>
      </c>
      <c r="AO38" s="38">
        <v>461579</v>
      </c>
      <c r="AP38" s="38">
        <v>0</v>
      </c>
      <c r="AQ38" s="38">
        <v>1523080</v>
      </c>
      <c r="AR38" s="38">
        <v>1800000</v>
      </c>
      <c r="AS38" s="38">
        <v>1661535</v>
      </c>
      <c r="AT38" s="38">
        <v>0</v>
      </c>
      <c r="AU38" s="38">
        <v>0</v>
      </c>
      <c r="AV38" s="38">
        <v>0</v>
      </c>
      <c r="AW38" s="260">
        <v>0</v>
      </c>
      <c r="AX38" s="263">
        <f t="shared" si="0"/>
        <v>145233231</v>
      </c>
    </row>
    <row r="39" spans="2:50" x14ac:dyDescent="0.35">
      <c r="B39" s="303"/>
      <c r="C39" s="381"/>
      <c r="D39" s="305"/>
      <c r="E39" s="309"/>
      <c r="F39" s="309"/>
      <c r="G39" s="383"/>
      <c r="H39" s="383"/>
      <c r="I39" s="29"/>
      <c r="J39" s="341"/>
      <c r="K39" s="253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>
        <v>119999957</v>
      </c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>
        <v>7090000</v>
      </c>
      <c r="AK39" s="39">
        <v>7581800</v>
      </c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259"/>
      <c r="AX39" s="263">
        <f t="shared" si="0"/>
        <v>134671757</v>
      </c>
    </row>
    <row r="40" spans="2:50" ht="26" customHeight="1" x14ac:dyDescent="0.35">
      <c r="B40" s="303" t="s">
        <v>403</v>
      </c>
      <c r="C40" s="381" t="s">
        <v>424</v>
      </c>
      <c r="D40" s="305" t="s">
        <v>96</v>
      </c>
      <c r="E40" s="309">
        <v>44124</v>
      </c>
      <c r="F40" s="309">
        <v>45291</v>
      </c>
      <c r="G40" s="383">
        <v>97437460</v>
      </c>
      <c r="H40" s="383">
        <v>97437460</v>
      </c>
      <c r="I40" s="29">
        <v>0</v>
      </c>
      <c r="J40" s="341" t="s">
        <v>97</v>
      </c>
      <c r="K40" s="254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17500000</v>
      </c>
      <c r="V40" s="38">
        <v>5000000</v>
      </c>
      <c r="W40" s="38">
        <v>0</v>
      </c>
      <c r="X40" s="38">
        <v>11700000</v>
      </c>
      <c r="Y40" s="38">
        <v>2970000</v>
      </c>
      <c r="Z40" s="38">
        <v>2340000</v>
      </c>
      <c r="AA40" s="38">
        <v>9810000</v>
      </c>
      <c r="AB40" s="38">
        <v>9810000</v>
      </c>
      <c r="AC40" s="38">
        <v>0</v>
      </c>
      <c r="AD40" s="38">
        <v>1883540</v>
      </c>
      <c r="AE40" s="38">
        <v>5550000</v>
      </c>
      <c r="AF40" s="38">
        <v>14011540</v>
      </c>
      <c r="AG40" s="38">
        <v>7192000</v>
      </c>
      <c r="AH40" s="38">
        <v>2307690</v>
      </c>
      <c r="AI40" s="38">
        <v>1800000</v>
      </c>
      <c r="AJ40" s="38">
        <v>1800000</v>
      </c>
      <c r="AK40" s="38">
        <v>1107690</v>
      </c>
      <c r="AL40" s="38">
        <v>0</v>
      </c>
      <c r="AM40" s="38">
        <v>0</v>
      </c>
      <c r="AN40" s="38">
        <v>0</v>
      </c>
      <c r="AO40" s="38">
        <v>0</v>
      </c>
      <c r="AP40" s="38">
        <v>0</v>
      </c>
      <c r="AQ40" s="38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1170000</v>
      </c>
      <c r="AW40" s="260">
        <v>1485000</v>
      </c>
      <c r="AX40" s="263">
        <f t="shared" si="0"/>
        <v>97437460</v>
      </c>
    </row>
    <row r="41" spans="2:50" x14ac:dyDescent="0.35">
      <c r="B41" s="303"/>
      <c r="C41" s="381"/>
      <c r="D41" s="305"/>
      <c r="E41" s="309"/>
      <c r="F41" s="309"/>
      <c r="G41" s="383"/>
      <c r="H41" s="383"/>
      <c r="I41" s="29"/>
      <c r="J41" s="341"/>
      <c r="K41" s="253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259"/>
      <c r="AX41" s="263">
        <f t="shared" si="0"/>
        <v>0</v>
      </c>
    </row>
    <row r="42" spans="2:50" ht="26" customHeight="1" x14ac:dyDescent="0.35">
      <c r="B42" s="303" t="s">
        <v>404</v>
      </c>
      <c r="C42" s="381" t="s">
        <v>425</v>
      </c>
      <c r="D42" s="305" t="s">
        <v>96</v>
      </c>
      <c r="E42" s="309">
        <v>44124</v>
      </c>
      <c r="F42" s="309">
        <v>45291</v>
      </c>
      <c r="G42" s="383">
        <v>45802465</v>
      </c>
      <c r="H42" s="383">
        <v>45802465</v>
      </c>
      <c r="I42" s="29">
        <v>0</v>
      </c>
      <c r="J42" s="341" t="s">
        <v>97</v>
      </c>
      <c r="K42" s="254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23200000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38">
        <v>0</v>
      </c>
      <c r="AI42" s="38">
        <v>0</v>
      </c>
      <c r="AJ42" s="38">
        <v>1530000</v>
      </c>
      <c r="AK42" s="38">
        <v>2970000</v>
      </c>
      <c r="AL42" s="38">
        <v>2700000</v>
      </c>
      <c r="AM42" s="38">
        <v>0</v>
      </c>
      <c r="AN42" s="38">
        <v>0</v>
      </c>
      <c r="AO42" s="38">
        <v>0</v>
      </c>
      <c r="AP42" s="38">
        <v>2502000</v>
      </c>
      <c r="AQ42" s="38">
        <v>4950000</v>
      </c>
      <c r="AR42" s="38">
        <v>4765850</v>
      </c>
      <c r="AS42" s="38">
        <v>600000</v>
      </c>
      <c r="AT42" s="38">
        <v>230765</v>
      </c>
      <c r="AU42" s="38">
        <v>0</v>
      </c>
      <c r="AV42" s="38">
        <v>553850</v>
      </c>
      <c r="AW42" s="260">
        <v>1800000</v>
      </c>
      <c r="AX42" s="263">
        <f t="shared" si="0"/>
        <v>45802465</v>
      </c>
    </row>
    <row r="43" spans="2:50" x14ac:dyDescent="0.35">
      <c r="B43" s="303"/>
      <c r="C43" s="381"/>
      <c r="D43" s="305"/>
      <c r="E43" s="309"/>
      <c r="F43" s="309"/>
      <c r="G43" s="383"/>
      <c r="H43" s="383"/>
      <c r="I43" s="29"/>
      <c r="J43" s="341"/>
      <c r="K43" s="253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259"/>
      <c r="AX43" s="263">
        <f t="shared" si="0"/>
        <v>0</v>
      </c>
    </row>
    <row r="44" spans="2:50" ht="26" customHeight="1" x14ac:dyDescent="0.35">
      <c r="B44" s="303" t="s">
        <v>405</v>
      </c>
      <c r="C44" s="381" t="s">
        <v>426</v>
      </c>
      <c r="D44" s="305" t="s">
        <v>96</v>
      </c>
      <c r="E44" s="309">
        <v>44124</v>
      </c>
      <c r="F44" s="309">
        <v>45291</v>
      </c>
      <c r="G44" s="383">
        <v>35233231</v>
      </c>
      <c r="H44" s="383">
        <v>35233231</v>
      </c>
      <c r="I44" s="29">
        <v>0</v>
      </c>
      <c r="J44" s="341" t="s">
        <v>97</v>
      </c>
      <c r="K44" s="254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10000000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G44" s="38">
        <v>0</v>
      </c>
      <c r="AH44" s="38">
        <v>2790000</v>
      </c>
      <c r="AI44" s="38">
        <v>2970000</v>
      </c>
      <c r="AJ44" s="38">
        <v>1440000</v>
      </c>
      <c r="AK44" s="38">
        <v>0</v>
      </c>
      <c r="AL44" s="38">
        <v>0</v>
      </c>
      <c r="AM44" s="38">
        <v>0</v>
      </c>
      <c r="AN44" s="38">
        <v>4266000</v>
      </c>
      <c r="AO44" s="38">
        <v>5088466</v>
      </c>
      <c r="AP44" s="38">
        <v>3048000</v>
      </c>
      <c r="AQ44" s="38">
        <v>600000</v>
      </c>
      <c r="AR44" s="38">
        <v>46150</v>
      </c>
      <c r="AS44" s="38">
        <v>138465</v>
      </c>
      <c r="AT44" s="38">
        <v>1800000</v>
      </c>
      <c r="AU44" s="38">
        <v>1800000</v>
      </c>
      <c r="AV44" s="38">
        <v>1246150</v>
      </c>
      <c r="AW44" s="260">
        <v>0</v>
      </c>
      <c r="AX44" s="263">
        <f t="shared" si="0"/>
        <v>35233231</v>
      </c>
    </row>
    <row r="45" spans="2:50" x14ac:dyDescent="0.35">
      <c r="B45" s="303"/>
      <c r="C45" s="381"/>
      <c r="D45" s="305"/>
      <c r="E45" s="309"/>
      <c r="F45" s="309"/>
      <c r="G45" s="383"/>
      <c r="H45" s="383"/>
      <c r="I45" s="29"/>
      <c r="J45" s="341"/>
      <c r="K45" s="253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259"/>
      <c r="AX45" s="263">
        <f t="shared" si="0"/>
        <v>0</v>
      </c>
    </row>
    <row r="46" spans="2:50" ht="26" customHeight="1" x14ac:dyDescent="0.35">
      <c r="B46" s="303" t="s">
        <v>406</v>
      </c>
      <c r="C46" s="381" t="s">
        <v>427</v>
      </c>
      <c r="D46" s="305" t="s">
        <v>96</v>
      </c>
      <c r="E46" s="309">
        <v>44124</v>
      </c>
      <c r="F46" s="309">
        <v>45291</v>
      </c>
      <c r="G46" s="383">
        <v>135233230</v>
      </c>
      <c r="H46" s="383">
        <v>135233230</v>
      </c>
      <c r="I46" s="29">
        <v>0</v>
      </c>
      <c r="J46" s="341" t="s">
        <v>97</v>
      </c>
      <c r="K46" s="254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2340000</v>
      </c>
      <c r="AD46" s="38">
        <v>2970000</v>
      </c>
      <c r="AE46" s="38">
        <v>1890000</v>
      </c>
      <c r="AF46" s="38">
        <v>0</v>
      </c>
      <c r="AG46" s="38">
        <v>0</v>
      </c>
      <c r="AH46" s="38">
        <v>0</v>
      </c>
      <c r="AI46" s="38">
        <v>10844000</v>
      </c>
      <c r="AJ46" s="38">
        <v>12950000</v>
      </c>
      <c r="AK46" s="38">
        <v>12377695</v>
      </c>
      <c r="AL46" s="38">
        <v>8600000</v>
      </c>
      <c r="AM46" s="38">
        <v>8276920</v>
      </c>
      <c r="AN46" s="38">
        <v>9107695</v>
      </c>
      <c r="AO46" s="38">
        <v>9800000</v>
      </c>
      <c r="AP46" s="38">
        <v>11800000</v>
      </c>
      <c r="AQ46" s="38">
        <v>10276920</v>
      </c>
      <c r="AR46" s="38">
        <v>2000000</v>
      </c>
      <c r="AS46" s="38">
        <v>2000000</v>
      </c>
      <c r="AT46" s="38">
        <v>2000000</v>
      </c>
      <c r="AU46" s="38">
        <v>10000000</v>
      </c>
      <c r="AV46" s="38">
        <v>10000000</v>
      </c>
      <c r="AW46" s="260">
        <v>8000000</v>
      </c>
      <c r="AX46" s="263">
        <f t="shared" ref="AX46:AX67" si="1">SUM(K46:AW46)</f>
        <v>135233230</v>
      </c>
    </row>
    <row r="47" spans="2:50" x14ac:dyDescent="0.35">
      <c r="B47" s="303"/>
      <c r="C47" s="381"/>
      <c r="D47" s="305"/>
      <c r="E47" s="309"/>
      <c r="F47" s="309"/>
      <c r="G47" s="383"/>
      <c r="H47" s="383"/>
      <c r="I47" s="29"/>
      <c r="J47" s="341"/>
      <c r="K47" s="253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259"/>
      <c r="AX47" s="263">
        <f t="shared" si="1"/>
        <v>0</v>
      </c>
    </row>
    <row r="48" spans="2:50" ht="26" customHeight="1" x14ac:dyDescent="0.35">
      <c r="B48" s="303" t="s">
        <v>407</v>
      </c>
      <c r="C48" s="381" t="s">
        <v>428</v>
      </c>
      <c r="D48" s="305" t="s">
        <v>96</v>
      </c>
      <c r="E48" s="309">
        <v>44124</v>
      </c>
      <c r="F48" s="309">
        <v>45291</v>
      </c>
      <c r="G48" s="383">
        <v>126074700</v>
      </c>
      <c r="H48" s="383">
        <v>126074700</v>
      </c>
      <c r="I48" s="29">
        <v>0</v>
      </c>
      <c r="J48" s="341" t="s">
        <v>135</v>
      </c>
      <c r="K48" s="254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4928760</v>
      </c>
      <c r="AJ48" s="38">
        <v>0</v>
      </c>
      <c r="AK48" s="38">
        <v>0</v>
      </c>
      <c r="AL48" s="38">
        <v>33568680</v>
      </c>
      <c r="AM48" s="38">
        <v>0</v>
      </c>
      <c r="AN48" s="38">
        <v>0</v>
      </c>
      <c r="AO48" s="38">
        <v>33568680</v>
      </c>
      <c r="AP48" s="38">
        <v>0</v>
      </c>
      <c r="AQ48" s="38">
        <v>0</v>
      </c>
      <c r="AR48" s="38">
        <v>33568680</v>
      </c>
      <c r="AS48" s="38">
        <v>0</v>
      </c>
      <c r="AT48" s="38">
        <v>0</v>
      </c>
      <c r="AU48" s="38">
        <v>20439900</v>
      </c>
      <c r="AV48" s="38">
        <v>0</v>
      </c>
      <c r="AW48" s="260">
        <v>0</v>
      </c>
      <c r="AX48" s="263">
        <f t="shared" si="1"/>
        <v>126074700</v>
      </c>
    </row>
    <row r="49" spans="2:52" x14ac:dyDescent="0.35">
      <c r="B49" s="303"/>
      <c r="C49" s="381"/>
      <c r="D49" s="305"/>
      <c r="E49" s="309"/>
      <c r="F49" s="309"/>
      <c r="G49" s="383"/>
      <c r="H49" s="383"/>
      <c r="I49" s="29"/>
      <c r="J49" s="341"/>
      <c r="K49" s="253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259"/>
      <c r="AX49" s="263">
        <f t="shared" si="1"/>
        <v>0</v>
      </c>
    </row>
    <row r="50" spans="2:52" ht="39" customHeight="1" x14ac:dyDescent="0.35">
      <c r="B50" s="303" t="s">
        <v>395</v>
      </c>
      <c r="C50" s="381" t="s">
        <v>429</v>
      </c>
      <c r="D50" s="305" t="s">
        <v>96</v>
      </c>
      <c r="E50" s="309">
        <v>44124</v>
      </c>
      <c r="F50" s="309">
        <v>45291</v>
      </c>
      <c r="G50" s="383">
        <v>231548615</v>
      </c>
      <c r="H50" s="383">
        <v>231548615</v>
      </c>
      <c r="I50" s="29">
        <v>0</v>
      </c>
      <c r="J50" s="341" t="s">
        <v>97</v>
      </c>
      <c r="K50" s="254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5700000</v>
      </c>
      <c r="T50" s="38">
        <v>5900000</v>
      </c>
      <c r="U50" s="38">
        <v>2400000</v>
      </c>
      <c r="V50" s="38">
        <v>3900000</v>
      </c>
      <c r="W50" s="38">
        <v>2400000</v>
      </c>
      <c r="X50" s="38">
        <v>12400000</v>
      </c>
      <c r="Y50" s="38">
        <v>3900000</v>
      </c>
      <c r="Z50" s="38">
        <v>0</v>
      </c>
      <c r="AA50" s="38">
        <v>2400000</v>
      </c>
      <c r="AB50" s="38">
        <v>3900000</v>
      </c>
      <c r="AC50" s="38">
        <v>0</v>
      </c>
      <c r="AD50" s="38">
        <v>2400000</v>
      </c>
      <c r="AE50" s="38">
        <v>3900000</v>
      </c>
      <c r="AF50" s="38">
        <v>0</v>
      </c>
      <c r="AG50" s="38">
        <v>2400000</v>
      </c>
      <c r="AH50" s="38">
        <v>3900000</v>
      </c>
      <c r="AI50" s="38">
        <v>7400000</v>
      </c>
      <c r="AJ50" s="38">
        <v>7400000</v>
      </c>
      <c r="AK50" s="38">
        <v>7900000</v>
      </c>
      <c r="AL50" s="38">
        <v>270000</v>
      </c>
      <c r="AM50" s="38">
        <v>5370000</v>
      </c>
      <c r="AN50" s="38">
        <v>6870000</v>
      </c>
      <c r="AO50" s="38">
        <v>990000</v>
      </c>
      <c r="AP50" s="38">
        <v>2400000</v>
      </c>
      <c r="AQ50" s="38">
        <v>7900000</v>
      </c>
      <c r="AR50" s="38">
        <v>18738000</v>
      </c>
      <c r="AS50" s="38">
        <v>15350000</v>
      </c>
      <c r="AT50" s="38">
        <v>22357693</v>
      </c>
      <c r="AU50" s="38">
        <v>63026000</v>
      </c>
      <c r="AV50" s="38">
        <v>7676922</v>
      </c>
      <c r="AW50" s="260">
        <v>2400000</v>
      </c>
      <c r="AX50" s="263">
        <f t="shared" si="1"/>
        <v>231548615</v>
      </c>
    </row>
    <row r="51" spans="2:52" x14ac:dyDescent="0.35">
      <c r="B51" s="303"/>
      <c r="C51" s="381"/>
      <c r="D51" s="305"/>
      <c r="E51" s="309"/>
      <c r="F51" s="309"/>
      <c r="G51" s="383"/>
      <c r="H51" s="383"/>
      <c r="I51" s="29"/>
      <c r="J51" s="341"/>
      <c r="K51" s="253"/>
      <c r="L51" s="39"/>
      <c r="M51" s="39"/>
      <c r="N51" s="39"/>
      <c r="O51" s="39"/>
      <c r="P51" s="39"/>
      <c r="Q51" s="39"/>
      <c r="R51" s="39"/>
      <c r="S51" s="39"/>
      <c r="T51" s="39">
        <v>1530000</v>
      </c>
      <c r="U51" s="39"/>
      <c r="V51" s="39"/>
      <c r="W51" s="39">
        <v>990000</v>
      </c>
      <c r="X51" s="39">
        <v>540000</v>
      </c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259"/>
      <c r="AX51" s="263">
        <f t="shared" si="1"/>
        <v>3060000</v>
      </c>
    </row>
    <row r="52" spans="2:52" ht="39" customHeight="1" x14ac:dyDescent="0.35">
      <c r="B52" s="303" t="s">
        <v>396</v>
      </c>
      <c r="C52" s="381" t="s">
        <v>430</v>
      </c>
      <c r="D52" s="305" t="s">
        <v>96</v>
      </c>
      <c r="E52" s="309">
        <v>44124</v>
      </c>
      <c r="F52" s="309">
        <v>45291</v>
      </c>
      <c r="G52" s="383">
        <v>12921000</v>
      </c>
      <c r="H52" s="383">
        <v>12921000</v>
      </c>
      <c r="I52" s="29">
        <v>0</v>
      </c>
      <c r="J52" s="341" t="s">
        <v>135</v>
      </c>
      <c r="K52" s="254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G52" s="38">
        <v>0</v>
      </c>
      <c r="AH52" s="38">
        <v>0</v>
      </c>
      <c r="AI52" s="38">
        <v>0</v>
      </c>
      <c r="AJ52" s="38">
        <v>0</v>
      </c>
      <c r="AK52" s="38">
        <v>0</v>
      </c>
      <c r="AL52" s="38">
        <v>0</v>
      </c>
      <c r="AM52" s="38">
        <v>0</v>
      </c>
      <c r="AN52" s="38">
        <v>0</v>
      </c>
      <c r="AO52" s="38">
        <v>0</v>
      </c>
      <c r="AP52" s="38">
        <v>0</v>
      </c>
      <c r="AQ52" s="38">
        <v>0</v>
      </c>
      <c r="AR52" s="38">
        <v>0</v>
      </c>
      <c r="AS52" s="38">
        <v>0</v>
      </c>
      <c r="AT52" s="38">
        <v>0</v>
      </c>
      <c r="AU52" s="38">
        <v>8200020</v>
      </c>
      <c r="AV52" s="38">
        <v>0</v>
      </c>
      <c r="AW52" s="260">
        <v>4720980</v>
      </c>
      <c r="AX52" s="263">
        <f t="shared" si="1"/>
        <v>12921000</v>
      </c>
    </row>
    <row r="53" spans="2:52" x14ac:dyDescent="0.35">
      <c r="B53" s="303"/>
      <c r="C53" s="381"/>
      <c r="D53" s="305"/>
      <c r="E53" s="309"/>
      <c r="F53" s="309"/>
      <c r="G53" s="383"/>
      <c r="H53" s="383"/>
      <c r="I53" s="29"/>
      <c r="J53" s="341"/>
      <c r="K53" s="253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259"/>
      <c r="AX53" s="263">
        <f t="shared" si="1"/>
        <v>0</v>
      </c>
    </row>
    <row r="54" spans="2:52" x14ac:dyDescent="0.35">
      <c r="B54" s="303" t="s">
        <v>397</v>
      </c>
      <c r="C54" s="381" t="s">
        <v>431</v>
      </c>
      <c r="D54" s="305" t="s">
        <v>96</v>
      </c>
      <c r="E54" s="309">
        <v>44124</v>
      </c>
      <c r="F54" s="309">
        <v>45291</v>
      </c>
      <c r="G54" s="383">
        <v>105945825</v>
      </c>
      <c r="H54" s="383">
        <v>105945825</v>
      </c>
      <c r="I54" s="29">
        <v>0</v>
      </c>
      <c r="J54" s="341" t="s">
        <v>135</v>
      </c>
      <c r="K54" s="254">
        <v>0</v>
      </c>
      <c r="L54" s="38">
        <v>0</v>
      </c>
      <c r="M54" s="38">
        <v>0</v>
      </c>
      <c r="N54" s="38">
        <v>16854567</v>
      </c>
      <c r="O54" s="38">
        <v>0</v>
      </c>
      <c r="P54" s="38">
        <v>0</v>
      </c>
      <c r="Q54" s="38">
        <v>9899029</v>
      </c>
      <c r="R54" s="38">
        <v>0</v>
      </c>
      <c r="S54" s="38">
        <v>0</v>
      </c>
      <c r="T54" s="38">
        <v>9899029</v>
      </c>
      <c r="U54" s="38">
        <v>0</v>
      </c>
      <c r="V54" s="38">
        <v>0</v>
      </c>
      <c r="W54" s="38">
        <v>9899029</v>
      </c>
      <c r="X54" s="38">
        <v>0</v>
      </c>
      <c r="Y54" s="38">
        <v>0</v>
      </c>
      <c r="Z54" s="38">
        <v>9899029</v>
      </c>
      <c r="AA54" s="38">
        <v>0</v>
      </c>
      <c r="AB54" s="38">
        <v>0</v>
      </c>
      <c r="AC54" s="38">
        <v>9899029</v>
      </c>
      <c r="AD54" s="38">
        <v>0</v>
      </c>
      <c r="AE54" s="38">
        <v>0</v>
      </c>
      <c r="AF54" s="38">
        <v>9899029</v>
      </c>
      <c r="AG54" s="38">
        <v>0</v>
      </c>
      <c r="AH54" s="38">
        <v>0</v>
      </c>
      <c r="AI54" s="38">
        <v>9899028</v>
      </c>
      <c r="AJ54" s="38">
        <v>0</v>
      </c>
      <c r="AK54" s="38">
        <v>0</v>
      </c>
      <c r="AL54" s="38">
        <v>9899028</v>
      </c>
      <c r="AM54" s="38">
        <v>0</v>
      </c>
      <c r="AN54" s="38">
        <v>0</v>
      </c>
      <c r="AO54" s="38">
        <v>9899028</v>
      </c>
      <c r="AP54" s="38">
        <v>0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260">
        <v>0</v>
      </c>
      <c r="AX54" s="263">
        <f t="shared" si="1"/>
        <v>105945825</v>
      </c>
    </row>
    <row r="55" spans="2:52" x14ac:dyDescent="0.35">
      <c r="B55" s="303"/>
      <c r="C55" s="381"/>
      <c r="D55" s="305"/>
      <c r="E55" s="309"/>
      <c r="F55" s="309"/>
      <c r="G55" s="383"/>
      <c r="H55" s="383"/>
      <c r="I55" s="29"/>
      <c r="J55" s="341"/>
      <c r="K55" s="253"/>
      <c r="L55" s="39"/>
      <c r="M55" s="39"/>
      <c r="N55" s="39"/>
      <c r="O55" s="39"/>
      <c r="P55" s="39">
        <v>16854567</v>
      </c>
      <c r="Q55" s="39"/>
      <c r="R55" s="39"/>
      <c r="S55" s="39">
        <v>9894599</v>
      </c>
      <c r="T55" s="39"/>
      <c r="U55" s="39"/>
      <c r="V55" s="39">
        <v>9850982</v>
      </c>
      <c r="W55" s="39"/>
      <c r="X55" s="39"/>
      <c r="Y55" s="39">
        <v>9846266</v>
      </c>
      <c r="Z55" s="39"/>
      <c r="AA55" s="39"/>
      <c r="AB55" s="39">
        <v>12913499</v>
      </c>
      <c r="AC55" s="39"/>
      <c r="AD55" s="39"/>
      <c r="AE55" s="39">
        <v>7753233</v>
      </c>
      <c r="AF55" s="39"/>
      <c r="AG55" s="39"/>
      <c r="AH55" s="39"/>
      <c r="AI55" s="39"/>
      <c r="AJ55" s="39"/>
      <c r="AK55" s="39">
        <v>20279998</v>
      </c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259"/>
      <c r="AX55" s="264">
        <f t="shared" si="1"/>
        <v>87393144</v>
      </c>
      <c r="AY55" s="127"/>
      <c r="AZ55" s="128"/>
    </row>
    <row r="56" spans="2:52" x14ac:dyDescent="0.35">
      <c r="B56" s="303" t="s">
        <v>398</v>
      </c>
      <c r="C56" s="381" t="s">
        <v>432</v>
      </c>
      <c r="D56" s="305" t="s">
        <v>96</v>
      </c>
      <c r="E56" s="309">
        <v>44124</v>
      </c>
      <c r="F56" s="309">
        <v>45291</v>
      </c>
      <c r="G56" s="383">
        <v>125000000</v>
      </c>
      <c r="H56" s="383">
        <v>125000000</v>
      </c>
      <c r="I56" s="29">
        <v>0</v>
      </c>
      <c r="J56" s="341" t="s">
        <v>97</v>
      </c>
      <c r="K56" s="254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5000000</v>
      </c>
      <c r="S56" s="38">
        <v>5000000</v>
      </c>
      <c r="T56" s="38">
        <v>5000000</v>
      </c>
      <c r="U56" s="38">
        <v>5000000</v>
      </c>
      <c r="V56" s="38">
        <v>5000000</v>
      </c>
      <c r="W56" s="38">
        <v>5000000</v>
      </c>
      <c r="X56" s="38">
        <v>5000000</v>
      </c>
      <c r="Y56" s="38">
        <v>5000000</v>
      </c>
      <c r="Z56" s="38">
        <v>5000000</v>
      </c>
      <c r="AA56" s="38">
        <v>5000000</v>
      </c>
      <c r="AB56" s="38">
        <v>5000000</v>
      </c>
      <c r="AC56" s="38">
        <v>5000000</v>
      </c>
      <c r="AD56" s="38">
        <v>5000000</v>
      </c>
      <c r="AE56" s="38">
        <v>5000000</v>
      </c>
      <c r="AF56" s="38">
        <v>5000000</v>
      </c>
      <c r="AG56" s="38">
        <v>5000000</v>
      </c>
      <c r="AH56" s="38">
        <v>5000000</v>
      </c>
      <c r="AI56" s="38">
        <v>5000000</v>
      </c>
      <c r="AJ56" s="38">
        <v>5000000</v>
      </c>
      <c r="AK56" s="38">
        <v>5000000</v>
      </c>
      <c r="AL56" s="38">
        <v>5000000</v>
      </c>
      <c r="AM56" s="38">
        <v>5000000</v>
      </c>
      <c r="AN56" s="38">
        <v>5000000</v>
      </c>
      <c r="AO56" s="38">
        <v>5000000</v>
      </c>
      <c r="AP56" s="38">
        <v>5000000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260">
        <v>0</v>
      </c>
      <c r="AX56" s="263">
        <f t="shared" si="1"/>
        <v>125000000</v>
      </c>
      <c r="AZ56" s="127"/>
    </row>
    <row r="57" spans="2:52" x14ac:dyDescent="0.35">
      <c r="B57" s="303"/>
      <c r="C57" s="381"/>
      <c r="D57" s="305"/>
      <c r="E57" s="309"/>
      <c r="F57" s="309"/>
      <c r="G57" s="383"/>
      <c r="H57" s="383"/>
      <c r="I57" s="29"/>
      <c r="J57" s="341"/>
      <c r="K57" s="253"/>
      <c r="L57" s="39"/>
      <c r="M57" s="39"/>
      <c r="N57" s="39"/>
      <c r="O57" s="39"/>
      <c r="P57" s="39"/>
      <c r="Q57" s="39"/>
      <c r="R57" s="39"/>
      <c r="S57" s="39"/>
      <c r="T57" s="39">
        <v>5000000</v>
      </c>
      <c r="U57" s="39">
        <v>5000000</v>
      </c>
      <c r="V57" s="39">
        <v>5000000</v>
      </c>
      <c r="W57" s="39">
        <v>5000000</v>
      </c>
      <c r="X57" s="39">
        <v>5000000</v>
      </c>
      <c r="Y57" s="39">
        <v>5000000</v>
      </c>
      <c r="Z57" s="39">
        <v>4072500</v>
      </c>
      <c r="AA57" s="39">
        <v>4955883</v>
      </c>
      <c r="AB57" s="39">
        <v>5000000</v>
      </c>
      <c r="AC57" s="39">
        <v>3674951</v>
      </c>
      <c r="AD57" s="39">
        <v>6325000</v>
      </c>
      <c r="AE57" s="39">
        <v>3675000</v>
      </c>
      <c r="AF57" s="39">
        <v>3120000</v>
      </c>
      <c r="AG57" s="39">
        <v>1590000</v>
      </c>
      <c r="AH57" s="39">
        <v>2694167</v>
      </c>
      <c r="AI57" s="39">
        <v>4295000</v>
      </c>
      <c r="AJ57" s="39">
        <v>3851666</v>
      </c>
      <c r="AK57" s="240"/>
      <c r="AL57" s="240"/>
      <c r="AM57" s="39">
        <v>13047500</v>
      </c>
      <c r="AN57" s="39">
        <v>7350000</v>
      </c>
      <c r="AO57" s="39"/>
      <c r="AP57" s="39"/>
      <c r="AQ57" s="39"/>
      <c r="AR57" s="39"/>
      <c r="AS57" s="39"/>
      <c r="AT57" s="39"/>
      <c r="AU57" s="39"/>
      <c r="AV57" s="39"/>
      <c r="AW57" s="259"/>
      <c r="AX57" s="263">
        <f t="shared" si="1"/>
        <v>93651667</v>
      </c>
    </row>
    <row r="58" spans="2:52" ht="39" customHeight="1" x14ac:dyDescent="0.35">
      <c r="B58" s="303" t="s">
        <v>408</v>
      </c>
      <c r="C58" s="381" t="s">
        <v>433</v>
      </c>
      <c r="D58" s="305" t="s">
        <v>96</v>
      </c>
      <c r="E58" s="309">
        <v>44124</v>
      </c>
      <c r="F58" s="309">
        <v>45291</v>
      </c>
      <c r="G58" s="383">
        <v>132920000</v>
      </c>
      <c r="H58" s="383">
        <v>132920000</v>
      </c>
      <c r="I58" s="29">
        <v>0</v>
      </c>
      <c r="J58" s="341" t="s">
        <v>97</v>
      </c>
      <c r="K58" s="254">
        <v>4000000</v>
      </c>
      <c r="L58" s="38">
        <v>4000000</v>
      </c>
      <c r="M58" s="38">
        <v>4000000</v>
      </c>
      <c r="N58" s="38">
        <v>4000000</v>
      </c>
      <c r="O58" s="38">
        <v>4000000</v>
      </c>
      <c r="P58" s="38">
        <v>4000000</v>
      </c>
      <c r="Q58" s="38">
        <v>4000000</v>
      </c>
      <c r="R58" s="38">
        <v>4000000</v>
      </c>
      <c r="S58" s="38">
        <v>4000000</v>
      </c>
      <c r="T58" s="38">
        <v>4000000</v>
      </c>
      <c r="U58" s="38">
        <v>4000000</v>
      </c>
      <c r="V58" s="38">
        <v>14000000</v>
      </c>
      <c r="W58" s="38">
        <v>4000000</v>
      </c>
      <c r="X58" s="38">
        <v>4000000</v>
      </c>
      <c r="Y58" s="38">
        <v>4000000</v>
      </c>
      <c r="Z58" s="38">
        <v>4810000</v>
      </c>
      <c r="AA58" s="38">
        <v>4810000</v>
      </c>
      <c r="AB58" s="38">
        <v>4810000</v>
      </c>
      <c r="AC58" s="38">
        <v>4810000</v>
      </c>
      <c r="AD58" s="38">
        <v>4810000</v>
      </c>
      <c r="AE58" s="38">
        <v>14810000</v>
      </c>
      <c r="AF58" s="38">
        <v>4810000</v>
      </c>
      <c r="AG58" s="38">
        <v>4810000</v>
      </c>
      <c r="AH58" s="38">
        <v>4810000</v>
      </c>
      <c r="AI58" s="38">
        <v>810000</v>
      </c>
      <c r="AJ58" s="38">
        <v>810000</v>
      </c>
      <c r="AK58" s="38">
        <v>810000</v>
      </c>
      <c r="AL58" s="38">
        <v>0</v>
      </c>
      <c r="AM58" s="38">
        <v>0</v>
      </c>
      <c r="AN58" s="38">
        <v>0</v>
      </c>
      <c r="AO58" s="38">
        <v>0</v>
      </c>
      <c r="AP58" s="38">
        <v>0</v>
      </c>
      <c r="AQ58" s="38">
        <v>720000</v>
      </c>
      <c r="AR58" s="38">
        <v>2970000</v>
      </c>
      <c r="AS58" s="38">
        <v>2970000</v>
      </c>
      <c r="AT58" s="38">
        <v>540000</v>
      </c>
      <c r="AU58" s="38">
        <v>0</v>
      </c>
      <c r="AV58" s="38">
        <v>0</v>
      </c>
      <c r="AW58" s="260">
        <v>0</v>
      </c>
      <c r="AX58" s="263">
        <f t="shared" si="1"/>
        <v>132920000</v>
      </c>
    </row>
    <row r="59" spans="2:52" x14ac:dyDescent="0.35">
      <c r="B59" s="303"/>
      <c r="C59" s="381"/>
      <c r="D59" s="305"/>
      <c r="E59" s="309"/>
      <c r="F59" s="309"/>
      <c r="G59" s="383"/>
      <c r="H59" s="383"/>
      <c r="I59" s="29"/>
      <c r="J59" s="341"/>
      <c r="K59" s="253"/>
      <c r="L59" s="39">
        <v>4000000</v>
      </c>
      <c r="M59" s="39">
        <v>4000000</v>
      </c>
      <c r="N59" s="39">
        <v>4000000</v>
      </c>
      <c r="O59" s="39">
        <v>4000000</v>
      </c>
      <c r="P59" s="39">
        <v>4000000</v>
      </c>
      <c r="Q59" s="39">
        <v>4000000</v>
      </c>
      <c r="R59" s="39">
        <v>4000000</v>
      </c>
      <c r="S59" s="39">
        <v>4000000</v>
      </c>
      <c r="T59" s="39">
        <v>4000000</v>
      </c>
      <c r="U59" s="39">
        <v>4000000</v>
      </c>
      <c r="V59" s="39"/>
      <c r="W59" s="39">
        <v>8000000</v>
      </c>
      <c r="X59" s="39">
        <v>4000000</v>
      </c>
      <c r="Y59" s="39">
        <v>4000000</v>
      </c>
      <c r="Z59" s="39"/>
      <c r="AA59" s="39">
        <v>3866666</v>
      </c>
      <c r="AB59" s="39">
        <v>4000000</v>
      </c>
      <c r="AC59" s="39">
        <v>4000000</v>
      </c>
      <c r="AD59" s="39">
        <v>4000000</v>
      </c>
      <c r="AE59" s="39"/>
      <c r="AF59" s="39">
        <v>8000000</v>
      </c>
      <c r="AG59" s="39">
        <v>4000000</v>
      </c>
      <c r="AH59" s="39">
        <v>4000000</v>
      </c>
      <c r="AI59" s="39">
        <v>4000000</v>
      </c>
      <c r="AJ59" s="39">
        <v>4000000</v>
      </c>
      <c r="AK59" s="39"/>
      <c r="AL59" s="39"/>
      <c r="AM59" s="39">
        <v>8000000</v>
      </c>
      <c r="AN59" s="39">
        <v>8133334</v>
      </c>
      <c r="AO59" s="39"/>
      <c r="AP59" s="39"/>
      <c r="AQ59" s="39"/>
      <c r="AR59" s="39"/>
      <c r="AS59" s="39"/>
      <c r="AT59" s="39"/>
      <c r="AU59" s="39"/>
      <c r="AV59" s="39"/>
      <c r="AW59" s="259"/>
      <c r="AX59" s="263">
        <f t="shared" si="1"/>
        <v>112000000</v>
      </c>
    </row>
    <row r="60" spans="2:52" ht="52" customHeight="1" x14ac:dyDescent="0.35">
      <c r="B60" s="303" t="s">
        <v>409</v>
      </c>
      <c r="C60" s="381" t="s">
        <v>434</v>
      </c>
      <c r="D60" s="305" t="s">
        <v>96</v>
      </c>
      <c r="E60" s="309">
        <v>44124</v>
      </c>
      <c r="F60" s="309">
        <v>45291</v>
      </c>
      <c r="G60" s="383">
        <v>96920000</v>
      </c>
      <c r="H60" s="383">
        <v>96920000</v>
      </c>
      <c r="I60" s="29">
        <v>0</v>
      </c>
      <c r="J60" s="341" t="s">
        <v>97</v>
      </c>
      <c r="K60" s="254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8">
        <v>0</v>
      </c>
      <c r="AH60" s="38">
        <v>0</v>
      </c>
      <c r="AI60" s="38">
        <v>4000000</v>
      </c>
      <c r="AJ60" s="38">
        <v>4000000</v>
      </c>
      <c r="AK60" s="38">
        <v>4000000</v>
      </c>
      <c r="AL60" s="38">
        <v>4810000</v>
      </c>
      <c r="AM60" s="38">
        <v>4810000</v>
      </c>
      <c r="AN60" s="38">
        <v>14810000</v>
      </c>
      <c r="AO60" s="38">
        <v>4810000</v>
      </c>
      <c r="AP60" s="38">
        <v>4810000</v>
      </c>
      <c r="AQ60" s="38">
        <v>4810000</v>
      </c>
      <c r="AR60" s="38">
        <v>4810000</v>
      </c>
      <c r="AS60" s="38">
        <v>4810000</v>
      </c>
      <c r="AT60" s="38">
        <v>7240000</v>
      </c>
      <c r="AU60" s="38">
        <v>17780000</v>
      </c>
      <c r="AV60" s="38">
        <v>6610000</v>
      </c>
      <c r="AW60" s="260">
        <v>4810000</v>
      </c>
      <c r="AX60" s="263">
        <f t="shared" si="1"/>
        <v>96920000</v>
      </c>
    </row>
    <row r="61" spans="2:52" x14ac:dyDescent="0.35">
      <c r="B61" s="303"/>
      <c r="C61" s="381"/>
      <c r="D61" s="305"/>
      <c r="E61" s="309"/>
      <c r="F61" s="309"/>
      <c r="G61" s="383"/>
      <c r="H61" s="383"/>
      <c r="I61" s="29"/>
      <c r="J61" s="341"/>
      <c r="K61" s="253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>
        <v>3866666</v>
      </c>
      <c r="AP61" s="39">
        <v>4000000</v>
      </c>
      <c r="AQ61" s="39"/>
      <c r="AR61" s="39"/>
      <c r="AS61" s="39"/>
      <c r="AT61" s="39"/>
      <c r="AU61" s="39"/>
      <c r="AV61" s="39"/>
      <c r="AW61" s="259"/>
      <c r="AX61" s="263">
        <f t="shared" si="1"/>
        <v>7866666</v>
      </c>
    </row>
    <row r="62" spans="2:52" ht="52" customHeight="1" x14ac:dyDescent="0.35">
      <c r="B62" s="303" t="s">
        <v>410</v>
      </c>
      <c r="C62" s="381" t="s">
        <v>435</v>
      </c>
      <c r="D62" s="305" t="s">
        <v>96</v>
      </c>
      <c r="E62" s="309">
        <v>44124</v>
      </c>
      <c r="F62" s="309">
        <v>45291</v>
      </c>
      <c r="G62" s="383">
        <v>19143900</v>
      </c>
      <c r="H62" s="383">
        <v>19143900</v>
      </c>
      <c r="I62" s="29">
        <v>0</v>
      </c>
      <c r="J62" s="341" t="s">
        <v>135</v>
      </c>
      <c r="K62" s="254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0</v>
      </c>
      <c r="AH62" s="38">
        <v>0</v>
      </c>
      <c r="AI62" s="38">
        <v>0</v>
      </c>
      <c r="AJ62" s="38">
        <v>0</v>
      </c>
      <c r="AK62" s="38">
        <v>0</v>
      </c>
      <c r="AL62" s="38">
        <v>0</v>
      </c>
      <c r="AM62" s="38">
        <v>0</v>
      </c>
      <c r="AN62" s="38">
        <v>0</v>
      </c>
      <c r="AO62" s="38">
        <v>0</v>
      </c>
      <c r="AP62" s="38">
        <v>0</v>
      </c>
      <c r="AQ62" s="38">
        <v>0</v>
      </c>
      <c r="AR62" s="38">
        <v>0</v>
      </c>
      <c r="AS62" s="38">
        <v>0</v>
      </c>
      <c r="AT62" s="38">
        <v>0</v>
      </c>
      <c r="AU62" s="38">
        <v>0</v>
      </c>
      <c r="AV62" s="38">
        <v>0</v>
      </c>
      <c r="AW62" s="260">
        <v>19143900</v>
      </c>
      <c r="AX62" s="263">
        <f t="shared" si="1"/>
        <v>19143900</v>
      </c>
    </row>
    <row r="63" spans="2:52" x14ac:dyDescent="0.35">
      <c r="B63" s="303"/>
      <c r="C63" s="381"/>
      <c r="D63" s="305"/>
      <c r="E63" s="309"/>
      <c r="F63" s="309"/>
      <c r="G63" s="383"/>
      <c r="H63" s="383"/>
      <c r="I63" s="29"/>
      <c r="J63" s="341"/>
      <c r="K63" s="253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259"/>
      <c r="AX63" s="263">
        <f t="shared" si="1"/>
        <v>0</v>
      </c>
    </row>
    <row r="64" spans="2:52" x14ac:dyDescent="0.35">
      <c r="B64" s="303" t="s">
        <v>411</v>
      </c>
      <c r="C64" s="381" t="s">
        <v>436</v>
      </c>
      <c r="D64" s="305" t="s">
        <v>96</v>
      </c>
      <c r="E64" s="309">
        <v>44124</v>
      </c>
      <c r="F64" s="309">
        <v>45291</v>
      </c>
      <c r="G64" s="383">
        <v>16951332</v>
      </c>
      <c r="H64" s="383">
        <v>16951332</v>
      </c>
      <c r="I64" s="29">
        <v>0</v>
      </c>
      <c r="J64" s="341" t="s">
        <v>135</v>
      </c>
      <c r="K64" s="254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38">
        <v>0</v>
      </c>
      <c r="AH64" s="38">
        <v>0</v>
      </c>
      <c r="AI64" s="38">
        <v>0</v>
      </c>
      <c r="AJ64" s="38">
        <v>0</v>
      </c>
      <c r="AK64" s="38">
        <v>0</v>
      </c>
      <c r="AL64" s="38">
        <v>0</v>
      </c>
      <c r="AM64" s="38">
        <v>0</v>
      </c>
      <c r="AN64" s="38">
        <v>0</v>
      </c>
      <c r="AO64" s="38">
        <v>0</v>
      </c>
      <c r="AP64" s="38">
        <v>0</v>
      </c>
      <c r="AQ64" s="38">
        <v>0</v>
      </c>
      <c r="AR64" s="38">
        <v>8475666</v>
      </c>
      <c r="AS64" s="38">
        <v>0</v>
      </c>
      <c r="AT64" s="38">
        <v>0</v>
      </c>
      <c r="AU64" s="38">
        <v>8475666</v>
      </c>
      <c r="AV64" s="38">
        <v>0</v>
      </c>
      <c r="AW64" s="260">
        <v>0</v>
      </c>
      <c r="AX64" s="263">
        <f t="shared" si="1"/>
        <v>16951332</v>
      </c>
    </row>
    <row r="65" spans="2:51" x14ac:dyDescent="0.35">
      <c r="B65" s="303"/>
      <c r="C65" s="381"/>
      <c r="D65" s="305"/>
      <c r="E65" s="309"/>
      <c r="F65" s="309"/>
      <c r="G65" s="383"/>
      <c r="H65" s="383"/>
      <c r="I65" s="29"/>
      <c r="J65" s="341"/>
      <c r="K65" s="253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>
        <v>21027720</v>
      </c>
      <c r="AO65" s="39"/>
      <c r="AP65" s="39"/>
      <c r="AQ65" s="39"/>
      <c r="AR65" s="39"/>
      <c r="AS65" s="39"/>
      <c r="AT65" s="39"/>
      <c r="AU65" s="39"/>
      <c r="AV65" s="39"/>
      <c r="AW65" s="259"/>
      <c r="AX65" s="263">
        <f t="shared" si="1"/>
        <v>21027720</v>
      </c>
      <c r="AY65" s="127"/>
    </row>
    <row r="66" spans="2:51" x14ac:dyDescent="0.35">
      <c r="B66" s="303" t="s">
        <v>412</v>
      </c>
      <c r="C66" s="381" t="s">
        <v>437</v>
      </c>
      <c r="D66" s="305" t="s">
        <v>96</v>
      </c>
      <c r="E66" s="309">
        <v>44124</v>
      </c>
      <c r="F66" s="309">
        <v>45291</v>
      </c>
      <c r="G66" s="383">
        <v>33315000</v>
      </c>
      <c r="H66" s="383">
        <v>33315000</v>
      </c>
      <c r="I66" s="29">
        <v>0</v>
      </c>
      <c r="J66" s="341" t="s">
        <v>97</v>
      </c>
      <c r="K66" s="254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38">
        <v>0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38">
        <v>0</v>
      </c>
      <c r="AP66" s="38">
        <v>0</v>
      </c>
      <c r="AQ66" s="38">
        <v>5000000</v>
      </c>
      <c r="AR66" s="38">
        <v>5000000</v>
      </c>
      <c r="AS66" s="38">
        <v>5000000</v>
      </c>
      <c r="AT66" s="38">
        <v>5000000</v>
      </c>
      <c r="AU66" s="38">
        <v>5000000</v>
      </c>
      <c r="AV66" s="38">
        <v>5000000</v>
      </c>
      <c r="AW66" s="260">
        <v>3315000</v>
      </c>
      <c r="AX66" s="263">
        <f t="shared" si="1"/>
        <v>33315000</v>
      </c>
    </row>
    <row r="67" spans="2:51" ht="15" thickBot="1" x14ac:dyDescent="0.4">
      <c r="B67" s="304"/>
      <c r="C67" s="382"/>
      <c r="D67" s="306"/>
      <c r="E67" s="338"/>
      <c r="F67" s="338"/>
      <c r="G67" s="386"/>
      <c r="H67" s="386"/>
      <c r="I67" s="130"/>
      <c r="J67" s="342"/>
      <c r="K67" s="255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>
        <v>5000000</v>
      </c>
      <c r="AP67" s="256">
        <v>5000000</v>
      </c>
      <c r="AQ67" s="256"/>
      <c r="AR67" s="256"/>
      <c r="AS67" s="256"/>
      <c r="AT67" s="256"/>
      <c r="AU67" s="256"/>
      <c r="AV67" s="256"/>
      <c r="AW67" s="261"/>
      <c r="AX67" s="265">
        <f t="shared" si="1"/>
        <v>10000000</v>
      </c>
    </row>
    <row r="68" spans="2:51" x14ac:dyDescent="0.35">
      <c r="B68" s="385" t="s">
        <v>383</v>
      </c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</row>
    <row r="69" spans="2:51" ht="15" thickBot="1" x14ac:dyDescent="0.4">
      <c r="B69" s="358"/>
    </row>
    <row r="70" spans="2:51" x14ac:dyDescent="0.35">
      <c r="B70" s="14" t="s">
        <v>101</v>
      </c>
    </row>
    <row r="71" spans="2:51" ht="15" thickBot="1" x14ac:dyDescent="0.4">
      <c r="B71" s="15" t="s">
        <v>100</v>
      </c>
    </row>
  </sheetData>
  <sheetProtection algorithmName="SHA-512" hashValue="qnskPfudjB0M3W1kCkqf3s5zILoc+MjXuPmw94iFCFM7oWK78GjgtV680N7M7/H07PlgMEdX2SmBDjQnG8sPag==" saltValue="8j4Ww6kDs2Oi2hh/kadj2Q==" spinCount="100000" sheet="1" objects="1" scenarios="1"/>
  <mergeCells count="236">
    <mergeCell ref="J60:J61"/>
    <mergeCell ref="J62:J63"/>
    <mergeCell ref="J64:J65"/>
    <mergeCell ref="J66:J67"/>
    <mergeCell ref="B68:B69"/>
    <mergeCell ref="J50:J51"/>
    <mergeCell ref="J52:J53"/>
    <mergeCell ref="J54:J55"/>
    <mergeCell ref="J56:J57"/>
    <mergeCell ref="J58:J59"/>
    <mergeCell ref="G66:G67"/>
    <mergeCell ref="H66:H67"/>
    <mergeCell ref="F62:F63"/>
    <mergeCell ref="F64:F65"/>
    <mergeCell ref="F66:F67"/>
    <mergeCell ref="E64:E65"/>
    <mergeCell ref="E66:E67"/>
    <mergeCell ref="E54:E55"/>
    <mergeCell ref="E56:E57"/>
    <mergeCell ref="E58:E59"/>
    <mergeCell ref="E60:E61"/>
    <mergeCell ref="E62:E63"/>
    <mergeCell ref="D58:D59"/>
    <mergeCell ref="D60:D61"/>
    <mergeCell ref="J40:J41"/>
    <mergeCell ref="J42:J43"/>
    <mergeCell ref="J44:J45"/>
    <mergeCell ref="J46:J47"/>
    <mergeCell ref="J48:J49"/>
    <mergeCell ref="J30:J31"/>
    <mergeCell ref="J32:J33"/>
    <mergeCell ref="J34:J35"/>
    <mergeCell ref="J36:J37"/>
    <mergeCell ref="J38:J39"/>
    <mergeCell ref="J20:J21"/>
    <mergeCell ref="J22:J23"/>
    <mergeCell ref="J24:J25"/>
    <mergeCell ref="J26:J27"/>
    <mergeCell ref="J28:J29"/>
    <mergeCell ref="G62:G63"/>
    <mergeCell ref="H62:H63"/>
    <mergeCell ref="H64:H65"/>
    <mergeCell ref="G64:G65"/>
    <mergeCell ref="G56:G57"/>
    <mergeCell ref="H56:H57"/>
    <mergeCell ref="G58:G59"/>
    <mergeCell ref="H58:H59"/>
    <mergeCell ref="G60:G61"/>
    <mergeCell ref="H60:H61"/>
    <mergeCell ref="H50:H51"/>
    <mergeCell ref="G50:G51"/>
    <mergeCell ref="G52:G53"/>
    <mergeCell ref="H52:H53"/>
    <mergeCell ref="H54:H55"/>
    <mergeCell ref="G54:G55"/>
    <mergeCell ref="G44:G45"/>
    <mergeCell ref="H44:H45"/>
    <mergeCell ref="H46:H47"/>
    <mergeCell ref="H26:H27"/>
    <mergeCell ref="H28:H29"/>
    <mergeCell ref="G28:G29"/>
    <mergeCell ref="G30:G31"/>
    <mergeCell ref="H30:H31"/>
    <mergeCell ref="G46:G47"/>
    <mergeCell ref="G48:G49"/>
    <mergeCell ref="H48:H49"/>
    <mergeCell ref="H38:H39"/>
    <mergeCell ref="G38:G39"/>
    <mergeCell ref="G40:G41"/>
    <mergeCell ref="H40:H41"/>
    <mergeCell ref="H42:H43"/>
    <mergeCell ref="G42:G43"/>
    <mergeCell ref="G14:G15"/>
    <mergeCell ref="H14:H15"/>
    <mergeCell ref="G16:G17"/>
    <mergeCell ref="H16:H17"/>
    <mergeCell ref="G18:G19"/>
    <mergeCell ref="H18:H19"/>
    <mergeCell ref="H20:H21"/>
    <mergeCell ref="G20:G21"/>
    <mergeCell ref="G22:G23"/>
    <mergeCell ref="H22:H23"/>
    <mergeCell ref="H24:H25"/>
    <mergeCell ref="G24:G25"/>
    <mergeCell ref="G26:G27"/>
    <mergeCell ref="F52:F53"/>
    <mergeCell ref="F54:F55"/>
    <mergeCell ref="F56:F57"/>
    <mergeCell ref="F58:F59"/>
    <mergeCell ref="F60:F61"/>
    <mergeCell ref="F42:F43"/>
    <mergeCell ref="F44:F45"/>
    <mergeCell ref="F46:F47"/>
    <mergeCell ref="F48:F49"/>
    <mergeCell ref="F50:F51"/>
    <mergeCell ref="F32:F33"/>
    <mergeCell ref="F34:F35"/>
    <mergeCell ref="F36:F37"/>
    <mergeCell ref="F38:F39"/>
    <mergeCell ref="F40:F41"/>
    <mergeCell ref="G32:G33"/>
    <mergeCell ref="H32:H33"/>
    <mergeCell ref="H34:H35"/>
    <mergeCell ref="G34:G35"/>
    <mergeCell ref="G36:G37"/>
    <mergeCell ref="H36:H37"/>
    <mergeCell ref="E52:E53"/>
    <mergeCell ref="D62:D6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D52:D53"/>
    <mergeCell ref="D54:D55"/>
    <mergeCell ref="D56:D57"/>
    <mergeCell ref="D46:D47"/>
    <mergeCell ref="D48:D49"/>
    <mergeCell ref="D50:D51"/>
    <mergeCell ref="D32:D33"/>
    <mergeCell ref="D34:D35"/>
    <mergeCell ref="D36:D37"/>
    <mergeCell ref="D38:D39"/>
    <mergeCell ref="D40:D41"/>
    <mergeCell ref="E44:E45"/>
    <mergeCell ref="E46:E47"/>
    <mergeCell ref="E48:E49"/>
    <mergeCell ref="E50:E51"/>
    <mergeCell ref="D26:D27"/>
    <mergeCell ref="D28:D29"/>
    <mergeCell ref="D30:D31"/>
    <mergeCell ref="B64:B65"/>
    <mergeCell ref="C64:C65"/>
    <mergeCell ref="B66:B67"/>
    <mergeCell ref="C66:C67"/>
    <mergeCell ref="D66:D67"/>
    <mergeCell ref="D64:D65"/>
    <mergeCell ref="B58:B59"/>
    <mergeCell ref="C58:C59"/>
    <mergeCell ref="B60:B61"/>
    <mergeCell ref="C60:C61"/>
    <mergeCell ref="B62:B63"/>
    <mergeCell ref="C62:C63"/>
    <mergeCell ref="B52:B53"/>
    <mergeCell ref="C52:C53"/>
    <mergeCell ref="B54:B55"/>
    <mergeCell ref="C54:C55"/>
    <mergeCell ref="B56:B57"/>
    <mergeCell ref="C56:C57"/>
    <mergeCell ref="B46:B47"/>
    <mergeCell ref="D42:D43"/>
    <mergeCell ref="D44:D45"/>
    <mergeCell ref="C46:C47"/>
    <mergeCell ref="B48:B49"/>
    <mergeCell ref="C48:C49"/>
    <mergeCell ref="B50:B51"/>
    <mergeCell ref="C50:C51"/>
    <mergeCell ref="B40:B41"/>
    <mergeCell ref="C40:C41"/>
    <mergeCell ref="B42:B43"/>
    <mergeCell ref="C42:C43"/>
    <mergeCell ref="B44:B45"/>
    <mergeCell ref="C44:C45"/>
    <mergeCell ref="B34:B35"/>
    <mergeCell ref="C34:C35"/>
    <mergeCell ref="C36:C37"/>
    <mergeCell ref="B36:B37"/>
    <mergeCell ref="B38:B39"/>
    <mergeCell ref="C38:C39"/>
    <mergeCell ref="J14:J15"/>
    <mergeCell ref="J16:J17"/>
    <mergeCell ref="J18:J19"/>
    <mergeCell ref="B28:B29"/>
    <mergeCell ref="C28:C29"/>
    <mergeCell ref="B30:B31"/>
    <mergeCell ref="C30:C31"/>
    <mergeCell ref="B32:B33"/>
    <mergeCell ref="C32:C33"/>
    <mergeCell ref="B22:B23"/>
    <mergeCell ref="C22:C23"/>
    <mergeCell ref="B24:B25"/>
    <mergeCell ref="C24:C25"/>
    <mergeCell ref="B26:B27"/>
    <mergeCell ref="C26:C27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B16:B17"/>
    <mergeCell ref="C16:C17"/>
    <mergeCell ref="B18:B19"/>
    <mergeCell ref="C18:C19"/>
    <mergeCell ref="C20:C21"/>
    <mergeCell ref="D14:D15"/>
    <mergeCell ref="D16:D17"/>
    <mergeCell ref="D18:D19"/>
    <mergeCell ref="D20:D21"/>
    <mergeCell ref="D22:D23"/>
    <mergeCell ref="D24:D25"/>
    <mergeCell ref="D2:K2"/>
    <mergeCell ref="D3:K3"/>
    <mergeCell ref="H4:K4"/>
    <mergeCell ref="H5:K5"/>
    <mergeCell ref="H6:K6"/>
    <mergeCell ref="G7:K7"/>
    <mergeCell ref="D10:F10"/>
    <mergeCell ref="G10:J10"/>
    <mergeCell ref="B12:J12"/>
    <mergeCell ref="D6:F6"/>
    <mergeCell ref="D7:F7"/>
    <mergeCell ref="D8:F8"/>
    <mergeCell ref="G8:K8"/>
    <mergeCell ref="D4:F4"/>
    <mergeCell ref="D5:F5"/>
    <mergeCell ref="G9:K9"/>
    <mergeCell ref="D9:F9"/>
    <mergeCell ref="B7:B9"/>
    <mergeCell ref="B20:B21"/>
    <mergeCell ref="K12:AW12"/>
    <mergeCell ref="B14:B15"/>
    <mergeCell ref="C14:C15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08"/>
  <sheetViews>
    <sheetView showGridLines="0" topLeftCell="B55" zoomScaleNormal="100" workbookViewId="0">
      <pane xSplit="2" topLeftCell="D1" activePane="topRight" state="frozen"/>
      <selection activeCell="B17" sqref="B17"/>
      <selection pane="topRight" activeCell="BE65" sqref="BE65"/>
    </sheetView>
  </sheetViews>
  <sheetFormatPr baseColWidth="10" defaultRowHeight="14.5" x14ac:dyDescent="0.35"/>
  <cols>
    <col min="1" max="1" width="43.6328125" hidden="1" customWidth="1"/>
    <col min="2" max="2" width="35.453125" customWidth="1"/>
    <col min="3" max="3" width="43.6328125" hidden="1" customWidth="1"/>
    <col min="4" max="4" width="7.26953125" bestFit="1" customWidth="1"/>
    <col min="5" max="5" width="10.54296875" customWidth="1"/>
    <col min="6" max="6" width="13.81640625" customWidth="1"/>
    <col min="7" max="7" width="20.54296875" customWidth="1"/>
    <col min="8" max="8" width="16.26953125" customWidth="1"/>
    <col min="9" max="9" width="9.08984375" hidden="1" customWidth="1"/>
    <col min="10" max="10" width="10.08984375" customWidth="1"/>
    <col min="11" max="13" width="14.6328125" bestFit="1" customWidth="1"/>
    <col min="14" max="14" width="15.6328125" bestFit="1" customWidth="1"/>
    <col min="15" max="17" width="13.7265625" bestFit="1" customWidth="1"/>
    <col min="18" max="18" width="13.6328125" bestFit="1" customWidth="1"/>
    <col min="19" max="19" width="13.7265625" bestFit="1" customWidth="1"/>
    <col min="20" max="20" width="14.6328125" bestFit="1" customWidth="1"/>
    <col min="21" max="21" width="13.7265625" bestFit="1" customWidth="1"/>
    <col min="22" max="22" width="14.6328125" bestFit="1" customWidth="1"/>
    <col min="23" max="26" width="13.7265625" bestFit="1" customWidth="1"/>
    <col min="27" max="27" width="13.6328125" bestFit="1" customWidth="1"/>
    <col min="28" max="32" width="13.7265625" bestFit="1" customWidth="1"/>
    <col min="33" max="33" width="13.6328125" bestFit="1" customWidth="1"/>
    <col min="34" max="37" width="13.7265625" bestFit="1" customWidth="1"/>
    <col min="38" max="38" width="13.6328125" bestFit="1" customWidth="1"/>
    <col min="39" max="39" width="12.81640625" bestFit="1" customWidth="1"/>
    <col min="40" max="44" width="12.54296875" bestFit="1" customWidth="1"/>
    <col min="45" max="45" width="13.6328125" bestFit="1" customWidth="1"/>
    <col min="46" max="46" width="12.81640625" bestFit="1" customWidth="1"/>
    <col min="47" max="48" width="10.7265625" bestFit="1" customWidth="1"/>
    <col min="49" max="49" width="12.81640625" bestFit="1" customWidth="1"/>
    <col min="50" max="50" width="12" bestFit="1" customWidth="1"/>
    <col min="51" max="51" width="12.54296875" bestFit="1" customWidth="1"/>
    <col min="52" max="53" width="12" bestFit="1" customWidth="1"/>
    <col min="54" max="54" width="12.54296875" bestFit="1" customWidth="1"/>
    <col min="55" max="55" width="14.6328125" hidden="1" customWidth="1"/>
    <col min="56" max="56" width="14.6328125" bestFit="1" customWidth="1"/>
    <col min="57" max="57" width="16.08984375" bestFit="1" customWidth="1"/>
    <col min="58" max="58" width="14.08984375" bestFit="1" customWidth="1"/>
  </cols>
  <sheetData>
    <row r="2" spans="1:56" x14ac:dyDescent="0.35">
      <c r="B2" s="42" t="s">
        <v>102</v>
      </c>
      <c r="C2" s="25"/>
      <c r="D2" s="368">
        <v>2019000100060</v>
      </c>
      <c r="E2" s="368"/>
      <c r="F2" s="368"/>
      <c r="G2" s="368"/>
      <c r="H2" s="368"/>
      <c r="I2" s="368"/>
      <c r="J2" s="368"/>
      <c r="K2" s="368"/>
    </row>
    <row r="3" spans="1:56" ht="39.5" customHeight="1" x14ac:dyDescent="0.35">
      <c r="B3" s="42" t="s">
        <v>103</v>
      </c>
      <c r="C3" s="7"/>
      <c r="D3" s="313" t="s">
        <v>474</v>
      </c>
      <c r="E3" s="313"/>
      <c r="F3" s="313"/>
      <c r="G3" s="313"/>
      <c r="H3" s="313"/>
      <c r="I3" s="313"/>
      <c r="J3" s="313"/>
      <c r="K3" s="313"/>
    </row>
    <row r="4" spans="1:56" x14ac:dyDescent="0.35">
      <c r="B4" s="42" t="s">
        <v>106</v>
      </c>
      <c r="C4" s="8"/>
      <c r="D4" s="315">
        <v>2842760780</v>
      </c>
      <c r="E4" s="316"/>
      <c r="F4" s="316"/>
      <c r="G4" s="27" t="s">
        <v>107</v>
      </c>
      <c r="H4" s="315">
        <v>2000000000</v>
      </c>
      <c r="I4" s="315"/>
      <c r="J4" s="315"/>
      <c r="K4" s="315"/>
    </row>
    <row r="5" spans="1:56" x14ac:dyDescent="0.35">
      <c r="B5" s="42" t="s">
        <v>109</v>
      </c>
      <c r="C5" s="8"/>
      <c r="D5" s="316" t="s">
        <v>130</v>
      </c>
      <c r="E5" s="316"/>
      <c r="F5" s="316"/>
      <c r="G5" s="27" t="s">
        <v>108</v>
      </c>
      <c r="H5" s="316" t="s">
        <v>119</v>
      </c>
      <c r="I5" s="316"/>
      <c r="J5" s="316"/>
      <c r="K5" s="316"/>
    </row>
    <row r="6" spans="1:56" x14ac:dyDescent="0.35">
      <c r="B6" s="42" t="s">
        <v>110</v>
      </c>
      <c r="C6" s="8"/>
      <c r="D6" s="345">
        <v>0.74</v>
      </c>
      <c r="E6" s="346"/>
      <c r="F6" s="346"/>
      <c r="G6" s="26" t="s">
        <v>111</v>
      </c>
      <c r="H6" s="345">
        <v>0.74</v>
      </c>
      <c r="I6" s="346"/>
      <c r="J6" s="346"/>
      <c r="K6" s="346"/>
    </row>
    <row r="7" spans="1:56" ht="130" customHeight="1" x14ac:dyDescent="0.35">
      <c r="B7" s="414" t="s">
        <v>117</v>
      </c>
      <c r="C7" s="8"/>
      <c r="D7" s="332" t="s">
        <v>113</v>
      </c>
      <c r="E7" s="333"/>
      <c r="F7" s="333"/>
      <c r="G7" s="332" t="s">
        <v>126</v>
      </c>
      <c r="H7" s="332"/>
      <c r="I7" s="332"/>
      <c r="J7" s="332"/>
      <c r="K7" s="332"/>
    </row>
    <row r="8" spans="1:56" ht="173.5" customHeight="1" x14ac:dyDescent="0.35">
      <c r="B8" s="415"/>
      <c r="C8" s="28"/>
      <c r="D8" s="332" t="s">
        <v>125</v>
      </c>
      <c r="E8" s="332"/>
      <c r="F8" s="332"/>
      <c r="G8" s="332" t="s">
        <v>128</v>
      </c>
      <c r="H8" s="332"/>
      <c r="I8" s="332"/>
      <c r="J8" s="332"/>
      <c r="K8" s="332"/>
    </row>
    <row r="9" spans="1:56" ht="149" customHeight="1" x14ac:dyDescent="0.35">
      <c r="B9" s="416"/>
      <c r="C9" s="8"/>
      <c r="D9" s="373" t="s">
        <v>121</v>
      </c>
      <c r="E9" s="332"/>
      <c r="F9" s="332"/>
      <c r="G9" s="332" t="s">
        <v>129</v>
      </c>
      <c r="H9" s="332"/>
      <c r="I9" s="332"/>
      <c r="J9" s="332"/>
      <c r="K9" s="332"/>
    </row>
    <row r="10" spans="1:56" x14ac:dyDescent="0.35">
      <c r="B10" s="1"/>
      <c r="C10" s="1"/>
      <c r="D10" s="319"/>
      <c r="E10" s="319"/>
      <c r="F10" s="319"/>
      <c r="G10" s="319"/>
      <c r="H10" s="319"/>
      <c r="I10" s="319"/>
      <c r="J10" s="319"/>
    </row>
    <row r="11" spans="1:56" ht="15" thickBot="1" x14ac:dyDescent="0.4"/>
    <row r="12" spans="1:56" ht="14.5" customHeight="1" thickBot="1" x14ac:dyDescent="0.4">
      <c r="B12" s="411" t="s">
        <v>382</v>
      </c>
      <c r="C12" s="412"/>
      <c r="D12" s="412"/>
      <c r="E12" s="412"/>
      <c r="F12" s="412"/>
      <c r="G12" s="412"/>
      <c r="H12" s="412"/>
      <c r="I12" s="412"/>
      <c r="J12" s="413"/>
      <c r="K12" s="401" t="s">
        <v>105</v>
      </c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  <c r="AJ12" s="402"/>
      <c r="AK12" s="402"/>
      <c r="AL12" s="402"/>
      <c r="AM12" s="402"/>
      <c r="AN12" s="402"/>
      <c r="AO12" s="402"/>
      <c r="AP12" s="402"/>
      <c r="AQ12" s="402"/>
      <c r="AR12" s="402"/>
      <c r="AS12" s="402"/>
      <c r="AT12" s="402"/>
      <c r="AU12" s="402"/>
      <c r="AV12" s="402"/>
      <c r="AW12" s="402"/>
      <c r="AX12" s="402"/>
      <c r="AY12" s="402"/>
      <c r="AZ12" s="402"/>
      <c r="BA12" s="402"/>
      <c r="BB12" s="403"/>
    </row>
    <row r="13" spans="1:56" s="3" customFormat="1" ht="39.5" thickBot="1" x14ac:dyDescent="0.35">
      <c r="A13" s="2" t="s">
        <v>0</v>
      </c>
      <c r="B13" s="50" t="s">
        <v>1</v>
      </c>
      <c r="C13" s="51" t="s">
        <v>2</v>
      </c>
      <c r="D13" s="51" t="s">
        <v>3</v>
      </c>
      <c r="E13" s="51" t="s">
        <v>4</v>
      </c>
      <c r="F13" s="51" t="s">
        <v>5</v>
      </c>
      <c r="G13" s="51" t="s">
        <v>6</v>
      </c>
      <c r="H13" s="51" t="s">
        <v>7</v>
      </c>
      <c r="I13" s="51" t="s">
        <v>8</v>
      </c>
      <c r="J13" s="52" t="s">
        <v>9</v>
      </c>
      <c r="K13" s="271" t="s">
        <v>20</v>
      </c>
      <c r="L13" s="272" t="s">
        <v>21</v>
      </c>
      <c r="M13" s="272" t="s">
        <v>22</v>
      </c>
      <c r="N13" s="272" t="s">
        <v>23</v>
      </c>
      <c r="O13" s="272" t="s">
        <v>24</v>
      </c>
      <c r="P13" s="272" t="s">
        <v>25</v>
      </c>
      <c r="Q13" s="272" t="s">
        <v>26</v>
      </c>
      <c r="R13" s="272" t="s">
        <v>27</v>
      </c>
      <c r="S13" s="272" t="s">
        <v>28</v>
      </c>
      <c r="T13" s="272" t="s">
        <v>29</v>
      </c>
      <c r="U13" s="272" t="s">
        <v>30</v>
      </c>
      <c r="V13" s="272" t="s">
        <v>31</v>
      </c>
      <c r="W13" s="272" t="s">
        <v>32</v>
      </c>
      <c r="X13" s="272" t="s">
        <v>33</v>
      </c>
      <c r="Y13" s="272" t="s">
        <v>34</v>
      </c>
      <c r="Z13" s="272" t="s">
        <v>35</v>
      </c>
      <c r="AA13" s="272" t="s">
        <v>36</v>
      </c>
      <c r="AB13" s="272" t="s">
        <v>37</v>
      </c>
      <c r="AC13" s="273" t="s">
        <v>38</v>
      </c>
      <c r="AD13" s="272" t="s">
        <v>39</v>
      </c>
      <c r="AE13" s="272" t="s">
        <v>40</v>
      </c>
      <c r="AF13" s="272" t="s">
        <v>41</v>
      </c>
      <c r="AG13" s="272" t="s">
        <v>42</v>
      </c>
      <c r="AH13" s="272" t="s">
        <v>43</v>
      </c>
      <c r="AI13" s="272" t="s">
        <v>44</v>
      </c>
      <c r="AJ13" s="272" t="s">
        <v>45</v>
      </c>
      <c r="AK13" s="272" t="s">
        <v>46</v>
      </c>
      <c r="AL13" s="272" t="s">
        <v>47</v>
      </c>
      <c r="AM13" s="272" t="s">
        <v>48</v>
      </c>
      <c r="AN13" s="272" t="s">
        <v>49</v>
      </c>
      <c r="AO13" s="272" t="s">
        <v>50</v>
      </c>
      <c r="AP13" s="272" t="s">
        <v>51</v>
      </c>
      <c r="AQ13" s="272" t="s">
        <v>52</v>
      </c>
      <c r="AR13" s="272" t="s">
        <v>53</v>
      </c>
      <c r="AS13" s="272" t="s">
        <v>54</v>
      </c>
      <c r="AT13" s="272" t="s">
        <v>55</v>
      </c>
      <c r="AU13" s="272" t="s">
        <v>56</v>
      </c>
      <c r="AV13" s="272" t="s">
        <v>57</v>
      </c>
      <c r="AW13" s="272" t="s">
        <v>58</v>
      </c>
      <c r="AX13" s="272" t="s">
        <v>59</v>
      </c>
      <c r="AY13" s="272" t="s">
        <v>60</v>
      </c>
      <c r="AZ13" s="272" t="s">
        <v>61</v>
      </c>
      <c r="BA13" s="272" t="s">
        <v>62</v>
      </c>
      <c r="BB13" s="274" t="s">
        <v>63</v>
      </c>
      <c r="BD13" s="185" t="s">
        <v>106</v>
      </c>
    </row>
    <row r="14" spans="1:56" s="32" customFormat="1" ht="52" customHeight="1" x14ac:dyDescent="0.35">
      <c r="A14" s="30" t="s">
        <v>94</v>
      </c>
      <c r="B14" s="404" t="s">
        <v>131</v>
      </c>
      <c r="C14" s="266" t="s">
        <v>132</v>
      </c>
      <c r="D14" s="410" t="s">
        <v>96</v>
      </c>
      <c r="E14" s="407">
        <v>44256</v>
      </c>
      <c r="F14" s="407">
        <v>44561</v>
      </c>
      <c r="G14" s="408">
        <v>322769050</v>
      </c>
      <c r="H14" s="408">
        <v>322769050</v>
      </c>
      <c r="I14" s="266">
        <v>0</v>
      </c>
      <c r="J14" s="409" t="s">
        <v>97</v>
      </c>
      <c r="K14" s="252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  <c r="S14" s="85">
        <v>0</v>
      </c>
      <c r="T14" s="85">
        <v>322769050</v>
      </c>
      <c r="U14" s="85">
        <v>0</v>
      </c>
      <c r="V14" s="85">
        <v>0</v>
      </c>
      <c r="W14" s="85">
        <v>0</v>
      </c>
      <c r="X14" s="85">
        <v>0</v>
      </c>
      <c r="Y14" s="85">
        <v>0</v>
      </c>
      <c r="Z14" s="85">
        <v>0</v>
      </c>
      <c r="AA14" s="85">
        <v>0</v>
      </c>
      <c r="AB14" s="85">
        <v>0</v>
      </c>
      <c r="AC14" s="85">
        <v>0</v>
      </c>
      <c r="AD14" s="85">
        <v>0</v>
      </c>
      <c r="AE14" s="85">
        <v>0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0</v>
      </c>
      <c r="AM14" s="85">
        <v>0</v>
      </c>
      <c r="AN14" s="85">
        <v>0</v>
      </c>
      <c r="AO14" s="85">
        <v>0</v>
      </c>
      <c r="AP14" s="85">
        <v>0</v>
      </c>
      <c r="AQ14" s="85">
        <v>0</v>
      </c>
      <c r="AR14" s="85">
        <v>0</v>
      </c>
      <c r="AS14" s="85">
        <v>0</v>
      </c>
      <c r="AT14" s="85">
        <v>0</v>
      </c>
      <c r="AU14" s="85">
        <v>0</v>
      </c>
      <c r="AV14" s="85">
        <v>0</v>
      </c>
      <c r="AW14" s="85">
        <v>0</v>
      </c>
      <c r="AX14" s="85">
        <v>0</v>
      </c>
      <c r="AY14" s="85">
        <v>0</v>
      </c>
      <c r="AZ14" s="85">
        <v>0</v>
      </c>
      <c r="BA14" s="85">
        <v>0</v>
      </c>
      <c r="BB14" s="86">
        <v>0</v>
      </c>
      <c r="BC14" s="31">
        <f>SUM(K14:BB14)</f>
        <v>322769050</v>
      </c>
      <c r="BD14" s="262">
        <f>SUM(K14:BB14)</f>
        <v>322769050</v>
      </c>
    </row>
    <row r="15" spans="1:56" s="32" customFormat="1" ht="13" x14ac:dyDescent="0.35">
      <c r="A15" s="30"/>
      <c r="B15" s="400"/>
      <c r="C15" s="29"/>
      <c r="D15" s="406"/>
      <c r="E15" s="391"/>
      <c r="F15" s="391"/>
      <c r="G15" s="393"/>
      <c r="H15" s="393"/>
      <c r="I15" s="29"/>
      <c r="J15" s="388"/>
      <c r="K15" s="253"/>
      <c r="L15" s="39"/>
      <c r="M15" s="39"/>
      <c r="N15" s="39"/>
      <c r="O15" s="39"/>
      <c r="P15" s="39"/>
      <c r="Q15" s="39"/>
      <c r="R15" s="39"/>
      <c r="S15" s="39"/>
      <c r="T15" s="39">
        <v>312627200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87"/>
      <c r="BC15" s="31"/>
      <c r="BD15" s="263">
        <f t="shared" ref="BD15:BD70" si="0">SUM(K15:BB15)</f>
        <v>312627200</v>
      </c>
    </row>
    <row r="16" spans="1:56" s="32" customFormat="1" ht="52" customHeight="1" x14ac:dyDescent="0.35">
      <c r="A16" s="33"/>
      <c r="B16" s="398" t="s">
        <v>133</v>
      </c>
      <c r="C16" s="29" t="s">
        <v>134</v>
      </c>
      <c r="D16" s="405" t="s">
        <v>96</v>
      </c>
      <c r="E16" s="390">
        <v>44256</v>
      </c>
      <c r="F16" s="390">
        <v>44561</v>
      </c>
      <c r="G16" s="392">
        <v>33961563.840000004</v>
      </c>
      <c r="H16" s="392">
        <v>33961563.840000004</v>
      </c>
      <c r="I16" s="29">
        <v>0</v>
      </c>
      <c r="J16" s="387" t="s">
        <v>135</v>
      </c>
      <c r="K16" s="254">
        <v>2267047.5</v>
      </c>
      <c r="L16" s="38">
        <v>2267047.5</v>
      </c>
      <c r="M16" s="38">
        <v>3637717</v>
      </c>
      <c r="N16" s="38">
        <v>3292375.75</v>
      </c>
      <c r="O16" s="38">
        <v>3292375.75</v>
      </c>
      <c r="P16" s="38">
        <v>2398053.67</v>
      </c>
      <c r="Q16" s="38">
        <v>2398053.67</v>
      </c>
      <c r="R16" s="38">
        <v>2054495</v>
      </c>
      <c r="S16" s="38">
        <v>2054495</v>
      </c>
      <c r="T16" s="38">
        <v>10299903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  <c r="BB16" s="196">
        <v>0</v>
      </c>
      <c r="BC16" s="31">
        <f>SUM(K16:BB16)</f>
        <v>33961563.840000004</v>
      </c>
      <c r="BD16" s="263">
        <f t="shared" si="0"/>
        <v>33961563.840000004</v>
      </c>
    </row>
    <row r="17" spans="1:56" s="32" customFormat="1" ht="13" x14ac:dyDescent="0.35">
      <c r="A17" s="33"/>
      <c r="B17" s="400"/>
      <c r="C17" s="29"/>
      <c r="D17" s="406"/>
      <c r="E17" s="391"/>
      <c r="F17" s="391"/>
      <c r="G17" s="393"/>
      <c r="H17" s="393"/>
      <c r="I17" s="29"/>
      <c r="J17" s="388"/>
      <c r="K17" s="253">
        <v>2267047.5</v>
      </c>
      <c r="L17" s="39">
        <v>2267047.5</v>
      </c>
      <c r="M17" s="39">
        <f>1576365+2061352</f>
        <v>3637717</v>
      </c>
      <c r="N17" s="39">
        <f>1231023.75+2061352</f>
        <v>3292375.75</v>
      </c>
      <c r="O17" s="39">
        <f>1231023.75+2061352</f>
        <v>3292375.75</v>
      </c>
      <c r="P17" s="39">
        <f>1023819+1374234.67</f>
        <v>2398053.67</v>
      </c>
      <c r="Q17" s="39">
        <f>1023819+1374234.67</f>
        <v>2398053.67</v>
      </c>
      <c r="R17" s="39">
        <f>1023819+1030676</f>
        <v>2054495</v>
      </c>
      <c r="S17" s="39">
        <f>1023819</f>
        <v>1023819</v>
      </c>
      <c r="T17" s="39">
        <f>10306760+1023819</f>
        <v>11330579</v>
      </c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87"/>
      <c r="BC17" s="31"/>
      <c r="BD17" s="263">
        <f t="shared" si="0"/>
        <v>33961563.840000004</v>
      </c>
    </row>
    <row r="18" spans="1:56" s="32" customFormat="1" ht="52" customHeight="1" x14ac:dyDescent="0.35">
      <c r="A18" s="30" t="s">
        <v>94</v>
      </c>
      <c r="B18" s="398" t="s">
        <v>136</v>
      </c>
      <c r="C18" s="29" t="s">
        <v>137</v>
      </c>
      <c r="D18" s="405" t="s">
        <v>96</v>
      </c>
      <c r="E18" s="390">
        <v>44256</v>
      </c>
      <c r="F18" s="390">
        <v>44620</v>
      </c>
      <c r="G18" s="392">
        <v>5960000</v>
      </c>
      <c r="H18" s="392">
        <v>5960000</v>
      </c>
      <c r="I18" s="29">
        <v>0</v>
      </c>
      <c r="J18" s="387" t="s">
        <v>97</v>
      </c>
      <c r="K18" s="254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5960000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  <c r="BB18" s="196">
        <v>0</v>
      </c>
      <c r="BC18" s="31">
        <f>SUM(K18:BB18)</f>
        <v>5960000</v>
      </c>
      <c r="BD18" s="263">
        <f t="shared" si="0"/>
        <v>5960000</v>
      </c>
    </row>
    <row r="19" spans="1:56" s="32" customFormat="1" ht="13" x14ac:dyDescent="0.35">
      <c r="A19" s="30"/>
      <c r="B19" s="400"/>
      <c r="C19" s="29"/>
      <c r="D19" s="406"/>
      <c r="E19" s="391"/>
      <c r="F19" s="391"/>
      <c r="G19" s="393"/>
      <c r="H19" s="393"/>
      <c r="I19" s="29"/>
      <c r="J19" s="388"/>
      <c r="K19" s="253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>
        <v>4760000</v>
      </c>
      <c r="W19" s="39"/>
      <c r="X19" s="39"/>
      <c r="Y19" s="39"/>
      <c r="Z19" s="39"/>
      <c r="AA19" s="39"/>
      <c r="AB19" s="39"/>
      <c r="AC19" s="39">
        <v>458150</v>
      </c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87"/>
      <c r="BC19" s="31"/>
      <c r="BD19" s="263">
        <f t="shared" si="0"/>
        <v>5218150</v>
      </c>
    </row>
    <row r="20" spans="1:56" s="32" customFormat="1" ht="52" customHeight="1" x14ac:dyDescent="0.35">
      <c r="A20" s="33"/>
      <c r="B20" s="398" t="s">
        <v>138</v>
      </c>
      <c r="C20" s="29" t="s">
        <v>139</v>
      </c>
      <c r="D20" s="405" t="s">
        <v>96</v>
      </c>
      <c r="E20" s="390">
        <v>44256</v>
      </c>
      <c r="F20" s="390">
        <v>44620</v>
      </c>
      <c r="G20" s="392">
        <v>14255826.66</v>
      </c>
      <c r="H20" s="392">
        <v>14255826.66</v>
      </c>
      <c r="I20" s="29">
        <v>0</v>
      </c>
      <c r="J20" s="387" t="s">
        <v>135</v>
      </c>
      <c r="K20" s="254">
        <v>1029800</v>
      </c>
      <c r="L20" s="38">
        <v>1029800</v>
      </c>
      <c r="M20" s="38">
        <v>1389913.33</v>
      </c>
      <c r="N20" s="38">
        <v>1389913.33</v>
      </c>
      <c r="O20" s="38">
        <v>1389913.33</v>
      </c>
      <c r="P20" s="38">
        <v>952406.67</v>
      </c>
      <c r="Q20" s="38">
        <v>952406.67</v>
      </c>
      <c r="R20" s="38">
        <v>952406.67</v>
      </c>
      <c r="S20" s="38">
        <v>952406.67</v>
      </c>
      <c r="T20" s="38">
        <v>952406.67</v>
      </c>
      <c r="U20" s="38">
        <v>952406.67</v>
      </c>
      <c r="V20" s="38">
        <v>2312046.65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38">
        <v>0</v>
      </c>
      <c r="AI20" s="38">
        <v>0</v>
      </c>
      <c r="AJ20" s="38">
        <v>0</v>
      </c>
      <c r="AK20" s="38">
        <v>0</v>
      </c>
      <c r="AL20" s="38">
        <v>0</v>
      </c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8">
        <v>0</v>
      </c>
      <c r="AY20" s="38">
        <v>0</v>
      </c>
      <c r="AZ20" s="38">
        <v>0</v>
      </c>
      <c r="BA20" s="38">
        <v>0</v>
      </c>
      <c r="BB20" s="196">
        <v>0</v>
      </c>
      <c r="BC20" s="31">
        <f>SUM(K20:BB20)</f>
        <v>14255826.66</v>
      </c>
      <c r="BD20" s="263">
        <f t="shared" si="0"/>
        <v>14255826.66</v>
      </c>
    </row>
    <row r="21" spans="1:56" s="32" customFormat="1" ht="13" x14ac:dyDescent="0.35">
      <c r="A21" s="33"/>
      <c r="B21" s="400"/>
      <c r="C21" s="29"/>
      <c r="D21" s="406"/>
      <c r="E21" s="391"/>
      <c r="F21" s="391"/>
      <c r="G21" s="393"/>
      <c r="H21" s="393"/>
      <c r="I21" s="29"/>
      <c r="J21" s="388"/>
      <c r="K21" s="253">
        <v>1029800</v>
      </c>
      <c r="L21" s="39">
        <v>1029800</v>
      </c>
      <c r="M21" s="39">
        <f>514900+875013.33</f>
        <v>1389913.33</v>
      </c>
      <c r="N21" s="39">
        <f>514900+875013.33</f>
        <v>1389913.33</v>
      </c>
      <c r="O21" s="39">
        <f>514900+875013.33</f>
        <v>1389913.33</v>
      </c>
      <c r="P21" s="39">
        <f>514900+437506.67</f>
        <v>952406.66999999993</v>
      </c>
      <c r="Q21" s="39">
        <f>514900+437506.67</f>
        <v>952406.66999999993</v>
      </c>
      <c r="R21" s="39">
        <f>514900+437506.67</f>
        <v>952406.66999999993</v>
      </c>
      <c r="S21" s="39">
        <f>514900</f>
        <v>514900</v>
      </c>
      <c r="T21" s="39">
        <f>875013.34+514900</f>
        <v>1389913.3399999999</v>
      </c>
      <c r="U21" s="39">
        <f>514900+437506.67</f>
        <v>952406.66999999993</v>
      </c>
      <c r="V21" s="39">
        <f>343266.66+1968779.99</f>
        <v>2312046.65</v>
      </c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87"/>
      <c r="BC21" s="31"/>
      <c r="BD21" s="263">
        <f t="shared" si="0"/>
        <v>14255826.66</v>
      </c>
    </row>
    <row r="22" spans="1:56" s="32" customFormat="1" ht="26" x14ac:dyDescent="0.35">
      <c r="A22" s="34" t="s">
        <v>94</v>
      </c>
      <c r="B22" s="398" t="s">
        <v>140</v>
      </c>
      <c r="C22" s="29" t="s">
        <v>141</v>
      </c>
      <c r="D22" s="405" t="s">
        <v>96</v>
      </c>
      <c r="E22" s="390">
        <v>44317</v>
      </c>
      <c r="F22" s="390">
        <v>44651</v>
      </c>
      <c r="G22" s="392">
        <v>4000000</v>
      </c>
      <c r="H22" s="392">
        <v>4000000</v>
      </c>
      <c r="I22" s="29">
        <v>0</v>
      </c>
      <c r="J22" s="387" t="s">
        <v>97</v>
      </c>
      <c r="K22" s="254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400000</v>
      </c>
      <c r="T22" s="38">
        <v>400000</v>
      </c>
      <c r="U22" s="38">
        <v>400000</v>
      </c>
      <c r="V22" s="38">
        <v>400000</v>
      </c>
      <c r="W22" s="38">
        <v>2400000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196">
        <v>0</v>
      </c>
      <c r="BC22" s="31">
        <f>SUM(K22:BB22)</f>
        <v>4000000</v>
      </c>
      <c r="BD22" s="263">
        <f t="shared" si="0"/>
        <v>4000000</v>
      </c>
    </row>
    <row r="23" spans="1:56" s="32" customFormat="1" ht="13" x14ac:dyDescent="0.35">
      <c r="A23" s="34"/>
      <c r="B23" s="400"/>
      <c r="C23" s="29"/>
      <c r="D23" s="406"/>
      <c r="E23" s="391"/>
      <c r="F23" s="391"/>
      <c r="G23" s="393"/>
      <c r="H23" s="393"/>
      <c r="I23" s="29"/>
      <c r="J23" s="388"/>
      <c r="K23" s="253"/>
      <c r="L23" s="39"/>
      <c r="M23" s="39"/>
      <c r="N23" s="39"/>
      <c r="O23" s="39"/>
      <c r="P23" s="39"/>
      <c r="Q23" s="39"/>
      <c r="R23" s="39"/>
      <c r="S23" s="39">
        <v>106667</v>
      </c>
      <c r="T23" s="39">
        <v>400000</v>
      </c>
      <c r="U23" s="39">
        <v>400000</v>
      </c>
      <c r="V23" s="39">
        <v>400000</v>
      </c>
      <c r="W23" s="39">
        <v>400000</v>
      </c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>
        <v>2000000</v>
      </c>
      <c r="AI23" s="39"/>
      <c r="AJ23" s="39">
        <v>293333</v>
      </c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87"/>
      <c r="BC23" s="31"/>
      <c r="BD23" s="263">
        <f t="shared" si="0"/>
        <v>4000000</v>
      </c>
    </row>
    <row r="24" spans="1:56" s="35" customFormat="1" ht="26" x14ac:dyDescent="0.35">
      <c r="B24" s="398" t="s">
        <v>142</v>
      </c>
      <c r="C24" s="29" t="s">
        <v>143</v>
      </c>
      <c r="D24" s="405" t="s">
        <v>96</v>
      </c>
      <c r="E24" s="390">
        <v>44317</v>
      </c>
      <c r="F24" s="390">
        <v>44651</v>
      </c>
      <c r="G24" s="392">
        <v>5492266.6600000001</v>
      </c>
      <c r="H24" s="392">
        <v>5492266.6600000001</v>
      </c>
      <c r="I24" s="29">
        <v>0</v>
      </c>
      <c r="J24" s="387" t="s">
        <v>135</v>
      </c>
      <c r="K24" s="254">
        <v>0</v>
      </c>
      <c r="L24" s="38">
        <v>0</v>
      </c>
      <c r="M24" s="38">
        <v>514900</v>
      </c>
      <c r="N24" s="38">
        <v>514900</v>
      </c>
      <c r="O24" s="38">
        <v>514900</v>
      </c>
      <c r="P24" s="38">
        <v>514900</v>
      </c>
      <c r="Q24" s="38">
        <v>514900</v>
      </c>
      <c r="R24" s="38">
        <v>514900</v>
      </c>
      <c r="S24" s="38">
        <v>514900</v>
      </c>
      <c r="T24" s="38">
        <v>514900</v>
      </c>
      <c r="U24" s="38">
        <v>514900</v>
      </c>
      <c r="V24" s="38">
        <v>343266.66</v>
      </c>
      <c r="W24" s="38">
        <v>514900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0</v>
      </c>
      <c r="AR24" s="38">
        <v>0</v>
      </c>
      <c r="AS24" s="38">
        <v>0</v>
      </c>
      <c r="AT24" s="38">
        <v>0</v>
      </c>
      <c r="AU24" s="38">
        <v>0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196">
        <v>0</v>
      </c>
      <c r="BC24" s="31">
        <f>SUM(K24:BB24)</f>
        <v>5492266.6600000001</v>
      </c>
      <c r="BD24" s="263">
        <f t="shared" si="0"/>
        <v>5492266.6600000001</v>
      </c>
    </row>
    <row r="25" spans="1:56" s="35" customFormat="1" x14ac:dyDescent="0.35">
      <c r="B25" s="400"/>
      <c r="C25" s="29"/>
      <c r="D25" s="406"/>
      <c r="E25" s="391"/>
      <c r="F25" s="391"/>
      <c r="G25" s="393"/>
      <c r="H25" s="393"/>
      <c r="I25" s="29"/>
      <c r="J25" s="388"/>
      <c r="K25" s="253"/>
      <c r="L25" s="39"/>
      <c r="M25" s="39">
        <v>514900</v>
      </c>
      <c r="N25" s="39">
        <v>514900</v>
      </c>
      <c r="O25" s="39">
        <v>514900</v>
      </c>
      <c r="P25" s="39">
        <v>514900</v>
      </c>
      <c r="Q25" s="39">
        <v>514900</v>
      </c>
      <c r="R25" s="39">
        <v>514900</v>
      </c>
      <c r="S25" s="39">
        <v>514900</v>
      </c>
      <c r="T25" s="39">
        <v>514900</v>
      </c>
      <c r="U25" s="39">
        <v>514900</v>
      </c>
      <c r="V25" s="39">
        <v>343266.66</v>
      </c>
      <c r="W25" s="39">
        <v>514900</v>
      </c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87"/>
      <c r="BC25" s="31"/>
      <c r="BD25" s="263">
        <f t="shared" si="0"/>
        <v>5492266.6600000001</v>
      </c>
    </row>
    <row r="26" spans="1:56" s="35" customFormat="1" ht="26.5" customHeight="1" x14ac:dyDescent="0.35">
      <c r="B26" s="398" t="s">
        <v>144</v>
      </c>
      <c r="C26" s="29" t="s">
        <v>145</v>
      </c>
      <c r="D26" s="405" t="s">
        <v>96</v>
      </c>
      <c r="E26" s="390">
        <v>44409</v>
      </c>
      <c r="F26" s="390">
        <v>45169</v>
      </c>
      <c r="G26" s="392">
        <v>340969050</v>
      </c>
      <c r="H26" s="392">
        <v>340969050</v>
      </c>
      <c r="I26" s="29">
        <v>0</v>
      </c>
      <c r="J26" s="387" t="s">
        <v>97</v>
      </c>
      <c r="K26" s="254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400000</v>
      </c>
      <c r="T26" s="38">
        <v>321621350</v>
      </c>
      <c r="U26" s="38">
        <v>400000</v>
      </c>
      <c r="V26" s="38">
        <v>1947700</v>
      </c>
      <c r="W26" s="38">
        <v>400000</v>
      </c>
      <c r="X26" s="38">
        <v>600000</v>
      </c>
      <c r="Y26" s="38">
        <v>600000</v>
      </c>
      <c r="Z26" s="38">
        <v>600000</v>
      </c>
      <c r="AA26" s="38">
        <v>600000</v>
      </c>
      <c r="AB26" s="38">
        <v>600000</v>
      </c>
      <c r="AC26" s="38">
        <v>600000</v>
      </c>
      <c r="AD26" s="38">
        <v>600000</v>
      </c>
      <c r="AE26" s="38">
        <v>1200000</v>
      </c>
      <c r="AF26" s="38">
        <v>1200000</v>
      </c>
      <c r="AG26" s="38">
        <v>1200000</v>
      </c>
      <c r="AH26" s="38">
        <v>1200000</v>
      </c>
      <c r="AI26" s="38">
        <v>1200000</v>
      </c>
      <c r="AJ26" s="38">
        <v>1200000</v>
      </c>
      <c r="AK26" s="38">
        <v>1200000</v>
      </c>
      <c r="AL26" s="38">
        <v>1200000</v>
      </c>
      <c r="AM26" s="38">
        <v>1200000</v>
      </c>
      <c r="AN26" s="38">
        <v>1200000</v>
      </c>
      <c r="AO26" s="38">
        <v>0</v>
      </c>
      <c r="AP26" s="38">
        <v>0</v>
      </c>
      <c r="AQ26" s="38">
        <v>0</v>
      </c>
      <c r="AR26" s="38">
        <v>0</v>
      </c>
      <c r="AS26" s="38">
        <v>0</v>
      </c>
      <c r="AT26" s="38">
        <v>0</v>
      </c>
      <c r="AU26" s="38">
        <v>0</v>
      </c>
      <c r="AV26" s="38">
        <v>0</v>
      </c>
      <c r="AW26" s="38">
        <v>0</v>
      </c>
      <c r="AX26" s="38">
        <v>0</v>
      </c>
      <c r="AY26" s="38">
        <v>0</v>
      </c>
      <c r="AZ26" s="38">
        <v>0</v>
      </c>
      <c r="BA26" s="38">
        <v>0</v>
      </c>
      <c r="BB26" s="196">
        <v>0</v>
      </c>
      <c r="BD26" s="263">
        <f t="shared" si="0"/>
        <v>340969050</v>
      </c>
    </row>
    <row r="27" spans="1:56" s="35" customFormat="1" x14ac:dyDescent="0.35">
      <c r="B27" s="400"/>
      <c r="C27" s="29"/>
      <c r="D27" s="406"/>
      <c r="E27" s="391"/>
      <c r="F27" s="391"/>
      <c r="G27" s="393"/>
      <c r="H27" s="393"/>
      <c r="I27" s="29"/>
      <c r="J27" s="388"/>
      <c r="K27" s="253"/>
      <c r="L27" s="39"/>
      <c r="M27" s="39"/>
      <c r="N27" s="39"/>
      <c r="O27" s="39"/>
      <c r="P27" s="39"/>
      <c r="Q27" s="39"/>
      <c r="R27" s="39"/>
      <c r="S27" s="39">
        <v>106666</v>
      </c>
      <c r="T27" s="39">
        <v>311479500</v>
      </c>
      <c r="U27" s="39">
        <v>400000</v>
      </c>
      <c r="V27" s="39">
        <v>1666300</v>
      </c>
      <c r="W27" s="39">
        <v>400000</v>
      </c>
      <c r="X27" s="39">
        <v>600000</v>
      </c>
      <c r="Y27" s="39">
        <v>600000</v>
      </c>
      <c r="Z27" s="39">
        <v>600000</v>
      </c>
      <c r="AA27" s="39">
        <v>600000</v>
      </c>
      <c r="AB27" s="39">
        <v>600000</v>
      </c>
      <c r="AC27" s="39">
        <v>600000</v>
      </c>
      <c r="AD27" s="39">
        <v>600000</v>
      </c>
      <c r="AE27" s="39">
        <v>1200000</v>
      </c>
      <c r="AF27" s="39"/>
      <c r="AG27" s="39"/>
      <c r="AH27" s="39">
        <v>1200000</v>
      </c>
      <c r="AI27" s="39">
        <v>1200000</v>
      </c>
      <c r="AJ27" s="39">
        <v>906667</v>
      </c>
      <c r="AK27" s="39">
        <v>906667</v>
      </c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87"/>
      <c r="BD27" s="263">
        <f t="shared" si="0"/>
        <v>323665800</v>
      </c>
    </row>
    <row r="28" spans="1:56" s="35" customFormat="1" ht="26.5" customHeight="1" x14ac:dyDescent="0.35">
      <c r="B28" s="398" t="s">
        <v>146</v>
      </c>
      <c r="C28" s="29" t="s">
        <v>147</v>
      </c>
      <c r="D28" s="405" t="s">
        <v>96</v>
      </c>
      <c r="E28" s="390">
        <v>44409</v>
      </c>
      <c r="F28" s="390">
        <v>45169</v>
      </c>
      <c r="G28" s="392">
        <v>10202900</v>
      </c>
      <c r="H28" s="392">
        <v>10202900</v>
      </c>
      <c r="I28" s="29">
        <v>0</v>
      </c>
      <c r="J28" s="387" t="s">
        <v>135</v>
      </c>
      <c r="K28" s="254">
        <v>0</v>
      </c>
      <c r="L28" s="38">
        <v>0</v>
      </c>
      <c r="M28" s="38">
        <v>0</v>
      </c>
      <c r="N28" s="38">
        <v>0</v>
      </c>
      <c r="O28" s="38">
        <v>0</v>
      </c>
      <c r="P28" s="38">
        <v>408116</v>
      </c>
      <c r="Q28" s="38">
        <v>408116</v>
      </c>
      <c r="R28" s="38">
        <v>408116</v>
      </c>
      <c r="S28" s="38">
        <v>408116</v>
      </c>
      <c r="T28" s="38">
        <v>408116</v>
      </c>
      <c r="U28" s="38">
        <v>408116</v>
      </c>
      <c r="V28" s="38">
        <v>408116</v>
      </c>
      <c r="W28" s="38">
        <v>408116</v>
      </c>
      <c r="X28" s="38">
        <v>408116</v>
      </c>
      <c r="Y28" s="38">
        <v>408116</v>
      </c>
      <c r="Z28" s="38">
        <v>408116</v>
      </c>
      <c r="AA28" s="38">
        <v>408116</v>
      </c>
      <c r="AB28" s="38">
        <v>408116</v>
      </c>
      <c r="AC28" s="38">
        <v>408116</v>
      </c>
      <c r="AD28" s="38">
        <v>408116</v>
      </c>
      <c r="AE28" s="38">
        <v>408116</v>
      </c>
      <c r="AF28" s="38">
        <v>408116</v>
      </c>
      <c r="AG28" s="38">
        <v>408116</v>
      </c>
      <c r="AH28" s="38">
        <v>408116</v>
      </c>
      <c r="AI28" s="38">
        <v>408116</v>
      </c>
      <c r="AJ28" s="38">
        <v>408116</v>
      </c>
      <c r="AK28" s="38">
        <v>408116</v>
      </c>
      <c r="AL28" s="38">
        <v>408116</v>
      </c>
      <c r="AM28" s="38">
        <v>408116</v>
      </c>
      <c r="AN28" s="38">
        <v>408116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  <c r="BB28" s="196">
        <v>0</v>
      </c>
      <c r="BD28" s="263">
        <f t="shared" si="0"/>
        <v>10202900</v>
      </c>
    </row>
    <row r="29" spans="1:56" s="35" customFormat="1" x14ac:dyDescent="0.35">
      <c r="B29" s="400"/>
      <c r="C29" s="29"/>
      <c r="D29" s="406"/>
      <c r="E29" s="391"/>
      <c r="F29" s="391"/>
      <c r="G29" s="393"/>
      <c r="H29" s="393"/>
      <c r="I29" s="29"/>
      <c r="J29" s="388"/>
      <c r="K29" s="253"/>
      <c r="L29" s="39"/>
      <c r="M29" s="39"/>
      <c r="N29" s="39"/>
      <c r="O29" s="39"/>
      <c r="P29" s="39">
        <f>91800+316316</f>
        <v>408116</v>
      </c>
      <c r="Q29" s="39">
        <f>91800+316316</f>
        <v>408116</v>
      </c>
      <c r="R29" s="39">
        <f>91800+316316</f>
        <v>408116</v>
      </c>
      <c r="S29" s="39">
        <f>91800</f>
        <v>91800</v>
      </c>
      <c r="T29" s="39">
        <f>632632+91800</f>
        <v>724432</v>
      </c>
      <c r="U29" s="39">
        <f t="shared" ref="U29:AK29" si="1">91800+316316</f>
        <v>408116</v>
      </c>
      <c r="V29" s="39">
        <f t="shared" si="1"/>
        <v>408116</v>
      </c>
      <c r="W29" s="39">
        <f t="shared" si="1"/>
        <v>408116</v>
      </c>
      <c r="X29" s="39">
        <f t="shared" si="1"/>
        <v>408116</v>
      </c>
      <c r="Y29" s="39">
        <f t="shared" si="1"/>
        <v>408116</v>
      </c>
      <c r="Z29" s="39">
        <f t="shared" si="1"/>
        <v>408116</v>
      </c>
      <c r="AA29" s="39">
        <f t="shared" si="1"/>
        <v>408116</v>
      </c>
      <c r="AB29" s="39">
        <f t="shared" si="1"/>
        <v>408116</v>
      </c>
      <c r="AC29" s="39">
        <f t="shared" si="1"/>
        <v>408116</v>
      </c>
      <c r="AD29" s="39">
        <f t="shared" si="1"/>
        <v>408116</v>
      </c>
      <c r="AE29" s="39">
        <f t="shared" si="1"/>
        <v>408116</v>
      </c>
      <c r="AF29" s="39">
        <f t="shared" si="1"/>
        <v>408116</v>
      </c>
      <c r="AG29" s="39">
        <f t="shared" si="1"/>
        <v>408116</v>
      </c>
      <c r="AH29" s="39">
        <f t="shared" si="1"/>
        <v>408116</v>
      </c>
      <c r="AI29" s="39">
        <f t="shared" si="1"/>
        <v>408116</v>
      </c>
      <c r="AJ29" s="39">
        <f t="shared" si="1"/>
        <v>408116</v>
      </c>
      <c r="AK29" s="39">
        <f t="shared" si="1"/>
        <v>408116</v>
      </c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87"/>
      <c r="BD29" s="263">
        <f t="shared" si="0"/>
        <v>8978552</v>
      </c>
    </row>
    <row r="30" spans="1:56" s="35" customFormat="1" ht="26" x14ac:dyDescent="0.35">
      <c r="B30" s="398" t="s">
        <v>148</v>
      </c>
      <c r="C30" s="29" t="s">
        <v>149</v>
      </c>
      <c r="D30" s="405" t="s">
        <v>96</v>
      </c>
      <c r="E30" s="390">
        <v>44317</v>
      </c>
      <c r="F30" s="390">
        <v>45591</v>
      </c>
      <c r="G30" s="392">
        <v>301510000</v>
      </c>
      <c r="H30" s="392">
        <v>301510000</v>
      </c>
      <c r="I30" s="29">
        <v>0</v>
      </c>
      <c r="J30" s="387" t="s">
        <v>97</v>
      </c>
      <c r="K30" s="254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600000</v>
      </c>
      <c r="AB30" s="38">
        <v>0</v>
      </c>
      <c r="AC30" s="38">
        <v>0</v>
      </c>
      <c r="AD30" s="38">
        <v>0</v>
      </c>
      <c r="AE30" s="38">
        <v>0</v>
      </c>
      <c r="AF30" s="38">
        <v>120000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240000</v>
      </c>
      <c r="AM30" s="38">
        <v>0</v>
      </c>
      <c r="AN30" s="38">
        <v>0</v>
      </c>
      <c r="AO30" s="38">
        <v>60110000</v>
      </c>
      <c r="AP30" s="38">
        <v>0</v>
      </c>
      <c r="AQ30" s="38">
        <v>0</v>
      </c>
      <c r="AR30" s="38">
        <v>90165000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75137500</v>
      </c>
      <c r="AZ30" s="38">
        <v>0</v>
      </c>
      <c r="BA30" s="38">
        <v>0</v>
      </c>
      <c r="BB30" s="196">
        <v>75137500</v>
      </c>
      <c r="BD30" s="263">
        <f t="shared" si="0"/>
        <v>301510000</v>
      </c>
    </row>
    <row r="31" spans="1:56" s="35" customFormat="1" x14ac:dyDescent="0.35">
      <c r="B31" s="400"/>
      <c r="C31" s="29"/>
      <c r="D31" s="406"/>
      <c r="E31" s="391"/>
      <c r="F31" s="391"/>
      <c r="G31" s="393"/>
      <c r="H31" s="393"/>
      <c r="I31" s="29"/>
      <c r="J31" s="388"/>
      <c r="K31" s="253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87"/>
      <c r="BD31" s="263">
        <f t="shared" si="0"/>
        <v>0</v>
      </c>
    </row>
    <row r="32" spans="1:56" s="35" customFormat="1" ht="26" x14ac:dyDescent="0.35">
      <c r="B32" s="398" t="s">
        <v>150</v>
      </c>
      <c r="C32" s="29" t="s">
        <v>151</v>
      </c>
      <c r="D32" s="405" t="s">
        <v>96</v>
      </c>
      <c r="E32" s="390">
        <v>44317</v>
      </c>
      <c r="F32" s="390">
        <v>45107</v>
      </c>
      <c r="G32" s="392">
        <v>118519416.25</v>
      </c>
      <c r="H32" s="392">
        <v>118519416.25</v>
      </c>
      <c r="I32" s="29">
        <v>0</v>
      </c>
      <c r="J32" s="387" t="s">
        <v>135</v>
      </c>
      <c r="K32" s="254">
        <v>0</v>
      </c>
      <c r="L32" s="38">
        <v>0</v>
      </c>
      <c r="M32" s="38">
        <v>5595442.7300000004</v>
      </c>
      <c r="N32" s="38">
        <v>5250101.4800000004</v>
      </c>
      <c r="O32" s="38">
        <v>5250101.4800000004</v>
      </c>
      <c r="P32" s="38">
        <v>4355779.3899999997</v>
      </c>
      <c r="Q32" s="38">
        <v>4355779.4000000004</v>
      </c>
      <c r="R32" s="38">
        <v>4012220.73</v>
      </c>
      <c r="S32" s="38">
        <v>4012220.73</v>
      </c>
      <c r="T32" s="38">
        <v>4012220.73</v>
      </c>
      <c r="U32" s="38">
        <v>4562984.1500000004</v>
      </c>
      <c r="V32" s="38">
        <v>3806085.51</v>
      </c>
      <c r="W32" s="38">
        <v>3806085.53</v>
      </c>
      <c r="X32" s="38">
        <v>3806085.53</v>
      </c>
      <c r="Y32" s="38">
        <v>3806085.53</v>
      </c>
      <c r="Z32" s="38">
        <v>3806085.53</v>
      </c>
      <c r="AA32" s="38">
        <v>3806085.53</v>
      </c>
      <c r="AB32" s="38">
        <v>3806085.53</v>
      </c>
      <c r="AC32" s="38">
        <v>4013290.28</v>
      </c>
      <c r="AD32" s="38">
        <v>4013290.28</v>
      </c>
      <c r="AE32" s="38">
        <v>4013290.28</v>
      </c>
      <c r="AF32" s="38">
        <v>4358631.53</v>
      </c>
      <c r="AG32" s="38">
        <v>4358631.53</v>
      </c>
      <c r="AH32" s="38">
        <v>5255449.2300000004</v>
      </c>
      <c r="AI32" s="38">
        <v>5599007.9000000004</v>
      </c>
      <c r="AJ32" s="38">
        <v>6286125.2300000004</v>
      </c>
      <c r="AK32" s="38">
        <v>6286125.25</v>
      </c>
      <c r="AL32" s="38">
        <v>6286125.2300000004</v>
      </c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196">
        <v>0</v>
      </c>
      <c r="BD32" s="263">
        <f t="shared" si="0"/>
        <v>118519416.25000003</v>
      </c>
    </row>
    <row r="33" spans="2:56" s="35" customFormat="1" x14ac:dyDescent="0.35">
      <c r="B33" s="400"/>
      <c r="C33" s="29"/>
      <c r="D33" s="406"/>
      <c r="E33" s="391"/>
      <c r="F33" s="391"/>
      <c r="G33" s="393"/>
      <c r="H33" s="393"/>
      <c r="I33" s="29"/>
      <c r="J33" s="388"/>
      <c r="K33" s="253"/>
      <c r="L33" s="39"/>
      <c r="M33" s="39">
        <f>1381365+4214077.73</f>
        <v>5595442.7300000004</v>
      </c>
      <c r="N33" s="39">
        <f>1036023.75+4214077.73</f>
        <v>5250101.4800000004</v>
      </c>
      <c r="O33" s="39">
        <f>1036023.75+4214077.73</f>
        <v>5250101.4800000004</v>
      </c>
      <c r="P33" s="39">
        <f>828819+3526960.39</f>
        <v>4355779.3900000006</v>
      </c>
      <c r="Q33" s="39">
        <f>828819+3526960.4</f>
        <v>4355779.4000000004</v>
      </c>
      <c r="R33" s="39">
        <f>828819+3183401.73</f>
        <v>4012220.73</v>
      </c>
      <c r="S33" s="39">
        <f>828819</f>
        <v>828819</v>
      </c>
      <c r="T33" s="39">
        <f>6366803.46+828819</f>
        <v>7195622.46</v>
      </c>
      <c r="U33" s="39">
        <f>1036023.75+3526960.4</f>
        <v>4562984.1500000004</v>
      </c>
      <c r="V33" s="39">
        <f>828819+2977266.51</f>
        <v>3806085.51</v>
      </c>
      <c r="W33" s="39">
        <f t="shared" ref="W33:AB33" si="2">828819+2977266.53</f>
        <v>3806085.53</v>
      </c>
      <c r="X33" s="39">
        <f t="shared" si="2"/>
        <v>3806085.53</v>
      </c>
      <c r="Y33" s="39">
        <f t="shared" si="2"/>
        <v>3806085.53</v>
      </c>
      <c r="Z33" s="39">
        <f t="shared" si="2"/>
        <v>3806085.53</v>
      </c>
      <c r="AA33" s="39">
        <f t="shared" si="2"/>
        <v>3806085.53</v>
      </c>
      <c r="AB33" s="39">
        <f t="shared" si="2"/>
        <v>3806085.53</v>
      </c>
      <c r="AC33" s="39">
        <f>1036023.75+2977266.53</f>
        <v>4013290.28</v>
      </c>
      <c r="AD33" s="39">
        <f>1036023.75+2977266.53</f>
        <v>4013290.28</v>
      </c>
      <c r="AE33" s="39">
        <f>1036023.75+2977266.53</f>
        <v>4013290.28</v>
      </c>
      <c r="AF33" s="39">
        <f>1381365+2977266.53</f>
        <v>4358631.5299999993</v>
      </c>
      <c r="AG33" s="39">
        <f>1381365+2977266.53</f>
        <v>4358631.5299999993</v>
      </c>
      <c r="AH33" s="39">
        <f>2072047.5+3183401.73</f>
        <v>5255449.2300000004</v>
      </c>
      <c r="AI33" s="141">
        <f>2072047.5+3526960.4</f>
        <v>5599007.9000000004</v>
      </c>
      <c r="AJ33" s="141">
        <f>2072047.5+4214077.73</f>
        <v>6286125.2300000004</v>
      </c>
      <c r="AK33" s="141">
        <f>2072047.5+4214077.75</f>
        <v>6286125.25</v>
      </c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87"/>
      <c r="BD33" s="263">
        <f t="shared" si="0"/>
        <v>112233291.02000003</v>
      </c>
    </row>
    <row r="34" spans="2:56" s="35" customFormat="1" ht="39.5" customHeight="1" x14ac:dyDescent="0.35">
      <c r="B34" s="398" t="s">
        <v>152</v>
      </c>
      <c r="C34" s="29" t="s">
        <v>153</v>
      </c>
      <c r="D34" s="405" t="s">
        <v>96</v>
      </c>
      <c r="E34" s="390">
        <v>44256</v>
      </c>
      <c r="F34" s="390">
        <v>44804</v>
      </c>
      <c r="G34" s="392">
        <v>53895716.659999996</v>
      </c>
      <c r="H34" s="392">
        <v>53895716.659999996</v>
      </c>
      <c r="I34" s="29">
        <v>0</v>
      </c>
      <c r="J34" s="387" t="s">
        <v>97</v>
      </c>
      <c r="K34" s="254">
        <v>0</v>
      </c>
      <c r="L34" s="38">
        <v>0</v>
      </c>
      <c r="M34" s="38">
        <v>0</v>
      </c>
      <c r="N34" s="38">
        <v>2000000</v>
      </c>
      <c r="O34" s="38">
        <v>2000000</v>
      </c>
      <c r="P34" s="38">
        <v>2000000</v>
      </c>
      <c r="Q34" s="38">
        <v>2000000</v>
      </c>
      <c r="R34" s="38">
        <v>1000000</v>
      </c>
      <c r="S34" s="38">
        <v>1000000</v>
      </c>
      <c r="T34" s="38">
        <v>1000000</v>
      </c>
      <c r="U34" s="38">
        <v>1000000</v>
      </c>
      <c r="V34" s="38">
        <v>33435716.670000002</v>
      </c>
      <c r="W34" s="38">
        <v>666666.67000000004</v>
      </c>
      <c r="X34" s="38">
        <v>666666.67000000004</v>
      </c>
      <c r="Y34" s="38">
        <v>2000000</v>
      </c>
      <c r="Z34" s="38">
        <v>1666666.66</v>
      </c>
      <c r="AA34" s="38">
        <v>1666666.66</v>
      </c>
      <c r="AB34" s="38">
        <v>1793333.33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8">
        <v>0</v>
      </c>
      <c r="AI34" s="38">
        <v>0</v>
      </c>
      <c r="AJ34" s="38">
        <v>0</v>
      </c>
      <c r="AK34" s="38">
        <v>0</v>
      </c>
      <c r="AL34" s="38">
        <v>0</v>
      </c>
      <c r="AM34" s="38">
        <v>0</v>
      </c>
      <c r="AN34" s="38">
        <v>0</v>
      </c>
      <c r="AO34" s="38">
        <v>0</v>
      </c>
      <c r="AP34" s="38">
        <v>0</v>
      </c>
      <c r="AQ34" s="38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0</v>
      </c>
      <c r="BB34" s="196">
        <v>0</v>
      </c>
      <c r="BD34" s="263">
        <f t="shared" si="0"/>
        <v>53895716.659999996</v>
      </c>
    </row>
    <row r="35" spans="2:56" s="35" customFormat="1" x14ac:dyDescent="0.35">
      <c r="B35" s="400"/>
      <c r="C35" s="29"/>
      <c r="D35" s="406"/>
      <c r="E35" s="391"/>
      <c r="F35" s="391"/>
      <c r="G35" s="393"/>
      <c r="H35" s="393"/>
      <c r="I35" s="29"/>
      <c r="J35" s="388"/>
      <c r="K35" s="253"/>
      <c r="L35" s="39"/>
      <c r="M35" s="39"/>
      <c r="N35" s="39">
        <v>1466667</v>
      </c>
      <c r="O35" s="39">
        <v>2000000</v>
      </c>
      <c r="P35" s="39">
        <v>2000000</v>
      </c>
      <c r="Q35" s="39">
        <v>2000000</v>
      </c>
      <c r="R35" s="39">
        <v>1000000</v>
      </c>
      <c r="S35" s="39">
        <v>1000000</v>
      </c>
      <c r="T35" s="39">
        <v>1000000</v>
      </c>
      <c r="U35" s="39">
        <v>1000000</v>
      </c>
      <c r="V35" s="39">
        <v>33435716.670000002</v>
      </c>
      <c r="W35" s="39">
        <v>666666.67000000004</v>
      </c>
      <c r="X35" s="39">
        <v>666666.67000000004</v>
      </c>
      <c r="Y35" s="39">
        <v>2000000</v>
      </c>
      <c r="Z35" s="39">
        <v>533333</v>
      </c>
      <c r="AA35" s="39">
        <v>1749999.66</v>
      </c>
      <c r="AB35" s="39">
        <v>1583333.66</v>
      </c>
      <c r="AC35" s="39">
        <v>833333.33</v>
      </c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87"/>
      <c r="BD35" s="263">
        <f t="shared" si="0"/>
        <v>52935716.659999996</v>
      </c>
    </row>
    <row r="36" spans="2:56" s="35" customFormat="1" ht="39" x14ac:dyDescent="0.35">
      <c r="B36" s="398" t="s">
        <v>154</v>
      </c>
      <c r="C36" s="29" t="s">
        <v>155</v>
      </c>
      <c r="D36" s="405" t="s">
        <v>96</v>
      </c>
      <c r="E36" s="390">
        <v>44256</v>
      </c>
      <c r="F36" s="390">
        <v>44804</v>
      </c>
      <c r="G36" s="392">
        <v>55387229.310000002</v>
      </c>
      <c r="H36" s="392">
        <v>55387229.310000002</v>
      </c>
      <c r="I36" s="29">
        <v>0</v>
      </c>
      <c r="J36" s="387" t="s">
        <v>135</v>
      </c>
      <c r="K36" s="254">
        <v>4116929.17</v>
      </c>
      <c r="L36" s="38">
        <v>4116929.17</v>
      </c>
      <c r="M36" s="38">
        <v>3426246.67</v>
      </c>
      <c r="N36" s="38">
        <v>3080905.42</v>
      </c>
      <c r="O36" s="38">
        <v>3080905.42</v>
      </c>
      <c r="P36" s="38">
        <v>2873700.67</v>
      </c>
      <c r="Q36" s="38">
        <v>2873700.67</v>
      </c>
      <c r="R36" s="38">
        <v>2873700.67</v>
      </c>
      <c r="S36" s="38">
        <v>2873700.67</v>
      </c>
      <c r="T36" s="38">
        <v>2873700.67</v>
      </c>
      <c r="U36" s="38">
        <v>3080905.42</v>
      </c>
      <c r="V36" s="38">
        <v>2873700.67</v>
      </c>
      <c r="W36" s="38">
        <v>2873700.67</v>
      </c>
      <c r="X36" s="38">
        <v>2873700.67</v>
      </c>
      <c r="Y36" s="38">
        <v>2873700.67</v>
      </c>
      <c r="Z36" s="38">
        <v>2873700.67</v>
      </c>
      <c r="AA36" s="38">
        <v>2873700.67</v>
      </c>
      <c r="AB36" s="38">
        <v>2873700.67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196">
        <v>0</v>
      </c>
      <c r="BD36" s="263">
        <f t="shared" si="0"/>
        <v>55387229.310000025</v>
      </c>
    </row>
    <row r="37" spans="2:56" s="35" customFormat="1" x14ac:dyDescent="0.35">
      <c r="B37" s="400"/>
      <c r="C37" s="29"/>
      <c r="D37" s="406"/>
      <c r="E37" s="391"/>
      <c r="F37" s="391"/>
      <c r="G37" s="393"/>
      <c r="H37" s="393"/>
      <c r="I37" s="29"/>
      <c r="J37" s="388"/>
      <c r="K37" s="253">
        <v>4116929.17</v>
      </c>
      <c r="L37" s="39">
        <v>4116929.17</v>
      </c>
      <c r="M37" s="39">
        <v>3426246.67</v>
      </c>
      <c r="N37" s="39">
        <v>3080905.42</v>
      </c>
      <c r="O37" s="39">
        <v>3080905.42</v>
      </c>
      <c r="P37" s="39">
        <v>2873700.67</v>
      </c>
      <c r="Q37" s="39">
        <v>2873700.67</v>
      </c>
      <c r="R37" s="39">
        <v>2873700.67</v>
      </c>
      <c r="S37" s="39">
        <v>2873700.67</v>
      </c>
      <c r="T37" s="39">
        <v>2873700.67</v>
      </c>
      <c r="U37" s="39">
        <v>3080905.42</v>
      </c>
      <c r="V37" s="39">
        <v>2873700.67</v>
      </c>
      <c r="W37" s="39">
        <v>2873700.67</v>
      </c>
      <c r="X37" s="39">
        <v>2873700.67</v>
      </c>
      <c r="Y37" s="39">
        <v>2873700.67</v>
      </c>
      <c r="Z37" s="39">
        <v>2873700.67</v>
      </c>
      <c r="AA37" s="39">
        <v>2873700.67</v>
      </c>
      <c r="AB37" s="39">
        <v>2873700.67</v>
      </c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87"/>
      <c r="BD37" s="263">
        <f t="shared" si="0"/>
        <v>55387229.310000025</v>
      </c>
    </row>
    <row r="38" spans="2:56" s="35" customFormat="1" ht="26" x14ac:dyDescent="0.35">
      <c r="B38" s="398" t="s">
        <v>156</v>
      </c>
      <c r="C38" s="29" t="s">
        <v>157</v>
      </c>
      <c r="D38" s="405" t="s">
        <v>96</v>
      </c>
      <c r="E38" s="390">
        <v>44470</v>
      </c>
      <c r="F38" s="390">
        <v>45016</v>
      </c>
      <c r="G38" s="392">
        <v>37645716.670000002</v>
      </c>
      <c r="H38" s="392">
        <v>37645716.670000002</v>
      </c>
      <c r="I38" s="29">
        <v>0</v>
      </c>
      <c r="J38" s="387" t="s">
        <v>97</v>
      </c>
      <c r="K38" s="254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1000000</v>
      </c>
      <c r="S38" s="38">
        <v>1000000</v>
      </c>
      <c r="T38" s="38">
        <v>21000000</v>
      </c>
      <c r="U38" s="38">
        <v>1000000</v>
      </c>
      <c r="V38" s="38">
        <v>3435716.67</v>
      </c>
      <c r="W38" s="38">
        <v>666666.67000000004</v>
      </c>
      <c r="X38" s="38">
        <v>666666.67000000004</v>
      </c>
      <c r="Y38" s="38">
        <v>0</v>
      </c>
      <c r="Z38" s="38">
        <v>833333.34</v>
      </c>
      <c r="AA38" s="38">
        <v>0</v>
      </c>
      <c r="AB38" s="38">
        <v>893333.33</v>
      </c>
      <c r="AC38" s="38">
        <v>1666666.66</v>
      </c>
      <c r="AD38" s="38">
        <v>833333.33</v>
      </c>
      <c r="AE38" s="38">
        <v>1250000</v>
      </c>
      <c r="AF38" s="38">
        <v>1550000</v>
      </c>
      <c r="AG38" s="38">
        <v>1250000</v>
      </c>
      <c r="AH38" s="38">
        <v>0</v>
      </c>
      <c r="AI38" s="38">
        <v>600000</v>
      </c>
      <c r="AJ38" s="38">
        <v>0</v>
      </c>
      <c r="AK38" s="38">
        <v>0</v>
      </c>
      <c r="AL38" s="38">
        <v>0</v>
      </c>
      <c r="AM38" s="38">
        <v>0</v>
      </c>
      <c r="AN38" s="38">
        <v>0</v>
      </c>
      <c r="AO38" s="38">
        <v>0</v>
      </c>
      <c r="AP38" s="38">
        <v>0</v>
      </c>
      <c r="AQ38" s="38">
        <v>0</v>
      </c>
      <c r="AR38" s="38">
        <v>0</v>
      </c>
      <c r="AS38" s="38">
        <v>0</v>
      </c>
      <c r="AT38" s="38">
        <v>0</v>
      </c>
      <c r="AU38" s="38">
        <v>0</v>
      </c>
      <c r="AV38" s="38">
        <v>0</v>
      </c>
      <c r="AW38" s="38">
        <v>0</v>
      </c>
      <c r="AX38" s="38">
        <v>0</v>
      </c>
      <c r="AY38" s="38">
        <v>0</v>
      </c>
      <c r="AZ38" s="38">
        <v>0</v>
      </c>
      <c r="BA38" s="38">
        <v>0</v>
      </c>
      <c r="BB38" s="196">
        <v>0</v>
      </c>
      <c r="BD38" s="263">
        <f t="shared" si="0"/>
        <v>37645716.670000002</v>
      </c>
    </row>
    <row r="39" spans="2:56" s="35" customFormat="1" x14ac:dyDescent="0.35">
      <c r="B39" s="400"/>
      <c r="C39" s="29"/>
      <c r="D39" s="406"/>
      <c r="E39" s="391"/>
      <c r="F39" s="391"/>
      <c r="G39" s="393"/>
      <c r="H39" s="393"/>
      <c r="I39" s="29"/>
      <c r="J39" s="388"/>
      <c r="K39" s="253"/>
      <c r="L39" s="39"/>
      <c r="M39" s="39"/>
      <c r="N39" s="39"/>
      <c r="O39" s="39"/>
      <c r="P39" s="39"/>
      <c r="Q39" s="39"/>
      <c r="R39" s="39">
        <v>1000000</v>
      </c>
      <c r="S39" s="39">
        <v>1000000</v>
      </c>
      <c r="T39" s="39">
        <v>21000000</v>
      </c>
      <c r="U39" s="39">
        <v>1000000</v>
      </c>
      <c r="V39" s="39">
        <v>3435716.67</v>
      </c>
      <c r="W39" s="39">
        <v>666666.67000000004</v>
      </c>
      <c r="X39" s="39">
        <v>666666.67000000004</v>
      </c>
      <c r="Y39" s="39"/>
      <c r="Z39" s="39"/>
      <c r="AA39" s="39">
        <v>833333.34</v>
      </c>
      <c r="AB39" s="39"/>
      <c r="AC39" s="39">
        <v>833333.33</v>
      </c>
      <c r="AD39" s="39">
        <v>1666666.66</v>
      </c>
      <c r="AE39" s="39">
        <v>833333.33</v>
      </c>
      <c r="AF39" s="39">
        <v>1250000</v>
      </c>
      <c r="AG39" s="39">
        <v>1250000</v>
      </c>
      <c r="AH39" s="39">
        <v>1250000</v>
      </c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87"/>
      <c r="BD39" s="263">
        <f t="shared" si="0"/>
        <v>36685716.670000002</v>
      </c>
    </row>
    <row r="40" spans="2:56" s="35" customFormat="1" ht="26" x14ac:dyDescent="0.35">
      <c r="B40" s="398" t="s">
        <v>158</v>
      </c>
      <c r="C40" s="29" t="s">
        <v>159</v>
      </c>
      <c r="D40" s="405" t="s">
        <v>96</v>
      </c>
      <c r="E40" s="390">
        <v>44470</v>
      </c>
      <c r="F40" s="396">
        <v>45016</v>
      </c>
      <c r="G40" s="392">
        <v>123690148.16</v>
      </c>
      <c r="H40" s="392">
        <v>123690148.16</v>
      </c>
      <c r="I40" s="29">
        <v>0</v>
      </c>
      <c r="J40" s="387" t="s">
        <v>135</v>
      </c>
      <c r="K40" s="254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6970925.1799999997</v>
      </c>
      <c r="S40" s="38">
        <v>6970925.1799999997</v>
      </c>
      <c r="T40" s="38">
        <v>6970925.1799999997</v>
      </c>
      <c r="U40" s="38">
        <v>7314483.8399999999</v>
      </c>
      <c r="V40" s="38">
        <v>6764789.9800000004</v>
      </c>
      <c r="W40" s="38">
        <v>6764789.9800000004</v>
      </c>
      <c r="X40" s="38">
        <v>6764789.9800000004</v>
      </c>
      <c r="Y40" s="38">
        <v>6764789.9800000004</v>
      </c>
      <c r="Z40" s="38">
        <v>6764789.9800000004</v>
      </c>
      <c r="AA40" s="38">
        <v>6764789.9800000004</v>
      </c>
      <c r="AB40" s="38">
        <v>6764789.9800000004</v>
      </c>
      <c r="AC40" s="38">
        <v>6764789.9800000004</v>
      </c>
      <c r="AD40" s="38">
        <v>6764789.9800000004</v>
      </c>
      <c r="AE40" s="38">
        <v>6764789.9800000004</v>
      </c>
      <c r="AF40" s="38">
        <v>6764789.9800000004</v>
      </c>
      <c r="AG40" s="38">
        <v>6764790.2999999998</v>
      </c>
      <c r="AH40" s="38">
        <v>6970925.25</v>
      </c>
      <c r="AI40" s="38">
        <v>7314483.4500000002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0</v>
      </c>
      <c r="AQ40" s="38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196">
        <v>0</v>
      </c>
      <c r="BD40" s="263">
        <f t="shared" si="0"/>
        <v>123690148.16000004</v>
      </c>
    </row>
    <row r="41" spans="2:56" s="35" customFormat="1" x14ac:dyDescent="0.35">
      <c r="B41" s="400"/>
      <c r="C41" s="29"/>
      <c r="D41" s="406"/>
      <c r="E41" s="391"/>
      <c r="F41" s="397"/>
      <c r="G41" s="393"/>
      <c r="H41" s="393"/>
      <c r="I41" s="29"/>
      <c r="J41" s="388"/>
      <c r="K41" s="253"/>
      <c r="L41" s="39"/>
      <c r="M41" s="39"/>
      <c r="N41" s="39"/>
      <c r="O41" s="39"/>
      <c r="P41" s="39"/>
      <c r="Q41" s="39"/>
      <c r="R41" s="39">
        <f>2044881.67+4926043.51</f>
        <v>6970925.1799999997</v>
      </c>
      <c r="S41" s="39">
        <f>2044881.67</f>
        <v>2044881.67</v>
      </c>
      <c r="T41" s="39">
        <f>9852087.02+2044881.67</f>
        <v>11896968.689999999</v>
      </c>
      <c r="U41" s="39">
        <f>2044881.67+5269602.17</f>
        <v>7314483.8399999999</v>
      </c>
      <c r="V41" s="39">
        <f t="shared" ref="V41:AF41" si="3">2044881.67+4719908.31</f>
        <v>6764789.9799999995</v>
      </c>
      <c r="W41" s="39">
        <f t="shared" si="3"/>
        <v>6764789.9799999995</v>
      </c>
      <c r="X41" s="39">
        <f t="shared" si="3"/>
        <v>6764789.9799999995</v>
      </c>
      <c r="Y41" s="39">
        <f t="shared" si="3"/>
        <v>6764789.9799999995</v>
      </c>
      <c r="Z41" s="39">
        <f t="shared" si="3"/>
        <v>6764789.9799999995</v>
      </c>
      <c r="AA41" s="39">
        <f t="shared" si="3"/>
        <v>6764789.9799999995</v>
      </c>
      <c r="AB41" s="39">
        <f t="shared" si="3"/>
        <v>6764789.9799999995</v>
      </c>
      <c r="AC41" s="39">
        <f t="shared" si="3"/>
        <v>6764789.9799999995</v>
      </c>
      <c r="AD41" s="39">
        <f t="shared" si="3"/>
        <v>6764789.9799999995</v>
      </c>
      <c r="AE41" s="39">
        <f t="shared" si="3"/>
        <v>6764789.9799999995</v>
      </c>
      <c r="AF41" s="39">
        <f t="shared" si="3"/>
        <v>6764789.9799999995</v>
      </c>
      <c r="AG41" s="39">
        <f>2044881.67+4719908.63</f>
        <v>6764790.2999999998</v>
      </c>
      <c r="AH41" s="39">
        <f>2044881.67+4926043.58</f>
        <v>6970925.25</v>
      </c>
      <c r="AI41" s="141">
        <f>2044881.67+5269601.78</f>
        <v>7314483.4500000002</v>
      </c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87"/>
      <c r="BD41" s="263">
        <f t="shared" si="0"/>
        <v>123690148.16000001</v>
      </c>
    </row>
    <row r="42" spans="2:56" s="35" customFormat="1" ht="26" x14ac:dyDescent="0.35">
      <c r="B42" s="398" t="s">
        <v>160</v>
      </c>
      <c r="C42" s="29" t="s">
        <v>161</v>
      </c>
      <c r="D42" s="405" t="s">
        <v>96</v>
      </c>
      <c r="E42" s="390">
        <v>44593</v>
      </c>
      <c r="F42" s="390">
        <v>45138</v>
      </c>
      <c r="G42" s="392">
        <v>54749999.990000002</v>
      </c>
      <c r="H42" s="392">
        <v>54749999.990000002</v>
      </c>
      <c r="I42" s="29">
        <v>0</v>
      </c>
      <c r="J42" s="387" t="s">
        <v>97</v>
      </c>
      <c r="K42" s="254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666666.66</v>
      </c>
      <c r="W42" s="38">
        <v>666666.66</v>
      </c>
      <c r="X42" s="38">
        <v>666666.66</v>
      </c>
      <c r="Y42" s="38">
        <v>0</v>
      </c>
      <c r="Z42" s="38">
        <v>500000</v>
      </c>
      <c r="AA42" s="38">
        <v>1333333.3400000001</v>
      </c>
      <c r="AB42" s="38">
        <v>1333333.3400000001</v>
      </c>
      <c r="AC42" s="38">
        <v>1333333.3400000001</v>
      </c>
      <c r="AD42" s="38">
        <v>2166666.67</v>
      </c>
      <c r="AE42" s="38">
        <v>1750000</v>
      </c>
      <c r="AF42" s="38">
        <v>1916666.66</v>
      </c>
      <c r="AG42" s="38">
        <v>1916666.66</v>
      </c>
      <c r="AH42" s="38">
        <v>3500000</v>
      </c>
      <c r="AI42" s="38">
        <v>4500000</v>
      </c>
      <c r="AJ42" s="38">
        <v>4500000</v>
      </c>
      <c r="AK42" s="38">
        <v>2000000</v>
      </c>
      <c r="AL42" s="38">
        <v>2000000</v>
      </c>
      <c r="AM42" s="38">
        <v>24000000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196">
        <v>0</v>
      </c>
      <c r="BD42" s="263">
        <f t="shared" si="0"/>
        <v>54749999.990000002</v>
      </c>
    </row>
    <row r="43" spans="2:56" s="35" customFormat="1" x14ac:dyDescent="0.35">
      <c r="B43" s="400"/>
      <c r="C43" s="29"/>
      <c r="D43" s="406"/>
      <c r="E43" s="391"/>
      <c r="F43" s="391"/>
      <c r="G43" s="393"/>
      <c r="H43" s="393"/>
      <c r="I43" s="29"/>
      <c r="J43" s="388"/>
      <c r="K43" s="253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>
        <v>666666.66</v>
      </c>
      <c r="W43" s="39">
        <v>666666.66</v>
      </c>
      <c r="X43" s="39">
        <v>666666.66</v>
      </c>
      <c r="Y43" s="39"/>
      <c r="Z43" s="39">
        <v>500000</v>
      </c>
      <c r="AA43" s="39">
        <v>500000</v>
      </c>
      <c r="AB43" s="39">
        <v>1416666.34</v>
      </c>
      <c r="AC43" s="39">
        <v>1333333.3400000001</v>
      </c>
      <c r="AD43" s="39">
        <v>1333333.3400000001</v>
      </c>
      <c r="AE43" s="39">
        <v>1666666.67</v>
      </c>
      <c r="AF43" s="39">
        <v>1250000</v>
      </c>
      <c r="AG43" s="39">
        <v>1250000</v>
      </c>
      <c r="AH43" s="39">
        <v>1250000</v>
      </c>
      <c r="AI43" s="39">
        <v>3000000</v>
      </c>
      <c r="AJ43" s="39">
        <v>3166666.66</v>
      </c>
      <c r="AK43" s="39">
        <v>2416667</v>
      </c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87"/>
      <c r="BD43" s="263">
        <f t="shared" si="0"/>
        <v>21083333.329999998</v>
      </c>
    </row>
    <row r="44" spans="2:56" s="35" customFormat="1" ht="26" x14ac:dyDescent="0.35">
      <c r="B44" s="398" t="s">
        <v>162</v>
      </c>
      <c r="C44" s="29" t="s">
        <v>163</v>
      </c>
      <c r="D44" s="405" t="s">
        <v>96</v>
      </c>
      <c r="E44" s="390">
        <v>44593</v>
      </c>
      <c r="F44" s="390">
        <v>45138</v>
      </c>
      <c r="G44" s="392">
        <v>112659627.42</v>
      </c>
      <c r="H44" s="392">
        <v>112659627.42</v>
      </c>
      <c r="I44" s="29">
        <v>0</v>
      </c>
      <c r="J44" s="387" t="s">
        <v>135</v>
      </c>
      <c r="K44" s="254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5779052.5199999996</v>
      </c>
      <c r="W44" s="38">
        <v>6023603.6200000001</v>
      </c>
      <c r="X44" s="38">
        <v>6538503.6200000001</v>
      </c>
      <c r="Y44" s="38">
        <v>6538503.6200000001</v>
      </c>
      <c r="Z44" s="38">
        <v>6538503.6200000001</v>
      </c>
      <c r="AA44" s="38">
        <v>6538503.6200000001</v>
      </c>
      <c r="AB44" s="38">
        <v>6538503.6200000001</v>
      </c>
      <c r="AC44" s="38">
        <v>6538503.6200000001</v>
      </c>
      <c r="AD44" s="38">
        <v>6538503.6200000001</v>
      </c>
      <c r="AE44" s="38">
        <v>6023603.6200000001</v>
      </c>
      <c r="AF44" s="38">
        <v>6023603.6200000001</v>
      </c>
      <c r="AG44" s="38">
        <v>6023603.6200000001</v>
      </c>
      <c r="AH44" s="38">
        <v>6169439.1799999997</v>
      </c>
      <c r="AI44" s="38">
        <v>6169439.1799999997</v>
      </c>
      <c r="AJ44" s="38">
        <v>6169439.1799999997</v>
      </c>
      <c r="AK44" s="38">
        <v>6169439.1799999997</v>
      </c>
      <c r="AL44" s="38">
        <v>6169439.1799999997</v>
      </c>
      <c r="AM44" s="38">
        <v>6169439.1799999997</v>
      </c>
      <c r="AN44" s="38">
        <v>0</v>
      </c>
      <c r="AO44" s="38">
        <v>0</v>
      </c>
      <c r="AP44" s="38">
        <v>0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196">
        <v>0</v>
      </c>
      <c r="BD44" s="263">
        <f t="shared" si="0"/>
        <v>112659627.42000005</v>
      </c>
    </row>
    <row r="45" spans="2:56" s="35" customFormat="1" x14ac:dyDescent="0.35">
      <c r="B45" s="400"/>
      <c r="C45" s="29"/>
      <c r="D45" s="406"/>
      <c r="E45" s="391"/>
      <c r="F45" s="391"/>
      <c r="G45" s="393"/>
      <c r="H45" s="393"/>
      <c r="I45" s="29"/>
      <c r="J45" s="388"/>
      <c r="K45" s="253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>
        <f>2429815.02+3349237.5</f>
        <v>5779052.5199999996</v>
      </c>
      <c r="W45" s="39">
        <f>2601448.34+3422155.28</f>
        <v>6023603.6199999992</v>
      </c>
      <c r="X45" s="39">
        <f t="shared" ref="X45:AD45" si="4">3116348.34+3422155.28</f>
        <v>6538503.6199999992</v>
      </c>
      <c r="Y45" s="39">
        <f t="shared" si="4"/>
        <v>6538503.6199999992</v>
      </c>
      <c r="Z45" s="39">
        <f t="shared" si="4"/>
        <v>6538503.6199999992</v>
      </c>
      <c r="AA45" s="39">
        <f t="shared" si="4"/>
        <v>6538503.6199999992</v>
      </c>
      <c r="AB45" s="39">
        <f t="shared" si="4"/>
        <v>6538503.6199999992</v>
      </c>
      <c r="AC45" s="39">
        <f t="shared" si="4"/>
        <v>6538503.6199999992</v>
      </c>
      <c r="AD45" s="39">
        <f t="shared" si="4"/>
        <v>6538503.6199999992</v>
      </c>
      <c r="AE45" s="39">
        <f>2601448.34+3422155.28</f>
        <v>6023603.6199999992</v>
      </c>
      <c r="AF45" s="39">
        <f>2601448.34+3422155.28</f>
        <v>6023603.6199999992</v>
      </c>
      <c r="AG45" s="39">
        <f>2601448.34+3422155.28</f>
        <v>6023603.6199999992</v>
      </c>
      <c r="AH45" s="39">
        <f>2601448.34+3567990.84</f>
        <v>6169439.1799999997</v>
      </c>
      <c r="AI45" s="141">
        <f>2601448.34+3567990.84</f>
        <v>6169439.1799999997</v>
      </c>
      <c r="AJ45" s="141">
        <f>2601448.34+3567990.84</f>
        <v>6169439.1799999997</v>
      </c>
      <c r="AK45" s="141">
        <f>2601448.34+3567990.84</f>
        <v>6169439.1799999997</v>
      </c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87"/>
      <c r="BD45" s="263">
        <f t="shared" si="0"/>
        <v>100320749.06</v>
      </c>
    </row>
    <row r="46" spans="2:56" s="35" customFormat="1" ht="39.5" customHeight="1" x14ac:dyDescent="0.35">
      <c r="B46" s="398" t="s">
        <v>164</v>
      </c>
      <c r="C46" s="29" t="s">
        <v>165</v>
      </c>
      <c r="D46" s="405" t="s">
        <v>96</v>
      </c>
      <c r="E46" s="390">
        <v>44348</v>
      </c>
      <c r="F46" s="390">
        <v>44895</v>
      </c>
      <c r="G46" s="392">
        <v>134708333.31999999</v>
      </c>
      <c r="H46" s="392">
        <v>134708333.31999999</v>
      </c>
      <c r="I46" s="29">
        <v>0</v>
      </c>
      <c r="J46" s="387" t="s">
        <v>97</v>
      </c>
      <c r="K46" s="254">
        <v>0</v>
      </c>
      <c r="L46" s="38">
        <v>0</v>
      </c>
      <c r="M46" s="38">
        <v>0</v>
      </c>
      <c r="N46" s="38">
        <v>13250000</v>
      </c>
      <c r="O46" s="38">
        <v>15250000</v>
      </c>
      <c r="P46" s="38">
        <v>7625000</v>
      </c>
      <c r="Q46" s="38">
        <v>7625000</v>
      </c>
      <c r="R46" s="38">
        <v>7625000</v>
      </c>
      <c r="S46" s="38">
        <v>9625000</v>
      </c>
      <c r="T46" s="38">
        <v>9625000</v>
      </c>
      <c r="U46" s="38">
        <v>14625000</v>
      </c>
      <c r="V46" s="38">
        <v>4812500</v>
      </c>
      <c r="W46" s="38">
        <v>4812500</v>
      </c>
      <c r="X46" s="38">
        <v>4812500</v>
      </c>
      <c r="Y46" s="38">
        <v>4812500</v>
      </c>
      <c r="Z46" s="38">
        <v>4312500</v>
      </c>
      <c r="AA46" s="38">
        <v>6312500</v>
      </c>
      <c r="AB46" s="38">
        <v>4312500</v>
      </c>
      <c r="AC46" s="38">
        <v>4312500</v>
      </c>
      <c r="AD46" s="38">
        <v>4312500</v>
      </c>
      <c r="AE46" s="38">
        <v>6645833.3200000003</v>
      </c>
      <c r="AF46" s="38">
        <v>0</v>
      </c>
      <c r="AG46" s="38">
        <v>0</v>
      </c>
      <c r="AH46" s="38">
        <v>0</v>
      </c>
      <c r="AI46" s="38">
        <v>0</v>
      </c>
      <c r="AJ46" s="38">
        <v>0</v>
      </c>
      <c r="AK46" s="38">
        <v>0</v>
      </c>
      <c r="AL46" s="38">
        <v>0</v>
      </c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196">
        <v>0</v>
      </c>
      <c r="BD46" s="263">
        <f t="shared" si="0"/>
        <v>134708333.31999999</v>
      </c>
    </row>
    <row r="47" spans="2:56" s="35" customFormat="1" x14ac:dyDescent="0.35">
      <c r="B47" s="400"/>
      <c r="C47" s="29"/>
      <c r="D47" s="406"/>
      <c r="E47" s="391"/>
      <c r="F47" s="391"/>
      <c r="G47" s="393"/>
      <c r="H47" s="393"/>
      <c r="I47" s="29"/>
      <c r="J47" s="388"/>
      <c r="K47" s="253"/>
      <c r="L47" s="39"/>
      <c r="M47" s="39"/>
      <c r="N47" s="39">
        <v>12716667</v>
      </c>
      <c r="O47" s="39">
        <v>14316667</v>
      </c>
      <c r="P47" s="39">
        <v>7625000</v>
      </c>
      <c r="Q47" s="39">
        <v>7625000</v>
      </c>
      <c r="R47" s="39">
        <v>7625000</v>
      </c>
      <c r="S47" s="39">
        <v>8158333</v>
      </c>
      <c r="T47" s="39">
        <v>9625000</v>
      </c>
      <c r="U47" s="39">
        <v>9625000</v>
      </c>
      <c r="V47" s="39">
        <v>4812500</v>
      </c>
      <c r="W47" s="39">
        <v>4812500</v>
      </c>
      <c r="X47" s="39">
        <v>4812500</v>
      </c>
      <c r="Y47" s="39">
        <v>4812500</v>
      </c>
      <c r="Z47" s="39">
        <v>4312500</v>
      </c>
      <c r="AA47" s="39">
        <v>4312500</v>
      </c>
      <c r="AB47" s="39">
        <v>4312500</v>
      </c>
      <c r="AC47" s="39">
        <v>2778983.25</v>
      </c>
      <c r="AD47" s="39">
        <v>5364583.5</v>
      </c>
      <c r="AE47" s="39">
        <v>7112500.75</v>
      </c>
      <c r="AF47" s="39">
        <v>1604166.66</v>
      </c>
      <c r="AG47" s="39"/>
      <c r="AH47" s="39">
        <v>2000000</v>
      </c>
      <c r="AI47" s="39">
        <v>500000</v>
      </c>
      <c r="AJ47" s="39"/>
      <c r="AK47" s="39">
        <v>3402083.16</v>
      </c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87"/>
      <c r="BD47" s="263">
        <f t="shared" si="0"/>
        <v>132266484.31999999</v>
      </c>
    </row>
    <row r="48" spans="2:56" s="35" customFormat="1" ht="39" x14ac:dyDescent="0.35">
      <c r="B48" s="398" t="s">
        <v>166</v>
      </c>
      <c r="C48" s="29" t="s">
        <v>167</v>
      </c>
      <c r="D48" s="405" t="s">
        <v>96</v>
      </c>
      <c r="E48" s="390">
        <v>44348</v>
      </c>
      <c r="F48" s="390">
        <v>44895</v>
      </c>
      <c r="G48" s="392">
        <v>37816675.380000003</v>
      </c>
      <c r="H48" s="392">
        <v>37816675.380000003</v>
      </c>
      <c r="I48" s="29">
        <v>0</v>
      </c>
      <c r="J48" s="387" t="s">
        <v>135</v>
      </c>
      <c r="K48" s="254">
        <v>0</v>
      </c>
      <c r="L48" s="38">
        <v>0</v>
      </c>
      <c r="M48" s="38">
        <v>0</v>
      </c>
      <c r="N48" s="38">
        <v>2239062.91</v>
      </c>
      <c r="O48" s="38">
        <v>2239062.91</v>
      </c>
      <c r="P48" s="38">
        <v>2031858.16</v>
      </c>
      <c r="Q48" s="38">
        <v>2031858.16</v>
      </c>
      <c r="R48" s="38">
        <v>2031858.16</v>
      </c>
      <c r="S48" s="38">
        <v>2031858.16</v>
      </c>
      <c r="T48" s="38">
        <v>2031858.16</v>
      </c>
      <c r="U48" s="38">
        <v>2239062.91</v>
      </c>
      <c r="V48" s="38">
        <v>2031858.16</v>
      </c>
      <c r="W48" s="38">
        <v>2031858.16</v>
      </c>
      <c r="X48" s="38">
        <v>2031858.16</v>
      </c>
      <c r="Y48" s="38">
        <v>2031858.16</v>
      </c>
      <c r="Z48" s="38">
        <v>2031858.16</v>
      </c>
      <c r="AA48" s="38">
        <v>2031858.16</v>
      </c>
      <c r="AB48" s="38">
        <v>2031858.16</v>
      </c>
      <c r="AC48" s="38">
        <v>2239062.91</v>
      </c>
      <c r="AD48" s="38">
        <v>2239062.91</v>
      </c>
      <c r="AE48" s="38">
        <v>2239062.91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196">
        <v>0</v>
      </c>
      <c r="BD48" s="263">
        <f t="shared" si="0"/>
        <v>37816675.379999995</v>
      </c>
    </row>
    <row r="49" spans="2:58" s="35" customFormat="1" x14ac:dyDescent="0.35">
      <c r="B49" s="400"/>
      <c r="C49" s="29"/>
      <c r="D49" s="406"/>
      <c r="E49" s="391"/>
      <c r="F49" s="391"/>
      <c r="G49" s="393"/>
      <c r="H49" s="393"/>
      <c r="I49" s="29"/>
      <c r="J49" s="388"/>
      <c r="K49" s="253"/>
      <c r="L49" s="39"/>
      <c r="M49" s="39"/>
      <c r="N49" s="39">
        <v>2239062.91</v>
      </c>
      <c r="O49" s="39">
        <v>2239062.91</v>
      </c>
      <c r="P49" s="39">
        <v>2031858.16</v>
      </c>
      <c r="Q49" s="39">
        <v>2031858.16</v>
      </c>
      <c r="R49" s="39">
        <v>2031858.16</v>
      </c>
      <c r="S49" s="39">
        <v>2031858.16</v>
      </c>
      <c r="T49" s="39">
        <v>2031858.16</v>
      </c>
      <c r="U49" s="39">
        <v>2239062.91</v>
      </c>
      <c r="V49" s="39">
        <v>2031858.16</v>
      </c>
      <c r="W49" s="39">
        <v>2031858.16</v>
      </c>
      <c r="X49" s="39">
        <v>2031858.16</v>
      </c>
      <c r="Y49" s="39">
        <v>2031858.16</v>
      </c>
      <c r="Z49" s="39">
        <v>2031858.16</v>
      </c>
      <c r="AA49" s="39">
        <v>2031858.16</v>
      </c>
      <c r="AB49" s="39">
        <v>2031858.16</v>
      </c>
      <c r="AC49" s="39">
        <v>2239062.91</v>
      </c>
      <c r="AD49" s="39">
        <v>2239062.91</v>
      </c>
      <c r="AE49" s="39">
        <v>2239062.91</v>
      </c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87"/>
      <c r="BD49" s="263">
        <f t="shared" si="0"/>
        <v>37816675.379999995</v>
      </c>
    </row>
    <row r="50" spans="2:58" s="35" customFormat="1" ht="39" x14ac:dyDescent="0.35">
      <c r="B50" s="398" t="s">
        <v>168</v>
      </c>
      <c r="C50" s="29" t="s">
        <v>169</v>
      </c>
      <c r="D50" s="405" t="s">
        <v>96</v>
      </c>
      <c r="E50" s="390">
        <v>44593</v>
      </c>
      <c r="F50" s="390">
        <v>44985</v>
      </c>
      <c r="G50" s="392">
        <v>76291666.680000007</v>
      </c>
      <c r="H50" s="392">
        <v>76291666.680000007</v>
      </c>
      <c r="I50" s="29">
        <v>0</v>
      </c>
      <c r="J50" s="387" t="s">
        <v>97</v>
      </c>
      <c r="K50" s="254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4312500</v>
      </c>
      <c r="W50" s="38">
        <v>4312500</v>
      </c>
      <c r="X50" s="38">
        <v>4312500</v>
      </c>
      <c r="Y50" s="38">
        <v>4312500</v>
      </c>
      <c r="Z50" s="38">
        <v>4312500</v>
      </c>
      <c r="AA50" s="38">
        <v>6312500</v>
      </c>
      <c r="AB50" s="38">
        <v>4312500</v>
      </c>
      <c r="AC50" s="38">
        <v>4312500</v>
      </c>
      <c r="AD50" s="38">
        <v>4312500</v>
      </c>
      <c r="AE50" s="38">
        <v>4645833.34</v>
      </c>
      <c r="AF50" s="38">
        <v>9791666.6699999999</v>
      </c>
      <c r="AG50" s="38">
        <v>6416666.6699999999</v>
      </c>
      <c r="AH50" s="38">
        <v>14625000</v>
      </c>
      <c r="AI50" s="38">
        <v>0</v>
      </c>
      <c r="AJ50" s="38">
        <v>0</v>
      </c>
      <c r="AK50" s="38">
        <v>0</v>
      </c>
      <c r="AL50" s="38">
        <v>0</v>
      </c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196">
        <v>0</v>
      </c>
      <c r="BD50" s="263">
        <f t="shared" si="0"/>
        <v>76291666.680000007</v>
      </c>
    </row>
    <row r="51" spans="2:58" s="35" customFormat="1" x14ac:dyDescent="0.35">
      <c r="B51" s="400"/>
      <c r="C51" s="29"/>
      <c r="D51" s="406"/>
      <c r="E51" s="391"/>
      <c r="F51" s="391"/>
      <c r="G51" s="393"/>
      <c r="H51" s="393"/>
      <c r="I51" s="29"/>
      <c r="J51" s="388"/>
      <c r="K51" s="253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>
        <v>4312500</v>
      </c>
      <c r="W51" s="39">
        <v>4312500</v>
      </c>
      <c r="X51" s="39">
        <v>4312500</v>
      </c>
      <c r="Y51" s="39">
        <v>4312500</v>
      </c>
      <c r="Z51" s="39">
        <v>4312500</v>
      </c>
      <c r="AA51" s="39">
        <v>4312500</v>
      </c>
      <c r="AB51" s="39">
        <v>4312500</v>
      </c>
      <c r="AC51" s="39">
        <v>2320833.25</v>
      </c>
      <c r="AD51" s="39">
        <v>3264583.5</v>
      </c>
      <c r="AE51" s="39">
        <v>3379166.75</v>
      </c>
      <c r="AF51" s="39">
        <v>5104166.67</v>
      </c>
      <c r="AG51" s="39">
        <v>5750000</v>
      </c>
      <c r="AH51" s="39">
        <v>10000000</v>
      </c>
      <c r="AI51" s="39">
        <v>6375000</v>
      </c>
      <c r="AJ51" s="39">
        <v>7979666.6699999999</v>
      </c>
      <c r="AK51" s="39">
        <v>1868749.84</v>
      </c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87"/>
      <c r="BD51" s="263">
        <f t="shared" si="0"/>
        <v>76229666.680000007</v>
      </c>
    </row>
    <row r="52" spans="2:58" s="35" customFormat="1" ht="39" x14ac:dyDescent="0.35">
      <c r="B52" s="398" t="s">
        <v>170</v>
      </c>
      <c r="C52" s="29" t="s">
        <v>171</v>
      </c>
      <c r="D52" s="405" t="s">
        <v>96</v>
      </c>
      <c r="E52" s="390">
        <v>44593</v>
      </c>
      <c r="F52" s="390">
        <v>44985</v>
      </c>
      <c r="G52" s="392">
        <v>49628468.170000002</v>
      </c>
      <c r="H52" s="392">
        <v>49628468.170000002</v>
      </c>
      <c r="I52" s="29">
        <v>0</v>
      </c>
      <c r="J52" s="387" t="s">
        <v>135</v>
      </c>
      <c r="K52" s="254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3801717.94</v>
      </c>
      <c r="W52" s="38">
        <v>3801717.92</v>
      </c>
      <c r="X52" s="38">
        <v>3801717.92</v>
      </c>
      <c r="Y52" s="38">
        <v>3801717.92</v>
      </c>
      <c r="Z52" s="38">
        <v>3801717.92</v>
      </c>
      <c r="AA52" s="38">
        <v>3801717.92</v>
      </c>
      <c r="AB52" s="38">
        <v>3801717.92</v>
      </c>
      <c r="AC52" s="38">
        <v>3801717.92</v>
      </c>
      <c r="AD52" s="38">
        <v>3801717.92</v>
      </c>
      <c r="AE52" s="38">
        <v>3801717.92</v>
      </c>
      <c r="AF52" s="38">
        <v>3801717.92</v>
      </c>
      <c r="AG52" s="38">
        <v>3801717.6</v>
      </c>
      <c r="AH52" s="38">
        <v>4007853.43</v>
      </c>
      <c r="AI52" s="38">
        <v>0</v>
      </c>
      <c r="AJ52" s="38">
        <v>0</v>
      </c>
      <c r="AK52" s="38">
        <v>0</v>
      </c>
      <c r="AL52" s="38">
        <v>0</v>
      </c>
      <c r="AM52" s="38">
        <v>0</v>
      </c>
      <c r="AN52" s="38">
        <v>0</v>
      </c>
      <c r="AO52" s="38">
        <v>0</v>
      </c>
      <c r="AP52" s="38">
        <v>0</v>
      </c>
      <c r="AQ52" s="38">
        <v>0</v>
      </c>
      <c r="AR52" s="38">
        <v>0</v>
      </c>
      <c r="AS52" s="38">
        <v>0</v>
      </c>
      <c r="AT52" s="38">
        <v>0</v>
      </c>
      <c r="AU52" s="38">
        <v>0</v>
      </c>
      <c r="AV52" s="38">
        <v>0</v>
      </c>
      <c r="AW52" s="38">
        <v>0</v>
      </c>
      <c r="AX52" s="38">
        <v>0</v>
      </c>
      <c r="AY52" s="38">
        <v>0</v>
      </c>
      <c r="AZ52" s="38">
        <v>0</v>
      </c>
      <c r="BA52" s="38">
        <v>0</v>
      </c>
      <c r="BB52" s="196">
        <v>0</v>
      </c>
      <c r="BD52" s="263">
        <f t="shared" si="0"/>
        <v>49628468.170000009</v>
      </c>
    </row>
    <row r="53" spans="2:58" s="35" customFormat="1" x14ac:dyDescent="0.35">
      <c r="B53" s="400"/>
      <c r="C53" s="29"/>
      <c r="D53" s="406"/>
      <c r="E53" s="391"/>
      <c r="F53" s="391"/>
      <c r="G53" s="393"/>
      <c r="H53" s="393"/>
      <c r="I53" s="29"/>
      <c r="J53" s="388"/>
      <c r="K53" s="253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>
        <f>1665746.55+2135971.39</f>
        <v>3801717.9400000004</v>
      </c>
      <c r="W53" s="39">
        <f t="shared" ref="W53:AF53" si="5">1665746.55+2135971.37</f>
        <v>3801717.92</v>
      </c>
      <c r="X53" s="39">
        <f t="shared" si="5"/>
        <v>3801717.92</v>
      </c>
      <c r="Y53" s="39">
        <f t="shared" si="5"/>
        <v>3801717.92</v>
      </c>
      <c r="Z53" s="39">
        <f t="shared" si="5"/>
        <v>3801717.92</v>
      </c>
      <c r="AA53" s="39">
        <f t="shared" si="5"/>
        <v>3801717.92</v>
      </c>
      <c r="AB53" s="39">
        <f t="shared" si="5"/>
        <v>3801717.92</v>
      </c>
      <c r="AC53" s="39">
        <f t="shared" si="5"/>
        <v>3801717.92</v>
      </c>
      <c r="AD53" s="39">
        <f t="shared" si="5"/>
        <v>3801717.92</v>
      </c>
      <c r="AE53" s="39">
        <f t="shared" si="5"/>
        <v>3801717.92</v>
      </c>
      <c r="AF53" s="39">
        <f t="shared" si="5"/>
        <v>3801717.92</v>
      </c>
      <c r="AG53" s="39">
        <f>1665746.55+2135971.05</f>
        <v>3801717.5999999996</v>
      </c>
      <c r="AH53" s="39">
        <f>1665746.55+2342106.88</f>
        <v>4007853.4299999997</v>
      </c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87"/>
      <c r="BD53" s="263">
        <f>SUM(K53:BB53)</f>
        <v>49628468.170000009</v>
      </c>
    </row>
    <row r="54" spans="2:58" s="35" customFormat="1" ht="39.5" customHeight="1" x14ac:dyDescent="0.35">
      <c r="B54" s="398" t="s">
        <v>172</v>
      </c>
      <c r="C54" s="29" t="s">
        <v>173</v>
      </c>
      <c r="D54" s="405" t="s">
        <v>96</v>
      </c>
      <c r="E54" s="390">
        <v>44593</v>
      </c>
      <c r="F54" s="390">
        <v>44957</v>
      </c>
      <c r="G54" s="392">
        <v>61666666.68</v>
      </c>
      <c r="H54" s="392">
        <v>61666666.68</v>
      </c>
      <c r="I54" s="29">
        <v>0</v>
      </c>
      <c r="J54" s="387" t="s">
        <v>97</v>
      </c>
      <c r="K54" s="254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4312500</v>
      </c>
      <c r="W54" s="38">
        <v>4312500</v>
      </c>
      <c r="X54" s="38">
        <v>4312500</v>
      </c>
      <c r="Y54" s="38">
        <v>4312500</v>
      </c>
      <c r="Z54" s="38">
        <v>4312500</v>
      </c>
      <c r="AA54" s="38">
        <v>6312500</v>
      </c>
      <c r="AB54" s="38">
        <v>4312500</v>
      </c>
      <c r="AC54" s="38">
        <v>4312500</v>
      </c>
      <c r="AD54" s="38">
        <v>4312500</v>
      </c>
      <c r="AE54" s="38">
        <v>4645833.34</v>
      </c>
      <c r="AF54" s="38">
        <v>9791666.6699999999</v>
      </c>
      <c r="AG54" s="38">
        <v>6416666.6699999999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38">
        <v>0</v>
      </c>
      <c r="AP54" s="38">
        <v>0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8">
        <v>0</v>
      </c>
      <c r="AX54" s="38">
        <v>0</v>
      </c>
      <c r="AY54" s="38">
        <v>0</v>
      </c>
      <c r="AZ54" s="38">
        <v>0</v>
      </c>
      <c r="BA54" s="38">
        <v>0</v>
      </c>
      <c r="BB54" s="196">
        <v>0</v>
      </c>
      <c r="BD54" s="263">
        <f t="shared" si="0"/>
        <v>61666666.680000007</v>
      </c>
      <c r="BE54" s="142"/>
      <c r="BF54" s="144"/>
    </row>
    <row r="55" spans="2:58" s="35" customFormat="1" x14ac:dyDescent="0.35">
      <c r="B55" s="400"/>
      <c r="C55" s="29"/>
      <c r="D55" s="406"/>
      <c r="E55" s="391"/>
      <c r="F55" s="391"/>
      <c r="G55" s="393"/>
      <c r="H55" s="393"/>
      <c r="I55" s="29"/>
      <c r="J55" s="388"/>
      <c r="K55" s="253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>
        <v>4312500</v>
      </c>
      <c r="W55" s="39">
        <v>4312500</v>
      </c>
      <c r="X55" s="39">
        <v>4312500</v>
      </c>
      <c r="Y55" s="39">
        <v>4312500</v>
      </c>
      <c r="Z55" s="39">
        <v>4312500</v>
      </c>
      <c r="AA55" s="39">
        <v>4312500</v>
      </c>
      <c r="AB55" s="39">
        <v>4312500</v>
      </c>
      <c r="AC55" s="39">
        <v>2320833.25</v>
      </c>
      <c r="AD55" s="39">
        <v>3264583.5</v>
      </c>
      <c r="AE55" s="39">
        <v>3379166.75</v>
      </c>
      <c r="AF55" s="39">
        <v>5104166.67</v>
      </c>
      <c r="AG55" s="39">
        <v>5750000</v>
      </c>
      <c r="AH55" s="39">
        <v>4250000</v>
      </c>
      <c r="AI55" s="39">
        <v>500000</v>
      </c>
      <c r="AJ55" s="39">
        <v>3979666.67</v>
      </c>
      <c r="AK55" s="39">
        <v>2535416.5</v>
      </c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87"/>
      <c r="BD55" s="270">
        <f>SUM(K55:BB55)</f>
        <v>61271333.340000004</v>
      </c>
      <c r="BE55" s="142"/>
    </row>
    <row r="56" spans="2:58" s="35" customFormat="1" ht="39.5" customHeight="1" x14ac:dyDescent="0.35">
      <c r="B56" s="398" t="s">
        <v>174</v>
      </c>
      <c r="C56" s="29" t="s">
        <v>175</v>
      </c>
      <c r="D56" s="405" t="s">
        <v>96</v>
      </c>
      <c r="E56" s="390">
        <v>44593</v>
      </c>
      <c r="F56" s="390">
        <v>44957</v>
      </c>
      <c r="G56" s="392">
        <v>63697461.68</v>
      </c>
      <c r="H56" s="392">
        <v>63697461.68</v>
      </c>
      <c r="I56" s="29">
        <v>0</v>
      </c>
      <c r="J56" s="387" t="s">
        <v>135</v>
      </c>
      <c r="K56" s="254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5097388.32</v>
      </c>
      <c r="W56" s="38">
        <v>5170306.0999999996</v>
      </c>
      <c r="X56" s="38">
        <v>5170306.0999999996</v>
      </c>
      <c r="Y56" s="38">
        <v>5170306.0999999996</v>
      </c>
      <c r="Z56" s="38">
        <v>5170306.0999999996</v>
      </c>
      <c r="AA56" s="38">
        <v>5170306.0999999996</v>
      </c>
      <c r="AB56" s="38">
        <v>5170306.0999999996</v>
      </c>
      <c r="AC56" s="38">
        <v>5377510.8499999996</v>
      </c>
      <c r="AD56" s="38">
        <v>5377510.8499999996</v>
      </c>
      <c r="AE56" s="38">
        <v>5377510.8499999996</v>
      </c>
      <c r="AF56" s="38">
        <v>5722852.0999999996</v>
      </c>
      <c r="AG56" s="38">
        <v>5722852.1100000003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196">
        <v>0</v>
      </c>
      <c r="BD56" s="263">
        <f t="shared" si="0"/>
        <v>63697461.680000007</v>
      </c>
    </row>
    <row r="57" spans="2:58" s="35" customFormat="1" x14ac:dyDescent="0.35">
      <c r="B57" s="400"/>
      <c r="C57" s="29"/>
      <c r="D57" s="406"/>
      <c r="E57" s="391"/>
      <c r="F57" s="391"/>
      <c r="G57" s="393"/>
      <c r="H57" s="393"/>
      <c r="I57" s="29"/>
      <c r="J57" s="388"/>
      <c r="K57" s="253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>
        <f>2633377.75+2464010.57</f>
        <v>5097388.32</v>
      </c>
      <c r="W57" s="39">
        <f t="shared" ref="W57:AB57" si="6">2633377.75+2536928.35</f>
        <v>5170306.0999999996</v>
      </c>
      <c r="X57" s="39">
        <f t="shared" si="6"/>
        <v>5170306.0999999996</v>
      </c>
      <c r="Y57" s="39">
        <f t="shared" si="6"/>
        <v>5170306.0999999996</v>
      </c>
      <c r="Z57" s="39">
        <f t="shared" si="6"/>
        <v>5170306.0999999996</v>
      </c>
      <c r="AA57" s="39">
        <f t="shared" si="6"/>
        <v>5170306.0999999996</v>
      </c>
      <c r="AB57" s="39">
        <f t="shared" si="6"/>
        <v>5170306.0999999996</v>
      </c>
      <c r="AC57" s="39">
        <f>2840582.5+2536928.35</f>
        <v>5377510.8499999996</v>
      </c>
      <c r="AD57" s="39">
        <f>2840582.5+2536928.35</f>
        <v>5377510.8499999996</v>
      </c>
      <c r="AE57" s="39">
        <f>2840582.5+2536928.35</f>
        <v>5377510.8499999996</v>
      </c>
      <c r="AF57" s="39">
        <f>3185923.75+2536928.35</f>
        <v>5722852.0999999996</v>
      </c>
      <c r="AG57" s="39">
        <f>3185923.75+2536928.36</f>
        <v>5722852.1099999994</v>
      </c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87"/>
      <c r="BD57" s="263">
        <f t="shared" si="0"/>
        <v>63697461.680000007</v>
      </c>
    </row>
    <row r="58" spans="2:58" s="35" customFormat="1" ht="65.5" customHeight="1" x14ac:dyDescent="0.35">
      <c r="B58" s="398" t="s">
        <v>176</v>
      </c>
      <c r="C58" s="29" t="s">
        <v>177</v>
      </c>
      <c r="D58" s="405" t="s">
        <v>96</v>
      </c>
      <c r="E58" s="390">
        <v>44409</v>
      </c>
      <c r="F58" s="390">
        <v>44865</v>
      </c>
      <c r="G58" s="392">
        <v>50665257.490000002</v>
      </c>
      <c r="H58" s="392">
        <v>50665257.490000002</v>
      </c>
      <c r="I58" s="29">
        <v>0</v>
      </c>
      <c r="J58" s="387" t="s">
        <v>135</v>
      </c>
      <c r="K58" s="254">
        <v>0</v>
      </c>
      <c r="L58" s="38">
        <v>0</v>
      </c>
      <c r="M58" s="38">
        <v>0</v>
      </c>
      <c r="N58" s="38">
        <v>0</v>
      </c>
      <c r="O58" s="38">
        <v>0</v>
      </c>
      <c r="P58" s="38">
        <v>3827133.45</v>
      </c>
      <c r="Q58" s="38">
        <v>3827133.44</v>
      </c>
      <c r="R58" s="38">
        <v>3483574.78</v>
      </c>
      <c r="S58" s="38">
        <v>3483574.78</v>
      </c>
      <c r="T58" s="38">
        <v>3483574.78</v>
      </c>
      <c r="U58" s="38">
        <v>4034338.2</v>
      </c>
      <c r="V58" s="38">
        <v>3058686.25</v>
      </c>
      <c r="W58" s="38">
        <v>3131604.02</v>
      </c>
      <c r="X58" s="38">
        <v>3131604.02</v>
      </c>
      <c r="Y58" s="38">
        <v>3131604.02</v>
      </c>
      <c r="Z58" s="38">
        <v>3131604.05</v>
      </c>
      <c r="AA58" s="38">
        <v>3131604.05</v>
      </c>
      <c r="AB58" s="38">
        <v>3131604.05</v>
      </c>
      <c r="AC58" s="38">
        <v>3338808.8</v>
      </c>
      <c r="AD58" s="38">
        <v>3338808.8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8">
        <v>0</v>
      </c>
      <c r="BB58" s="196">
        <v>0</v>
      </c>
      <c r="BD58" s="263">
        <f t="shared" si="0"/>
        <v>50665257.489999987</v>
      </c>
    </row>
    <row r="59" spans="2:58" s="35" customFormat="1" x14ac:dyDescent="0.35">
      <c r="B59" s="400"/>
      <c r="C59" s="29"/>
      <c r="D59" s="406"/>
      <c r="E59" s="391"/>
      <c r="F59" s="391"/>
      <c r="G59" s="393"/>
      <c r="H59" s="393"/>
      <c r="I59" s="29"/>
      <c r="J59" s="388"/>
      <c r="K59" s="253"/>
      <c r="L59" s="39"/>
      <c r="M59" s="39"/>
      <c r="N59" s="39"/>
      <c r="O59" s="39"/>
      <c r="P59" s="39">
        <f>878819+2948314.45</f>
        <v>3827133.45</v>
      </c>
      <c r="Q59" s="39">
        <f>878819+2946314.44</f>
        <v>3825133.44</v>
      </c>
      <c r="R59" s="39">
        <f>878819+2604755.76</f>
        <v>3483574.76</v>
      </c>
      <c r="S59" s="39">
        <f>878819</f>
        <v>878819</v>
      </c>
      <c r="T59" s="39">
        <f>5209511.56+878819</f>
        <v>6088330.5599999996</v>
      </c>
      <c r="U59" s="39">
        <f>1086023.75+2948314.45</f>
        <v>4034338.2</v>
      </c>
      <c r="V59" s="39">
        <f>878819+2179867.25</f>
        <v>3058686.25</v>
      </c>
      <c r="W59" s="39">
        <f>878819+2252785.02</f>
        <v>3131604.02</v>
      </c>
      <c r="X59" s="39">
        <f>878819+2252785.02</f>
        <v>3131604.02</v>
      </c>
      <c r="Y59" s="39">
        <f>878819+2252785.02</f>
        <v>3131604.02</v>
      </c>
      <c r="Z59" s="39">
        <f>878819+2252785.05</f>
        <v>3131604.05</v>
      </c>
      <c r="AA59" s="39">
        <f>878819+2252785.05</f>
        <v>3131604.05</v>
      </c>
      <c r="AB59" s="39">
        <f>878819+2252785.05</f>
        <v>3131604.05</v>
      </c>
      <c r="AC59" s="39">
        <f>1086023.75+2252785.05</f>
        <v>3338808.8</v>
      </c>
      <c r="AD59" s="39">
        <f>1086023.75+2252785.05</f>
        <v>3338808.8</v>
      </c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87"/>
      <c r="BD59" s="263">
        <f>SUM(K59:BB59)</f>
        <v>50663257.469999984</v>
      </c>
      <c r="BE59" s="142"/>
    </row>
    <row r="60" spans="2:58" s="35" customFormat="1" ht="65.5" customHeight="1" x14ac:dyDescent="0.35">
      <c r="B60" s="398" t="s">
        <v>178</v>
      </c>
      <c r="C60" s="29" t="s">
        <v>179</v>
      </c>
      <c r="D60" s="405" t="s">
        <v>96</v>
      </c>
      <c r="E60" s="390">
        <v>44409</v>
      </c>
      <c r="F60" s="390">
        <v>44865</v>
      </c>
      <c r="G60" s="392">
        <v>86262500</v>
      </c>
      <c r="H60" s="392">
        <v>86262500</v>
      </c>
      <c r="I60" s="29">
        <v>0</v>
      </c>
      <c r="J60" s="387" t="s">
        <v>97</v>
      </c>
      <c r="K60" s="254">
        <v>0</v>
      </c>
      <c r="L60" s="38">
        <v>0</v>
      </c>
      <c r="M60" s="38">
        <v>0</v>
      </c>
      <c r="N60" s="38">
        <v>0</v>
      </c>
      <c r="O60" s="38">
        <v>0</v>
      </c>
      <c r="P60" s="38">
        <v>7625000</v>
      </c>
      <c r="Q60" s="38">
        <v>7625000</v>
      </c>
      <c r="R60" s="38">
        <v>7625000</v>
      </c>
      <c r="S60" s="38">
        <v>8025000</v>
      </c>
      <c r="T60" s="38">
        <v>8025000</v>
      </c>
      <c r="U60" s="38">
        <v>8025000</v>
      </c>
      <c r="V60" s="38">
        <v>4212500</v>
      </c>
      <c r="W60" s="38">
        <v>4212500</v>
      </c>
      <c r="X60" s="38">
        <v>4412500</v>
      </c>
      <c r="Y60" s="38">
        <v>4412500</v>
      </c>
      <c r="Z60" s="38">
        <v>4412500</v>
      </c>
      <c r="AA60" s="38">
        <v>4412500</v>
      </c>
      <c r="AB60" s="38">
        <v>4412500</v>
      </c>
      <c r="AC60" s="38">
        <v>4412500</v>
      </c>
      <c r="AD60" s="38">
        <v>4412500</v>
      </c>
      <c r="AE60" s="38">
        <v>0</v>
      </c>
      <c r="AF60" s="38">
        <v>0</v>
      </c>
      <c r="AG60" s="38">
        <v>0</v>
      </c>
      <c r="AH60" s="38">
        <v>0</v>
      </c>
      <c r="AI60" s="38">
        <v>0</v>
      </c>
      <c r="AJ60" s="38">
        <v>0</v>
      </c>
      <c r="AK60" s="38">
        <v>0</v>
      </c>
      <c r="AL60" s="38">
        <v>0</v>
      </c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196">
        <v>0</v>
      </c>
      <c r="BD60" s="263">
        <f t="shared" si="0"/>
        <v>86262500</v>
      </c>
      <c r="BE60" s="142"/>
    </row>
    <row r="61" spans="2:58" s="35" customFormat="1" x14ac:dyDescent="0.35">
      <c r="B61" s="400"/>
      <c r="C61" s="29"/>
      <c r="D61" s="406"/>
      <c r="E61" s="391"/>
      <c r="F61" s="391"/>
      <c r="G61" s="393"/>
      <c r="H61" s="393"/>
      <c r="I61" s="29"/>
      <c r="J61" s="388"/>
      <c r="K61" s="253"/>
      <c r="L61" s="39"/>
      <c r="M61" s="39"/>
      <c r="N61" s="39"/>
      <c r="O61" s="39"/>
      <c r="P61" s="39">
        <v>7625000</v>
      </c>
      <c r="Q61" s="39">
        <v>7625000</v>
      </c>
      <c r="R61" s="39">
        <v>7625000</v>
      </c>
      <c r="S61" s="39">
        <v>7731667</v>
      </c>
      <c r="T61" s="39">
        <v>8025000</v>
      </c>
      <c r="U61" s="39">
        <v>8025000</v>
      </c>
      <c r="V61" s="39">
        <v>4212500</v>
      </c>
      <c r="W61" s="39">
        <v>4212500</v>
      </c>
      <c r="X61" s="39">
        <v>4412500</v>
      </c>
      <c r="Y61" s="39">
        <v>4412500</v>
      </c>
      <c r="Z61" s="39">
        <v>4412500</v>
      </c>
      <c r="AA61" s="39">
        <v>4412500</v>
      </c>
      <c r="AB61" s="39">
        <v>4412500</v>
      </c>
      <c r="AC61" s="39">
        <v>2420833.25</v>
      </c>
      <c r="AD61" s="39">
        <v>3364583.5</v>
      </c>
      <c r="AE61" s="39">
        <v>1504166.75</v>
      </c>
      <c r="AF61" s="39"/>
      <c r="AG61" s="39"/>
      <c r="AH61" s="39"/>
      <c r="AI61" s="39"/>
      <c r="AJ61" s="39"/>
      <c r="AK61" s="39">
        <v>1828749.5</v>
      </c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87"/>
      <c r="BD61" s="263">
        <f t="shared" si="0"/>
        <v>86262500</v>
      </c>
    </row>
    <row r="62" spans="2:58" s="35" customFormat="1" ht="39" x14ac:dyDescent="0.35">
      <c r="B62" s="398" t="s">
        <v>180</v>
      </c>
      <c r="C62" s="29" t="s">
        <v>181</v>
      </c>
      <c r="D62" s="405" t="s">
        <v>96</v>
      </c>
      <c r="E62" s="390">
        <v>44866</v>
      </c>
      <c r="F62" s="396">
        <v>45351</v>
      </c>
      <c r="G62" s="392">
        <v>170647500</v>
      </c>
      <c r="H62" s="392">
        <v>170647500</v>
      </c>
      <c r="I62" s="29">
        <v>0</v>
      </c>
      <c r="J62" s="387" t="s">
        <v>97</v>
      </c>
      <c r="K62" s="254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4812500</v>
      </c>
      <c r="AF62" s="38">
        <v>3750000</v>
      </c>
      <c r="AG62" s="38">
        <v>3750000</v>
      </c>
      <c r="AH62" s="38">
        <v>5625000</v>
      </c>
      <c r="AI62" s="38">
        <v>11250000</v>
      </c>
      <c r="AJ62" s="38">
        <v>11250000</v>
      </c>
      <c r="AK62" s="38">
        <v>11250000</v>
      </c>
      <c r="AL62" s="38">
        <v>11310000</v>
      </c>
      <c r="AM62" s="38">
        <v>11250000</v>
      </c>
      <c r="AN62" s="38">
        <v>11250000</v>
      </c>
      <c r="AO62" s="38">
        <v>11250000</v>
      </c>
      <c r="AP62" s="38">
        <v>21850000</v>
      </c>
      <c r="AQ62" s="38">
        <v>18300000</v>
      </c>
      <c r="AR62" s="38">
        <v>11250000</v>
      </c>
      <c r="AS62" s="38">
        <v>11250000</v>
      </c>
      <c r="AT62" s="38">
        <v>11250000</v>
      </c>
      <c r="AU62" s="38">
        <v>0</v>
      </c>
      <c r="AV62" s="38">
        <v>0</v>
      </c>
      <c r="AW62" s="38">
        <v>0</v>
      </c>
      <c r="AX62" s="38">
        <v>0</v>
      </c>
      <c r="AY62" s="38">
        <v>0</v>
      </c>
      <c r="AZ62" s="38">
        <v>0</v>
      </c>
      <c r="BA62" s="38">
        <v>0</v>
      </c>
      <c r="BB62" s="196">
        <v>0</v>
      </c>
      <c r="BD62" s="263">
        <f t="shared" si="0"/>
        <v>170647500</v>
      </c>
    </row>
    <row r="63" spans="2:58" s="35" customFormat="1" x14ac:dyDescent="0.35">
      <c r="B63" s="400"/>
      <c r="C63" s="29"/>
      <c r="D63" s="406"/>
      <c r="E63" s="391"/>
      <c r="F63" s="397"/>
      <c r="G63" s="393"/>
      <c r="H63" s="393"/>
      <c r="I63" s="29"/>
      <c r="J63" s="388"/>
      <c r="K63" s="253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>
        <v>1875000</v>
      </c>
      <c r="AF63" s="39">
        <v>3437500</v>
      </c>
      <c r="AG63" s="39">
        <v>3750000</v>
      </c>
      <c r="AH63" s="39">
        <v>6819800</v>
      </c>
      <c r="AI63" s="39">
        <v>9375000</v>
      </c>
      <c r="AJ63" s="39">
        <v>11250000</v>
      </c>
      <c r="AK63" s="39">
        <v>7375000</v>
      </c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87"/>
      <c r="BD63" s="263">
        <f t="shared" si="0"/>
        <v>43882300</v>
      </c>
    </row>
    <row r="64" spans="2:58" s="35" customFormat="1" ht="39" x14ac:dyDescent="0.35">
      <c r="B64" s="398" t="s">
        <v>182</v>
      </c>
      <c r="C64" s="29" t="s">
        <v>183</v>
      </c>
      <c r="D64" s="405" t="s">
        <v>96</v>
      </c>
      <c r="E64" s="390">
        <v>44866</v>
      </c>
      <c r="F64" s="390">
        <v>45351</v>
      </c>
      <c r="G64" s="392">
        <v>109734418.98</v>
      </c>
      <c r="H64" s="392">
        <v>109734418.98</v>
      </c>
      <c r="I64" s="29">
        <v>0</v>
      </c>
      <c r="J64" s="387" t="s">
        <v>135</v>
      </c>
      <c r="K64" s="254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2667135.66</v>
      </c>
      <c r="AF64" s="38">
        <v>3012476.91</v>
      </c>
      <c r="AG64" s="38">
        <v>3012476.91</v>
      </c>
      <c r="AH64" s="38">
        <v>4055130.17</v>
      </c>
      <c r="AI64" s="38">
        <v>4398688.84</v>
      </c>
      <c r="AJ64" s="38">
        <v>5085806.17</v>
      </c>
      <c r="AK64" s="38">
        <v>5085806.17</v>
      </c>
      <c r="AL64" s="38">
        <v>5085806.17</v>
      </c>
      <c r="AM64" s="38">
        <v>9219205.6699999999</v>
      </c>
      <c r="AN64" s="38">
        <v>10171612.33</v>
      </c>
      <c r="AO64" s="38">
        <v>10171612.33</v>
      </c>
      <c r="AP64" s="38">
        <v>10171612.33</v>
      </c>
      <c r="AQ64" s="38">
        <v>10171612.33</v>
      </c>
      <c r="AR64" s="38">
        <v>9141812.3300000001</v>
      </c>
      <c r="AS64" s="38">
        <v>9141812.3300000001</v>
      </c>
      <c r="AT64" s="38">
        <v>9141812.3300000001</v>
      </c>
      <c r="AU64" s="38">
        <v>0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196">
        <v>0</v>
      </c>
      <c r="BD64" s="263">
        <f t="shared" si="0"/>
        <v>109734418.98</v>
      </c>
    </row>
    <row r="65" spans="2:57" s="35" customFormat="1" x14ac:dyDescent="0.35">
      <c r="B65" s="400"/>
      <c r="C65" s="29"/>
      <c r="D65" s="406"/>
      <c r="E65" s="391"/>
      <c r="F65" s="391"/>
      <c r="G65" s="393"/>
      <c r="H65" s="393"/>
      <c r="I65" s="29"/>
      <c r="J65" s="388"/>
      <c r="K65" s="253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>
        <f>1550923.75+1116211.91</f>
        <v>2667135.66</v>
      </c>
      <c r="AF65" s="39">
        <f>1896265+1116211.91</f>
        <v>3012476.91</v>
      </c>
      <c r="AG65" s="39">
        <f>1896265+1116211.91</f>
        <v>3012476.91</v>
      </c>
      <c r="AH65" s="39">
        <f>2586947.5+1468182.67</f>
        <v>4055130.17</v>
      </c>
      <c r="AI65" s="39">
        <f>2586947.5+1811741.34</f>
        <v>4398688.84</v>
      </c>
      <c r="AJ65" s="141">
        <f>2586947.5+2498858.67</f>
        <v>5085806.17</v>
      </c>
      <c r="AK65" s="141">
        <f>2586947.5+2498858.67</f>
        <v>5085806.17</v>
      </c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87"/>
      <c r="BD65" s="263">
        <f t="shared" si="0"/>
        <v>27317520.830000006</v>
      </c>
    </row>
    <row r="66" spans="2:57" s="35" customFormat="1" x14ac:dyDescent="0.35">
      <c r="B66" s="398" t="s">
        <v>184</v>
      </c>
      <c r="C66" s="29" t="s">
        <v>185</v>
      </c>
      <c r="D66" s="405" t="s">
        <v>96</v>
      </c>
      <c r="E66" s="390">
        <v>44256</v>
      </c>
      <c r="F66" s="390">
        <v>45591</v>
      </c>
      <c r="G66" s="392">
        <v>166031950</v>
      </c>
      <c r="H66" s="392">
        <v>166031950</v>
      </c>
      <c r="I66" s="29">
        <v>0</v>
      </c>
      <c r="J66" s="387" t="s">
        <v>97</v>
      </c>
      <c r="K66" s="254">
        <v>2490000</v>
      </c>
      <c r="L66" s="38">
        <v>4542831.9400000004</v>
      </c>
      <c r="M66" s="38">
        <v>4542831.9400000004</v>
      </c>
      <c r="N66" s="38">
        <v>4542831.9400000004</v>
      </c>
      <c r="O66" s="38">
        <v>4542831.9400000004</v>
      </c>
      <c r="P66" s="38">
        <v>4542831.9400000004</v>
      </c>
      <c r="Q66" s="38">
        <v>4542831.9400000004</v>
      </c>
      <c r="R66" s="38">
        <v>4542831.9400000004</v>
      </c>
      <c r="S66" s="38">
        <v>4542831.9400000004</v>
      </c>
      <c r="T66" s="38">
        <v>4542831.9400000004</v>
      </c>
      <c r="U66" s="38">
        <v>4542831.9400000004</v>
      </c>
      <c r="V66" s="38">
        <v>4542831.9400000004</v>
      </c>
      <c r="W66" s="38">
        <v>4542831.9400000004</v>
      </c>
      <c r="X66" s="38">
        <v>4542831.9400000004</v>
      </c>
      <c r="Y66" s="38">
        <v>4542831.9400000004</v>
      </c>
      <c r="Z66" s="38">
        <v>4542831.9400000004</v>
      </c>
      <c r="AA66" s="38">
        <v>4542831.9400000004</v>
      </c>
      <c r="AB66" s="38">
        <v>4542831.9400000004</v>
      </c>
      <c r="AC66" s="38">
        <v>4542831.9400000004</v>
      </c>
      <c r="AD66" s="38">
        <v>4542831.9400000004</v>
      </c>
      <c r="AE66" s="38">
        <v>4542831.95</v>
      </c>
      <c r="AF66" s="38">
        <v>4542831.95</v>
      </c>
      <c r="AG66" s="38">
        <v>4542831.95</v>
      </c>
      <c r="AH66" s="38">
        <v>4542831.95</v>
      </c>
      <c r="AI66" s="38">
        <v>4542831.95</v>
      </c>
      <c r="AJ66" s="38">
        <v>4542831.95</v>
      </c>
      <c r="AK66" s="38">
        <v>4542831.95</v>
      </c>
      <c r="AL66" s="38">
        <v>4542831.95</v>
      </c>
      <c r="AM66" s="38">
        <v>4542831.95</v>
      </c>
      <c r="AN66" s="38">
        <v>4542831.95</v>
      </c>
      <c r="AO66" s="38">
        <v>4542831.95</v>
      </c>
      <c r="AP66" s="38">
        <v>4542831.95</v>
      </c>
      <c r="AQ66" s="38">
        <v>4542831.95</v>
      </c>
      <c r="AR66" s="38">
        <v>4542831.95</v>
      </c>
      <c r="AS66" s="38">
        <v>4542831.95</v>
      </c>
      <c r="AT66" s="38">
        <v>4542832.8900000006</v>
      </c>
      <c r="AU66" s="38">
        <v>0</v>
      </c>
      <c r="AV66" s="38">
        <v>0</v>
      </c>
      <c r="AW66" s="38">
        <v>0</v>
      </c>
      <c r="AX66" s="38">
        <v>0</v>
      </c>
      <c r="AY66" s="38">
        <v>0</v>
      </c>
      <c r="AZ66" s="38">
        <v>0</v>
      </c>
      <c r="BA66" s="38">
        <v>0</v>
      </c>
      <c r="BB66" s="196">
        <v>4542831</v>
      </c>
      <c r="BD66" s="263">
        <f t="shared" si="0"/>
        <v>166031949.99999994</v>
      </c>
    </row>
    <row r="67" spans="2:57" s="35" customFormat="1" x14ac:dyDescent="0.35">
      <c r="B67" s="400"/>
      <c r="C67" s="29"/>
      <c r="D67" s="406"/>
      <c r="E67" s="391"/>
      <c r="F67" s="391"/>
      <c r="G67" s="393"/>
      <c r="H67" s="393"/>
      <c r="I67" s="29"/>
      <c r="J67" s="388"/>
      <c r="K67" s="253">
        <v>2489950</v>
      </c>
      <c r="L67" s="39">
        <v>4542831</v>
      </c>
      <c r="M67" s="39">
        <v>4542831</v>
      </c>
      <c r="N67" s="39">
        <v>4542831</v>
      </c>
      <c r="O67" s="39">
        <v>4542831</v>
      </c>
      <c r="P67" s="39">
        <v>4542831</v>
      </c>
      <c r="Q67" s="39">
        <v>4542831</v>
      </c>
      <c r="R67" s="39">
        <v>4542831</v>
      </c>
      <c r="S67" s="39">
        <v>4542831</v>
      </c>
      <c r="T67" s="39">
        <v>4542831</v>
      </c>
      <c r="U67" s="39">
        <v>4542831</v>
      </c>
      <c r="V67" s="39">
        <v>4997112</v>
      </c>
      <c r="W67" s="39">
        <v>4542831</v>
      </c>
      <c r="X67" s="39">
        <v>4542831</v>
      </c>
      <c r="Y67" s="39">
        <v>4542831</v>
      </c>
      <c r="Z67" s="39">
        <v>4542831</v>
      </c>
      <c r="AA67" s="39">
        <v>4542831</v>
      </c>
      <c r="AB67" s="39">
        <v>4542831</v>
      </c>
      <c r="AC67" s="39">
        <v>4542831</v>
      </c>
      <c r="AD67" s="39">
        <v>4542831</v>
      </c>
      <c r="AE67" s="39">
        <v>4542831</v>
      </c>
      <c r="AF67" s="39">
        <v>4542831</v>
      </c>
      <c r="AG67" s="39">
        <v>4542831</v>
      </c>
      <c r="AH67" s="39">
        <v>4542831</v>
      </c>
      <c r="AI67" s="39">
        <v>4542831</v>
      </c>
      <c r="AJ67" s="39">
        <v>4542831</v>
      </c>
      <c r="AK67" s="39">
        <v>4542831</v>
      </c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87"/>
      <c r="BD67" s="263">
        <f>SUM(K67:BB67)</f>
        <v>121057837</v>
      </c>
    </row>
    <row r="68" spans="2:57" s="35" customFormat="1" x14ac:dyDescent="0.35">
      <c r="B68" s="398" t="s">
        <v>186</v>
      </c>
      <c r="C68" s="29" t="s">
        <v>187</v>
      </c>
      <c r="D68" s="405" t="s">
        <v>96</v>
      </c>
      <c r="E68" s="390">
        <v>44256</v>
      </c>
      <c r="F68" s="390">
        <v>45351</v>
      </c>
      <c r="G68" s="392">
        <v>57049520</v>
      </c>
      <c r="H68" s="392">
        <v>57049520</v>
      </c>
      <c r="I68" s="29">
        <v>0</v>
      </c>
      <c r="J68" s="387" t="s">
        <v>135</v>
      </c>
      <c r="K68" s="254">
        <v>1584708.89</v>
      </c>
      <c r="L68" s="38">
        <v>1584708.89</v>
      </c>
      <c r="M68" s="38">
        <v>1584708.89</v>
      </c>
      <c r="N68" s="38">
        <v>1584708.89</v>
      </c>
      <c r="O68" s="38">
        <v>1584708.89</v>
      </c>
      <c r="P68" s="38">
        <v>1584708.89</v>
      </c>
      <c r="Q68" s="38">
        <v>1584708.89</v>
      </c>
      <c r="R68" s="38">
        <v>1584708.89</v>
      </c>
      <c r="S68" s="38">
        <v>1584708.89</v>
      </c>
      <c r="T68" s="38">
        <v>1584708.89</v>
      </c>
      <c r="U68" s="38">
        <v>1584708.89</v>
      </c>
      <c r="V68" s="38">
        <v>1584708.89</v>
      </c>
      <c r="W68" s="38">
        <v>1584708.89</v>
      </c>
      <c r="X68" s="38">
        <v>1584708.89</v>
      </c>
      <c r="Y68" s="38">
        <v>1584708.89</v>
      </c>
      <c r="Z68" s="38">
        <v>1584708.89</v>
      </c>
      <c r="AA68" s="38">
        <v>1584708.89</v>
      </c>
      <c r="AB68" s="38">
        <v>1584708.89</v>
      </c>
      <c r="AC68" s="38">
        <v>1584708.89</v>
      </c>
      <c r="AD68" s="38">
        <v>1584708.89</v>
      </c>
      <c r="AE68" s="38">
        <v>1584708.89</v>
      </c>
      <c r="AF68" s="38">
        <v>1584708.89</v>
      </c>
      <c r="AG68" s="38">
        <v>1584708.89</v>
      </c>
      <c r="AH68" s="38">
        <v>1584708.89</v>
      </c>
      <c r="AI68" s="38">
        <v>1584708.89</v>
      </c>
      <c r="AJ68" s="38">
        <v>1584708.89</v>
      </c>
      <c r="AK68" s="38">
        <v>1584708.89</v>
      </c>
      <c r="AL68" s="38">
        <v>1584708.89</v>
      </c>
      <c r="AM68" s="38">
        <v>1584708.89</v>
      </c>
      <c r="AN68" s="38">
        <v>1584708.89</v>
      </c>
      <c r="AO68" s="38">
        <v>1584708.89</v>
      </c>
      <c r="AP68" s="38">
        <v>1584708.89</v>
      </c>
      <c r="AQ68" s="38">
        <v>1584708.88</v>
      </c>
      <c r="AR68" s="38">
        <v>1584708.88</v>
      </c>
      <c r="AS68" s="38">
        <v>1584708.88</v>
      </c>
      <c r="AT68" s="38">
        <v>1584708.88</v>
      </c>
      <c r="AU68" s="38">
        <v>0</v>
      </c>
      <c r="AV68" s="38">
        <v>0</v>
      </c>
      <c r="AW68" s="38">
        <v>0</v>
      </c>
      <c r="AX68" s="38">
        <v>0</v>
      </c>
      <c r="AY68" s="38">
        <v>0</v>
      </c>
      <c r="AZ68" s="38">
        <v>0</v>
      </c>
      <c r="BA68" s="38">
        <v>0</v>
      </c>
      <c r="BB68" s="196"/>
      <c r="BD68" s="263">
        <f t="shared" si="0"/>
        <v>57049520.000000022</v>
      </c>
    </row>
    <row r="69" spans="2:57" s="35" customFormat="1" x14ac:dyDescent="0.35">
      <c r="B69" s="400"/>
      <c r="C69" s="29"/>
      <c r="D69" s="406"/>
      <c r="E69" s="391"/>
      <c r="F69" s="391"/>
      <c r="G69" s="393"/>
      <c r="H69" s="393"/>
      <c r="I69" s="29"/>
      <c r="J69" s="388"/>
      <c r="K69" s="253">
        <v>1584708.89</v>
      </c>
      <c r="L69" s="39">
        <v>1584708.89</v>
      </c>
      <c r="M69" s="39">
        <v>1584708.89</v>
      </c>
      <c r="N69" s="39">
        <v>1584708.89</v>
      </c>
      <c r="O69" s="39">
        <v>1584708.89</v>
      </c>
      <c r="P69" s="39">
        <v>1584708.89</v>
      </c>
      <c r="Q69" s="39">
        <v>1584708.89</v>
      </c>
      <c r="R69" s="39">
        <v>1584708.89</v>
      </c>
      <c r="S69" s="39">
        <v>1584708.89</v>
      </c>
      <c r="T69" s="39">
        <v>1584708.89</v>
      </c>
      <c r="U69" s="39">
        <v>1584708.89</v>
      </c>
      <c r="V69" s="39">
        <v>1584708.89</v>
      </c>
      <c r="W69" s="39">
        <v>1584708.89</v>
      </c>
      <c r="X69" s="39">
        <v>1584708.89</v>
      </c>
      <c r="Y69" s="39">
        <v>1584708.89</v>
      </c>
      <c r="Z69" s="39">
        <v>1584708.89</v>
      </c>
      <c r="AA69" s="39">
        <v>1584708.89</v>
      </c>
      <c r="AB69" s="39">
        <v>1584708.89</v>
      </c>
      <c r="AC69" s="39">
        <v>1584708.89</v>
      </c>
      <c r="AD69" s="39">
        <v>1584708.89</v>
      </c>
      <c r="AE69" s="39">
        <v>1584708.89</v>
      </c>
      <c r="AF69" s="39">
        <v>1584708.89</v>
      </c>
      <c r="AG69" s="39">
        <v>1584708.89</v>
      </c>
      <c r="AH69" s="39">
        <v>1584708.89</v>
      </c>
      <c r="AI69" s="39">
        <v>1584708.89</v>
      </c>
      <c r="AJ69" s="39">
        <v>1584708.89</v>
      </c>
      <c r="AK69" s="39">
        <v>1584708.89</v>
      </c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87"/>
      <c r="BD69" s="263">
        <f t="shared" si="0"/>
        <v>42787140.030000009</v>
      </c>
    </row>
    <row r="70" spans="2:57" s="35" customFormat="1" x14ac:dyDescent="0.35">
      <c r="B70" s="398" t="s">
        <v>188</v>
      </c>
      <c r="C70" s="29" t="s">
        <v>189</v>
      </c>
      <c r="D70" s="405" t="s">
        <v>96</v>
      </c>
      <c r="E70" s="390">
        <v>44256</v>
      </c>
      <c r="F70" s="390">
        <v>45591</v>
      </c>
      <c r="G70" s="392">
        <v>182891850</v>
      </c>
      <c r="H70" s="392">
        <v>182891850</v>
      </c>
      <c r="I70" s="29">
        <v>0</v>
      </c>
      <c r="J70" s="387" t="s">
        <v>97</v>
      </c>
      <c r="K70" s="254">
        <v>1091850</v>
      </c>
      <c r="L70" s="38">
        <v>1060000</v>
      </c>
      <c r="M70" s="38">
        <v>5050000</v>
      </c>
      <c r="N70" s="38">
        <v>5050000</v>
      </c>
      <c r="O70" s="38">
        <v>5050000</v>
      </c>
      <c r="P70" s="38">
        <v>5050000</v>
      </c>
      <c r="Q70" s="38">
        <v>5050000</v>
      </c>
      <c r="R70" s="38">
        <v>5050000</v>
      </c>
      <c r="S70" s="38">
        <v>5050000</v>
      </c>
      <c r="T70" s="38">
        <v>5050000</v>
      </c>
      <c r="U70" s="38">
        <v>5050000</v>
      </c>
      <c r="V70" s="38">
        <v>5050000</v>
      </c>
      <c r="W70" s="38">
        <v>5050000</v>
      </c>
      <c r="X70" s="38">
        <v>5050000</v>
      </c>
      <c r="Y70" s="38">
        <v>5050000</v>
      </c>
      <c r="Z70" s="38">
        <v>5050000</v>
      </c>
      <c r="AA70" s="38">
        <v>3990000</v>
      </c>
      <c r="AB70" s="38">
        <v>5050000</v>
      </c>
      <c r="AC70" s="38">
        <v>5050000</v>
      </c>
      <c r="AD70" s="38">
        <v>5050000</v>
      </c>
      <c r="AE70" s="38">
        <v>5050000</v>
      </c>
      <c r="AF70" s="38">
        <v>5050000</v>
      </c>
      <c r="AG70" s="38">
        <v>5050000</v>
      </c>
      <c r="AH70" s="38">
        <v>5050000</v>
      </c>
      <c r="AI70" s="38">
        <v>5050000</v>
      </c>
      <c r="AJ70" s="38">
        <v>5050000</v>
      </c>
      <c r="AK70" s="38">
        <v>5050000</v>
      </c>
      <c r="AL70" s="38">
        <v>5050000</v>
      </c>
      <c r="AM70" s="38">
        <v>5050000</v>
      </c>
      <c r="AN70" s="38">
        <v>5050000</v>
      </c>
      <c r="AO70" s="38">
        <v>5050000</v>
      </c>
      <c r="AP70" s="38">
        <v>5050000</v>
      </c>
      <c r="AQ70" s="38">
        <v>5050000</v>
      </c>
      <c r="AR70" s="38">
        <v>5050000</v>
      </c>
      <c r="AS70" s="38">
        <v>5050000</v>
      </c>
      <c r="AT70" s="38">
        <v>5050000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5050000</v>
      </c>
      <c r="BB70" s="196">
        <v>5050000</v>
      </c>
      <c r="BD70" s="263">
        <f t="shared" si="0"/>
        <v>182891850</v>
      </c>
    </row>
    <row r="71" spans="2:57" s="35" customFormat="1" ht="15" thickBot="1" x14ac:dyDescent="0.4">
      <c r="B71" s="399"/>
      <c r="C71" s="267"/>
      <c r="D71" s="417"/>
      <c r="E71" s="394"/>
      <c r="F71" s="394"/>
      <c r="G71" s="395"/>
      <c r="H71" s="395"/>
      <c r="I71" s="267"/>
      <c r="J71" s="389"/>
      <c r="K71" s="255">
        <v>1091650</v>
      </c>
      <c r="L71" s="256">
        <v>1060000</v>
      </c>
      <c r="M71" s="256">
        <v>4553333</v>
      </c>
      <c r="N71" s="256">
        <v>5050000</v>
      </c>
      <c r="O71" s="256">
        <v>5050000</v>
      </c>
      <c r="P71" s="256">
        <v>5050000</v>
      </c>
      <c r="Q71" s="256">
        <v>5050000</v>
      </c>
      <c r="R71" s="256">
        <v>5050000</v>
      </c>
      <c r="S71" s="256">
        <v>5050000</v>
      </c>
      <c r="T71" s="256">
        <v>5050000</v>
      </c>
      <c r="U71" s="256">
        <v>5050000</v>
      </c>
      <c r="V71" s="256">
        <v>5050000</v>
      </c>
      <c r="W71" s="256">
        <v>5050000</v>
      </c>
      <c r="X71" s="256">
        <v>5050000</v>
      </c>
      <c r="Y71" s="256">
        <v>5050000</v>
      </c>
      <c r="Z71" s="256">
        <v>5050000</v>
      </c>
      <c r="AA71" s="256">
        <v>3990000</v>
      </c>
      <c r="AB71" s="256">
        <v>4031667</v>
      </c>
      <c r="AC71" s="256">
        <v>5050000</v>
      </c>
      <c r="AD71" s="256">
        <v>5050000</v>
      </c>
      <c r="AE71" s="256">
        <v>5050000</v>
      </c>
      <c r="AF71" s="256">
        <v>5050000</v>
      </c>
      <c r="AG71" s="256">
        <v>5050000</v>
      </c>
      <c r="AH71" s="256">
        <v>5050000</v>
      </c>
      <c r="AI71" s="256">
        <v>5050000</v>
      </c>
      <c r="AJ71" s="256">
        <v>5050000</v>
      </c>
      <c r="AK71" s="256">
        <v>5050000</v>
      </c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256"/>
      <c r="AZ71" s="256"/>
      <c r="BA71" s="256"/>
      <c r="BB71" s="257"/>
      <c r="BD71" s="265">
        <f>SUM(K71:BB71)</f>
        <v>125826650</v>
      </c>
    </row>
    <row r="72" spans="2:57" s="36" customFormat="1" ht="26" x14ac:dyDescent="0.3">
      <c r="B72" s="135" t="s">
        <v>438</v>
      </c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>
        <f t="shared" ref="BC72" si="7">+BC15+BC17+BC19+BC21+BC23+BC25+BC27+BC29+BC31+BC33+BC35+BC37+BC39+BC41+BC43+BC45+BC47+BC49+BC51+BC53+BC55+BC57+BC59+BC61+BC63+BC65+BC67+BC69+BC71</f>
        <v>0</v>
      </c>
      <c r="BD72" s="268"/>
      <c r="BE72" s="269"/>
    </row>
    <row r="73" spans="2:57" ht="15" thickBot="1" x14ac:dyDescent="0.4">
      <c r="BE73" s="143"/>
    </row>
    <row r="74" spans="2:57" x14ac:dyDescent="0.35">
      <c r="B74" s="14" t="s">
        <v>101</v>
      </c>
      <c r="BE74" s="128"/>
    </row>
    <row r="75" spans="2:57" ht="15" thickBot="1" x14ac:dyDescent="0.4">
      <c r="B75" s="15" t="s">
        <v>100</v>
      </c>
    </row>
    <row r="106" spans="2:2" ht="15" thickBot="1" x14ac:dyDescent="0.4"/>
    <row r="107" spans="2:2" x14ac:dyDescent="0.35">
      <c r="B107" s="14" t="s">
        <v>101</v>
      </c>
    </row>
    <row r="108" spans="2:2" ht="15" thickBot="1" x14ac:dyDescent="0.4">
      <c r="B108" s="15" t="s">
        <v>100</v>
      </c>
    </row>
  </sheetData>
  <sheetProtection algorithmName="SHA-512" hashValue="PZd5V1xg/L8FsUQmL6H9wd8JKhmLuiUENXct0mzKJoDjFGC5sANCAOEgqvOixUPvod33WAjV4v2oJtop1SwGng==" saltValue="LIv9hDwCgYV1yF8skyMbbQ==" spinCount="100000" sheet="1" objects="1" scenarios="1"/>
  <mergeCells count="222">
    <mergeCell ref="D70:D71"/>
    <mergeCell ref="D62:D63"/>
    <mergeCell ref="D64:D65"/>
    <mergeCell ref="D66:D67"/>
    <mergeCell ref="D68:D69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18:D19"/>
    <mergeCell ref="D2:K2"/>
    <mergeCell ref="D3:K3"/>
    <mergeCell ref="D4:F4"/>
    <mergeCell ref="H4:K4"/>
    <mergeCell ref="D5:F5"/>
    <mergeCell ref="H5:K5"/>
    <mergeCell ref="D22:D23"/>
    <mergeCell ref="D24:D25"/>
    <mergeCell ref="D10:F10"/>
    <mergeCell ref="G10:J10"/>
    <mergeCell ref="B12:J12"/>
    <mergeCell ref="D6:F6"/>
    <mergeCell ref="H6:K6"/>
    <mergeCell ref="B7:B9"/>
    <mergeCell ref="D7:F7"/>
    <mergeCell ref="G7:K7"/>
    <mergeCell ref="D8:F8"/>
    <mergeCell ref="G8:K8"/>
    <mergeCell ref="D9:F9"/>
    <mergeCell ref="G9:K9"/>
    <mergeCell ref="E18:E19"/>
    <mergeCell ref="F18:F19"/>
    <mergeCell ref="G18:G19"/>
    <mergeCell ref="B36:B37"/>
    <mergeCell ref="B38:B39"/>
    <mergeCell ref="B40:B41"/>
    <mergeCell ref="B42:B43"/>
    <mergeCell ref="B44:B45"/>
    <mergeCell ref="B18:B19"/>
    <mergeCell ref="K12:BB12"/>
    <mergeCell ref="B14:B15"/>
    <mergeCell ref="B16:B17"/>
    <mergeCell ref="B20:B21"/>
    <mergeCell ref="D20:D21"/>
    <mergeCell ref="E14:E15"/>
    <mergeCell ref="F14:F15"/>
    <mergeCell ref="G14:G15"/>
    <mergeCell ref="H14:H15"/>
    <mergeCell ref="J14:J15"/>
    <mergeCell ref="E16:E17"/>
    <mergeCell ref="F16:F17"/>
    <mergeCell ref="G16:G17"/>
    <mergeCell ref="H16:H17"/>
    <mergeCell ref="J16:J17"/>
    <mergeCell ref="B22:B23"/>
    <mergeCell ref="D14:D15"/>
    <mergeCell ref="D16:D17"/>
    <mergeCell ref="H18:H19"/>
    <mergeCell ref="J18:J19"/>
    <mergeCell ref="B70:B71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46:B47"/>
    <mergeCell ref="B24:B25"/>
    <mergeCell ref="B26:B27"/>
    <mergeCell ref="B28:B29"/>
    <mergeCell ref="B30:B31"/>
    <mergeCell ref="B32:B33"/>
    <mergeCell ref="B34:B35"/>
    <mergeCell ref="E22:E23"/>
    <mergeCell ref="F22:F23"/>
    <mergeCell ref="G22:G23"/>
    <mergeCell ref="H22:H23"/>
    <mergeCell ref="J22:J23"/>
    <mergeCell ref="E20:E21"/>
    <mergeCell ref="F20:F21"/>
    <mergeCell ref="G20:G21"/>
    <mergeCell ref="H20:H21"/>
    <mergeCell ref="J20:J21"/>
    <mergeCell ref="E26:E27"/>
    <mergeCell ref="F26:F27"/>
    <mergeCell ref="G26:G27"/>
    <mergeCell ref="H26:H27"/>
    <mergeCell ref="J26:J27"/>
    <mergeCell ref="E24:E25"/>
    <mergeCell ref="F24:F25"/>
    <mergeCell ref="G24:G25"/>
    <mergeCell ref="H24:H25"/>
    <mergeCell ref="J24:J25"/>
    <mergeCell ref="E30:E31"/>
    <mergeCell ref="F30:F31"/>
    <mergeCell ref="G30:G31"/>
    <mergeCell ref="H30:H31"/>
    <mergeCell ref="J30:J31"/>
    <mergeCell ref="E28:E29"/>
    <mergeCell ref="F28:F29"/>
    <mergeCell ref="G28:G29"/>
    <mergeCell ref="H28:H29"/>
    <mergeCell ref="J28:J29"/>
    <mergeCell ref="E34:E35"/>
    <mergeCell ref="F34:F35"/>
    <mergeCell ref="G34:G35"/>
    <mergeCell ref="H34:H35"/>
    <mergeCell ref="J34:J35"/>
    <mergeCell ref="E32:E33"/>
    <mergeCell ref="F32:F33"/>
    <mergeCell ref="G32:G33"/>
    <mergeCell ref="H32:H33"/>
    <mergeCell ref="J32:J33"/>
    <mergeCell ref="E38:E39"/>
    <mergeCell ref="F38:F39"/>
    <mergeCell ref="G38:G39"/>
    <mergeCell ref="H38:H39"/>
    <mergeCell ref="J38:J39"/>
    <mergeCell ref="E36:E37"/>
    <mergeCell ref="F36:F37"/>
    <mergeCell ref="G36:G37"/>
    <mergeCell ref="H36:H37"/>
    <mergeCell ref="J36:J37"/>
    <mergeCell ref="E42:E43"/>
    <mergeCell ref="F42:F43"/>
    <mergeCell ref="G42:G43"/>
    <mergeCell ref="H42:H43"/>
    <mergeCell ref="J42:J43"/>
    <mergeCell ref="E40:E41"/>
    <mergeCell ref="F40:F41"/>
    <mergeCell ref="G40:G41"/>
    <mergeCell ref="H40:H41"/>
    <mergeCell ref="J40:J41"/>
    <mergeCell ref="E46:E47"/>
    <mergeCell ref="F46:F47"/>
    <mergeCell ref="G46:G47"/>
    <mergeCell ref="H46:H47"/>
    <mergeCell ref="J46:J47"/>
    <mergeCell ref="E44:E45"/>
    <mergeCell ref="F44:F45"/>
    <mergeCell ref="G44:G45"/>
    <mergeCell ref="H44:H45"/>
    <mergeCell ref="J44:J45"/>
    <mergeCell ref="E50:E51"/>
    <mergeCell ref="F50:F51"/>
    <mergeCell ref="G50:G51"/>
    <mergeCell ref="H50:H51"/>
    <mergeCell ref="J50:J51"/>
    <mergeCell ref="J48:J49"/>
    <mergeCell ref="H48:H49"/>
    <mergeCell ref="G48:G49"/>
    <mergeCell ref="F48:F49"/>
    <mergeCell ref="E48:E49"/>
    <mergeCell ref="J54:J55"/>
    <mergeCell ref="H54:H55"/>
    <mergeCell ref="G54:G55"/>
    <mergeCell ref="F54:F55"/>
    <mergeCell ref="E54:E55"/>
    <mergeCell ref="E52:E53"/>
    <mergeCell ref="F52:F53"/>
    <mergeCell ref="G52:G53"/>
    <mergeCell ref="H52:H53"/>
    <mergeCell ref="J52:J53"/>
    <mergeCell ref="E58:E59"/>
    <mergeCell ref="F58:F59"/>
    <mergeCell ref="G58:G59"/>
    <mergeCell ref="H58:H59"/>
    <mergeCell ref="J58:J59"/>
    <mergeCell ref="E56:E57"/>
    <mergeCell ref="F56:F57"/>
    <mergeCell ref="G56:G57"/>
    <mergeCell ref="H56:H57"/>
    <mergeCell ref="J56:J57"/>
    <mergeCell ref="E62:E63"/>
    <mergeCell ref="F62:F63"/>
    <mergeCell ref="G62:G63"/>
    <mergeCell ref="H62:H63"/>
    <mergeCell ref="J62:J63"/>
    <mergeCell ref="E60:E61"/>
    <mergeCell ref="F60:F61"/>
    <mergeCell ref="G60:G61"/>
    <mergeCell ref="H60:H61"/>
    <mergeCell ref="J60:J61"/>
    <mergeCell ref="E66:E67"/>
    <mergeCell ref="F66:F67"/>
    <mergeCell ref="G66:G67"/>
    <mergeCell ref="H66:H67"/>
    <mergeCell ref="J66:J67"/>
    <mergeCell ref="E64:E65"/>
    <mergeCell ref="F64:F65"/>
    <mergeCell ref="G64:G65"/>
    <mergeCell ref="H64:H65"/>
    <mergeCell ref="J64:J65"/>
    <mergeCell ref="J68:J69"/>
    <mergeCell ref="J70:J71"/>
    <mergeCell ref="E68:E69"/>
    <mergeCell ref="F68:F69"/>
    <mergeCell ref="G68:G69"/>
    <mergeCell ref="H68:H69"/>
    <mergeCell ref="E70:E71"/>
    <mergeCell ref="F70:F71"/>
    <mergeCell ref="G70:G71"/>
    <mergeCell ref="H70:H71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Z167"/>
  <sheetViews>
    <sheetView showGridLines="0" topLeftCell="B4" workbookViewId="0">
      <pane xSplit="2" topLeftCell="F1" activePane="topRight" state="frozen"/>
      <selection activeCell="C4" sqref="C4"/>
      <selection pane="topRight" activeCell="C7" sqref="C7:F7"/>
    </sheetView>
  </sheetViews>
  <sheetFormatPr baseColWidth="10" defaultRowHeight="14.5" x14ac:dyDescent="0.35"/>
  <cols>
    <col min="1" max="1" width="43.6328125" hidden="1" customWidth="1"/>
    <col min="2" max="2" width="35.453125" customWidth="1"/>
    <col min="3" max="3" width="40.26953125" customWidth="1"/>
    <col min="4" max="4" width="7.26953125" bestFit="1" customWidth="1"/>
    <col min="5" max="5" width="10.54296875" customWidth="1"/>
    <col min="6" max="6" width="10.6328125" customWidth="1"/>
    <col min="7" max="7" width="20.54296875" customWidth="1"/>
    <col min="8" max="8" width="16.26953125" customWidth="1"/>
    <col min="9" max="9" width="9.08984375" hidden="1" customWidth="1"/>
    <col min="10" max="10" width="10.08984375" customWidth="1"/>
    <col min="11" max="11" width="8.81640625" bestFit="1" customWidth="1"/>
    <col min="12" max="12" width="12.08984375" bestFit="1" customWidth="1"/>
    <col min="13" max="14" width="12.90625" bestFit="1" customWidth="1"/>
    <col min="15" max="15" width="9.54296875" bestFit="1" customWidth="1"/>
    <col min="16" max="16" width="10.36328125" bestFit="1" customWidth="1"/>
    <col min="17" max="17" width="9.453125" bestFit="1" customWidth="1"/>
    <col min="18" max="18" width="13.7265625" bestFit="1" customWidth="1"/>
    <col min="19" max="21" width="10.36328125" bestFit="1" customWidth="1"/>
    <col min="22" max="22" width="13.7265625" bestFit="1" customWidth="1"/>
    <col min="23" max="26" width="10.36328125" bestFit="1" customWidth="1"/>
    <col min="27" max="27" width="13.7265625" bestFit="1" customWidth="1"/>
    <col min="28" max="30" width="10.36328125" bestFit="1" customWidth="1"/>
    <col min="31" max="32" width="10.81640625" bestFit="1" customWidth="1"/>
    <col min="33" max="33" width="13.7265625" bestFit="1" customWidth="1"/>
    <col min="34" max="37" width="10.81640625" bestFit="1" customWidth="1"/>
    <col min="38" max="38" width="13.7265625" bestFit="1" customWidth="1"/>
    <col min="39" max="39" width="12.90625" bestFit="1" customWidth="1"/>
    <col min="40" max="43" width="10.81640625" bestFit="1" customWidth="1"/>
    <col min="44" max="44" width="11.90625" bestFit="1" customWidth="1"/>
    <col min="45" max="45" width="13.6328125" bestFit="1" customWidth="1"/>
    <col min="46" max="46" width="12.90625" bestFit="1" customWidth="1"/>
    <col min="47" max="48" width="10.81640625" bestFit="1" customWidth="1"/>
    <col min="49" max="49" width="12.90625" bestFit="1" customWidth="1"/>
    <col min="50" max="50" width="12.08984375" bestFit="1" customWidth="1"/>
    <col min="51" max="51" width="12.6328125" style="35" hidden="1" customWidth="1"/>
    <col min="52" max="52" width="12.6328125" bestFit="1" customWidth="1"/>
  </cols>
  <sheetData>
    <row r="2" spans="1:52" x14ac:dyDescent="0.35">
      <c r="B2" s="42" t="s">
        <v>102</v>
      </c>
      <c r="C2" s="418">
        <v>2020000100115</v>
      </c>
      <c r="D2" s="419"/>
      <c r="E2" s="419"/>
      <c r="F2" s="419"/>
      <c r="G2" s="419"/>
      <c r="H2" s="419"/>
      <c r="I2" s="419"/>
      <c r="J2" s="419"/>
      <c r="K2" s="420"/>
    </row>
    <row r="3" spans="1:52" ht="49" customHeight="1" x14ac:dyDescent="0.35">
      <c r="B3" s="42" t="s">
        <v>103</v>
      </c>
      <c r="C3" s="421" t="s">
        <v>232</v>
      </c>
      <c r="D3" s="422"/>
      <c r="E3" s="422"/>
      <c r="F3" s="422"/>
      <c r="G3" s="422"/>
      <c r="H3" s="422"/>
      <c r="I3" s="422"/>
      <c r="J3" s="422"/>
      <c r="K3" s="423"/>
    </row>
    <row r="4" spans="1:52" ht="14.5" customHeight="1" x14ac:dyDescent="0.35">
      <c r="B4" s="42" t="s">
        <v>106</v>
      </c>
      <c r="C4" s="424">
        <v>3144936286</v>
      </c>
      <c r="D4" s="425"/>
      <c r="E4" s="425"/>
      <c r="F4" s="426"/>
      <c r="G4" s="27" t="s">
        <v>107</v>
      </c>
      <c r="H4" s="424">
        <v>3026098942</v>
      </c>
      <c r="I4" s="425"/>
      <c r="J4" s="425"/>
      <c r="K4" s="426"/>
    </row>
    <row r="5" spans="1:52" x14ac:dyDescent="0.35">
      <c r="B5" s="42" t="s">
        <v>109</v>
      </c>
      <c r="C5" s="436" t="s">
        <v>233</v>
      </c>
      <c r="D5" s="437"/>
      <c r="E5" s="437"/>
      <c r="F5" s="438"/>
      <c r="G5" s="27" t="s">
        <v>108</v>
      </c>
      <c r="H5" s="436" t="s">
        <v>119</v>
      </c>
      <c r="I5" s="437"/>
      <c r="J5" s="437"/>
      <c r="K5" s="438"/>
    </row>
    <row r="6" spans="1:52" x14ac:dyDescent="0.35">
      <c r="B6" s="42" t="s">
        <v>110</v>
      </c>
      <c r="C6" s="440">
        <v>0.23</v>
      </c>
      <c r="D6" s="437"/>
      <c r="E6" s="437"/>
      <c r="F6" s="438"/>
      <c r="G6" s="26" t="s">
        <v>111</v>
      </c>
      <c r="H6" s="433">
        <v>0.24</v>
      </c>
      <c r="I6" s="434"/>
      <c r="J6" s="434"/>
      <c r="K6" s="435"/>
    </row>
    <row r="7" spans="1:52" ht="47.5" customHeight="1" x14ac:dyDescent="0.35">
      <c r="B7" s="414" t="s">
        <v>117</v>
      </c>
      <c r="C7" s="427" t="s">
        <v>113</v>
      </c>
      <c r="D7" s="428"/>
      <c r="E7" s="428"/>
      <c r="F7" s="429"/>
      <c r="G7" s="427" t="s">
        <v>234</v>
      </c>
      <c r="H7" s="428"/>
      <c r="I7" s="428"/>
      <c r="J7" s="428"/>
      <c r="K7" s="429"/>
    </row>
    <row r="8" spans="1:52" ht="100" customHeight="1" x14ac:dyDescent="0.35">
      <c r="B8" s="415"/>
      <c r="C8" s="427" t="s">
        <v>125</v>
      </c>
      <c r="D8" s="428"/>
      <c r="E8" s="428"/>
      <c r="F8" s="429"/>
      <c r="G8" s="427" t="s">
        <v>235</v>
      </c>
      <c r="H8" s="428"/>
      <c r="I8" s="428"/>
      <c r="J8" s="428"/>
      <c r="K8" s="429"/>
    </row>
    <row r="9" spans="1:52" ht="49" customHeight="1" x14ac:dyDescent="0.35">
      <c r="B9" s="416"/>
      <c r="C9" s="430" t="s">
        <v>236</v>
      </c>
      <c r="D9" s="431"/>
      <c r="E9" s="431"/>
      <c r="F9" s="432"/>
      <c r="G9" s="427" t="s">
        <v>237</v>
      </c>
      <c r="H9" s="428"/>
      <c r="I9" s="428"/>
      <c r="J9" s="428"/>
      <c r="K9" s="429"/>
    </row>
    <row r="10" spans="1:52" x14ac:dyDescent="0.35">
      <c r="B10" s="1"/>
      <c r="C10" s="1"/>
      <c r="D10" s="319"/>
      <c r="E10" s="319"/>
      <c r="F10" s="319"/>
      <c r="G10" s="319"/>
      <c r="H10" s="319"/>
      <c r="I10" s="319"/>
      <c r="J10" s="319"/>
    </row>
    <row r="11" spans="1:52" ht="15" thickBot="1" x14ac:dyDescent="0.4"/>
    <row r="12" spans="1:52" s="3" customFormat="1" ht="14.5" customHeight="1" thickBot="1" x14ac:dyDescent="0.35">
      <c r="B12" s="444" t="s">
        <v>382</v>
      </c>
      <c r="C12" s="445"/>
      <c r="D12" s="445"/>
      <c r="E12" s="445"/>
      <c r="F12" s="445"/>
      <c r="G12" s="445"/>
      <c r="H12" s="445"/>
      <c r="I12" s="445"/>
      <c r="J12" s="446"/>
      <c r="K12" s="441" t="s">
        <v>105</v>
      </c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442"/>
      <c r="W12" s="442"/>
      <c r="X12" s="442"/>
      <c r="Y12" s="442"/>
      <c r="Z12" s="442"/>
      <c r="AA12" s="442"/>
      <c r="AB12" s="442"/>
      <c r="AC12" s="442"/>
      <c r="AD12" s="442"/>
      <c r="AE12" s="442"/>
      <c r="AF12" s="442"/>
      <c r="AG12" s="442"/>
      <c r="AH12" s="442"/>
      <c r="AI12" s="442"/>
      <c r="AJ12" s="442"/>
      <c r="AK12" s="442"/>
      <c r="AL12" s="442"/>
      <c r="AM12" s="442"/>
      <c r="AN12" s="442"/>
      <c r="AO12" s="442"/>
      <c r="AP12" s="442"/>
      <c r="AQ12" s="442"/>
      <c r="AR12" s="442"/>
      <c r="AS12" s="442"/>
      <c r="AT12" s="442"/>
      <c r="AU12" s="442"/>
      <c r="AV12" s="442"/>
      <c r="AW12" s="442"/>
      <c r="AX12" s="443"/>
      <c r="AY12" s="32"/>
    </row>
    <row r="13" spans="1:52" s="3" customFormat="1" ht="39.5" thickBot="1" x14ac:dyDescent="0.35">
      <c r="A13" s="2" t="s">
        <v>0</v>
      </c>
      <c r="B13" s="21" t="s">
        <v>1</v>
      </c>
      <c r="C13" s="22" t="s">
        <v>2</v>
      </c>
      <c r="D13" s="22" t="s">
        <v>3</v>
      </c>
      <c r="E13" s="22" t="s">
        <v>4</v>
      </c>
      <c r="F13" s="22" t="s">
        <v>5</v>
      </c>
      <c r="G13" s="22" t="s">
        <v>6</v>
      </c>
      <c r="H13" s="22" t="s">
        <v>7</v>
      </c>
      <c r="I13" s="22" t="s">
        <v>8</v>
      </c>
      <c r="J13" s="24" t="s">
        <v>9</v>
      </c>
      <c r="K13" s="43">
        <v>44136</v>
      </c>
      <c r="L13" s="43">
        <v>44166</v>
      </c>
      <c r="M13" s="43">
        <v>44197</v>
      </c>
      <c r="N13" s="43">
        <v>44228</v>
      </c>
      <c r="O13" s="43">
        <v>44256</v>
      </c>
      <c r="P13" s="43">
        <v>44287</v>
      </c>
      <c r="Q13" s="43">
        <v>44317</v>
      </c>
      <c r="R13" s="43">
        <v>44348</v>
      </c>
      <c r="S13" s="43">
        <v>44378</v>
      </c>
      <c r="T13" s="43">
        <v>44409</v>
      </c>
      <c r="U13" s="43">
        <v>44440</v>
      </c>
      <c r="V13" s="43">
        <v>44470</v>
      </c>
      <c r="W13" s="43">
        <v>44501</v>
      </c>
      <c r="X13" s="43">
        <v>44531</v>
      </c>
      <c r="Y13" s="43">
        <v>44562</v>
      </c>
      <c r="Z13" s="43">
        <v>44593</v>
      </c>
      <c r="AA13" s="43">
        <v>44621</v>
      </c>
      <c r="AB13" s="43">
        <v>44652</v>
      </c>
      <c r="AC13" s="43">
        <v>44682</v>
      </c>
      <c r="AD13" s="43">
        <v>44713</v>
      </c>
      <c r="AE13" s="43">
        <v>44743</v>
      </c>
      <c r="AF13" s="43">
        <v>44774</v>
      </c>
      <c r="AG13" s="43">
        <v>44805</v>
      </c>
      <c r="AH13" s="43">
        <v>44835</v>
      </c>
      <c r="AI13" s="43">
        <v>44866</v>
      </c>
      <c r="AJ13" s="43">
        <v>44896</v>
      </c>
      <c r="AK13" s="43">
        <v>44927</v>
      </c>
      <c r="AL13" s="43">
        <v>44958</v>
      </c>
      <c r="AM13" s="43">
        <v>44986</v>
      </c>
      <c r="AN13" s="43">
        <v>45017</v>
      </c>
      <c r="AO13" s="43">
        <v>45047</v>
      </c>
      <c r="AP13" s="43">
        <v>45078</v>
      </c>
      <c r="AQ13" s="43">
        <v>45108</v>
      </c>
      <c r="AR13" s="43">
        <v>45139</v>
      </c>
      <c r="AS13" s="43">
        <v>45170</v>
      </c>
      <c r="AT13" s="43">
        <v>45200</v>
      </c>
      <c r="AU13" s="43">
        <v>45231</v>
      </c>
      <c r="AV13" s="43">
        <v>45261</v>
      </c>
      <c r="AW13" s="43">
        <v>45292</v>
      </c>
      <c r="AX13" s="44">
        <v>45323</v>
      </c>
      <c r="AY13" s="32"/>
      <c r="AZ13" s="195" t="s">
        <v>106</v>
      </c>
    </row>
    <row r="14" spans="1:52" s="3" customFormat="1" ht="13" x14ac:dyDescent="0.3">
      <c r="A14" s="53" t="s">
        <v>94</v>
      </c>
      <c r="B14" s="447" t="s">
        <v>442</v>
      </c>
      <c r="C14" s="451" t="s">
        <v>238</v>
      </c>
      <c r="D14" s="453" t="s">
        <v>96</v>
      </c>
      <c r="E14" s="455">
        <v>44348</v>
      </c>
      <c r="F14" s="455">
        <v>45351</v>
      </c>
      <c r="G14" s="460">
        <v>26494666</v>
      </c>
      <c r="H14" s="460">
        <v>26494666</v>
      </c>
      <c r="I14" s="103"/>
      <c r="J14" s="464" t="s">
        <v>97</v>
      </c>
      <c r="K14" s="158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5">
        <v>3100000</v>
      </c>
      <c r="S14" s="155">
        <v>2066666</v>
      </c>
      <c r="T14" s="155">
        <v>1033334</v>
      </c>
      <c r="U14" s="155">
        <v>1033334</v>
      </c>
      <c r="V14" s="155">
        <v>1860000</v>
      </c>
      <c r="W14" s="155">
        <v>1860000</v>
      </c>
      <c r="X14" s="155">
        <v>930000</v>
      </c>
      <c r="Y14" s="155">
        <v>1395000</v>
      </c>
      <c r="Z14" s="155">
        <v>1395000</v>
      </c>
      <c r="AA14" s="155">
        <v>1550000</v>
      </c>
      <c r="AB14" s="155">
        <v>1550000</v>
      </c>
      <c r="AC14" s="155">
        <v>1550000</v>
      </c>
      <c r="AD14" s="154">
        <v>0</v>
      </c>
      <c r="AE14" s="154">
        <v>0</v>
      </c>
      <c r="AF14" s="154">
        <v>0</v>
      </c>
      <c r="AG14" s="154">
        <v>0</v>
      </c>
      <c r="AH14" s="154">
        <v>0</v>
      </c>
      <c r="AI14" s="154">
        <v>330666</v>
      </c>
      <c r="AJ14" s="154">
        <v>1550000</v>
      </c>
      <c r="AK14" s="154">
        <v>1550000</v>
      </c>
      <c r="AL14" s="154">
        <v>1550000</v>
      </c>
      <c r="AM14" s="154">
        <v>620000</v>
      </c>
      <c r="AN14" s="154">
        <v>542500</v>
      </c>
      <c r="AO14" s="154">
        <v>0</v>
      </c>
      <c r="AP14" s="154">
        <v>0</v>
      </c>
      <c r="AQ14" s="154">
        <v>0</v>
      </c>
      <c r="AR14" s="154">
        <v>0</v>
      </c>
      <c r="AS14" s="154">
        <v>0</v>
      </c>
      <c r="AT14" s="154">
        <v>0</v>
      </c>
      <c r="AU14" s="154">
        <v>0</v>
      </c>
      <c r="AV14" s="154">
        <v>552833</v>
      </c>
      <c r="AW14" s="154">
        <v>475333</v>
      </c>
      <c r="AX14" s="156">
        <v>0</v>
      </c>
      <c r="AY14" s="161">
        <f t="shared" ref="AY14:AY45" si="0">SUM(K14:AX14)</f>
        <v>26494666</v>
      </c>
      <c r="AZ14" s="276">
        <f>SUM(K14:AX14)</f>
        <v>26494666</v>
      </c>
    </row>
    <row r="15" spans="1:52" s="3" customFormat="1" ht="13" x14ac:dyDescent="0.3">
      <c r="A15" s="53"/>
      <c r="B15" s="448"/>
      <c r="C15" s="452"/>
      <c r="D15" s="454"/>
      <c r="E15" s="456"/>
      <c r="F15" s="456"/>
      <c r="G15" s="461"/>
      <c r="H15" s="461"/>
      <c r="I15" s="55"/>
      <c r="J15" s="465"/>
      <c r="K15" s="147"/>
      <c r="L15" s="59"/>
      <c r="M15" s="59"/>
      <c r="N15" s="59"/>
      <c r="O15" s="59"/>
      <c r="P15" s="59"/>
      <c r="Q15" s="59"/>
      <c r="R15" s="60">
        <v>3100000</v>
      </c>
      <c r="S15" s="60">
        <v>2066667</v>
      </c>
      <c r="T15" s="60">
        <v>1033334</v>
      </c>
      <c r="U15" s="60">
        <v>1033334</v>
      </c>
      <c r="V15" s="60">
        <v>1860000</v>
      </c>
      <c r="W15" s="60">
        <v>1860000</v>
      </c>
      <c r="X15" s="60">
        <v>930000</v>
      </c>
      <c r="Y15" s="60">
        <v>1395000</v>
      </c>
      <c r="Z15" s="60">
        <v>1395000</v>
      </c>
      <c r="AA15" s="60">
        <v>1550000</v>
      </c>
      <c r="AB15" s="60">
        <v>1550000</v>
      </c>
      <c r="AC15" s="60">
        <v>1550000</v>
      </c>
      <c r="AD15" s="59"/>
      <c r="AE15" s="59"/>
      <c r="AF15" s="59"/>
      <c r="AG15" s="59"/>
      <c r="AH15" s="59"/>
      <c r="AI15" s="59">
        <v>330666</v>
      </c>
      <c r="AJ15" s="59">
        <v>1550000</v>
      </c>
      <c r="AK15" s="59">
        <v>1550000</v>
      </c>
      <c r="AL15" s="59">
        <v>1550000</v>
      </c>
      <c r="AM15" s="59">
        <v>620000</v>
      </c>
      <c r="AN15" s="59">
        <v>542500</v>
      </c>
      <c r="AO15" s="59"/>
      <c r="AP15" s="59"/>
      <c r="AQ15" s="59"/>
      <c r="AR15" s="59"/>
      <c r="AS15" s="59"/>
      <c r="AT15" s="59"/>
      <c r="AU15" s="59"/>
      <c r="AV15" s="59"/>
      <c r="AW15" s="59"/>
      <c r="AX15" s="150"/>
      <c r="AY15" s="161">
        <f t="shared" si="0"/>
        <v>25466501</v>
      </c>
      <c r="AZ15" s="277">
        <f t="shared" ref="AZ15:AZ78" si="1">SUM(K15:AX15)</f>
        <v>25466501</v>
      </c>
    </row>
    <row r="16" spans="1:52" s="3" customFormat="1" ht="13" x14ac:dyDescent="0.3">
      <c r="A16" s="53"/>
      <c r="B16" s="472" t="s">
        <v>444</v>
      </c>
      <c r="C16" s="473" t="s">
        <v>443</v>
      </c>
      <c r="D16" s="454" t="s">
        <v>96</v>
      </c>
      <c r="E16" s="456">
        <v>44348</v>
      </c>
      <c r="F16" s="456">
        <v>45351</v>
      </c>
      <c r="G16" s="474">
        <v>18944657</v>
      </c>
      <c r="H16" s="474">
        <v>18944657</v>
      </c>
      <c r="I16" s="55"/>
      <c r="J16" s="465" t="s">
        <v>135</v>
      </c>
      <c r="K16" s="146">
        <v>1525023</v>
      </c>
      <c r="L16" s="57">
        <v>1525023</v>
      </c>
      <c r="M16" s="57">
        <v>1525023</v>
      </c>
      <c r="N16" s="57">
        <v>1525023</v>
      </c>
      <c r="O16" s="57">
        <v>2287535</v>
      </c>
      <c r="P16" s="57">
        <v>2058781</v>
      </c>
      <c r="Q16" s="57">
        <v>2058781</v>
      </c>
      <c r="R16" s="58">
        <v>748648</v>
      </c>
      <c r="S16" s="58">
        <v>374324</v>
      </c>
      <c r="T16" s="58">
        <v>427799</v>
      </c>
      <c r="U16" s="58">
        <v>265488</v>
      </c>
      <c r="V16" s="58">
        <v>265488</v>
      </c>
      <c r="W16" s="58">
        <v>200543</v>
      </c>
      <c r="X16" s="58">
        <v>200543</v>
      </c>
      <c r="Y16" s="58">
        <v>178261</v>
      </c>
      <c r="Z16" s="58">
        <v>178261</v>
      </c>
      <c r="AA16" s="58">
        <v>160435</v>
      </c>
      <c r="AB16" s="58">
        <v>145850</v>
      </c>
      <c r="AC16" s="58">
        <v>200543</v>
      </c>
      <c r="AD16" s="57">
        <v>229192</v>
      </c>
      <c r="AE16" s="57">
        <v>229192</v>
      </c>
      <c r="AF16" s="57">
        <v>802173</v>
      </c>
      <c r="AG16" s="57">
        <v>802173</v>
      </c>
      <c r="AH16" s="57">
        <v>802171</v>
      </c>
      <c r="AI16" s="57">
        <v>228384</v>
      </c>
      <c r="AJ16" s="57">
        <v>0</v>
      </c>
      <c r="AK16" s="57">
        <v>0</v>
      </c>
      <c r="AL16" s="57">
        <v>0</v>
      </c>
      <c r="AM16" s="57">
        <v>0</v>
      </c>
      <c r="AN16" s="57">
        <v>0</v>
      </c>
      <c r="AO16" s="57">
        <v>0</v>
      </c>
      <c r="AP16" s="57">
        <v>0</v>
      </c>
      <c r="AQ16" s="57">
        <v>0</v>
      </c>
      <c r="AR16" s="57">
        <v>0</v>
      </c>
      <c r="AS16" s="57">
        <v>0</v>
      </c>
      <c r="AT16" s="57">
        <v>0</v>
      </c>
      <c r="AU16" s="57">
        <v>0</v>
      </c>
      <c r="AV16" s="57">
        <v>0</v>
      </c>
      <c r="AW16" s="57">
        <v>0</v>
      </c>
      <c r="AX16" s="149">
        <v>0</v>
      </c>
      <c r="AY16" s="161">
        <f t="shared" si="0"/>
        <v>18944657</v>
      </c>
      <c r="AZ16" s="277">
        <f t="shared" si="1"/>
        <v>18944657</v>
      </c>
    </row>
    <row r="17" spans="1:52" s="3" customFormat="1" ht="13" x14ac:dyDescent="0.3">
      <c r="A17" s="53"/>
      <c r="B17" s="472"/>
      <c r="C17" s="473"/>
      <c r="D17" s="454"/>
      <c r="E17" s="456"/>
      <c r="F17" s="456"/>
      <c r="G17" s="474"/>
      <c r="H17" s="474"/>
      <c r="I17" s="55"/>
      <c r="J17" s="465"/>
      <c r="K17" s="147"/>
      <c r="L17" s="59">
        <v>3050046</v>
      </c>
      <c r="M17" s="59"/>
      <c r="N17" s="59">
        <v>3050046</v>
      </c>
      <c r="O17" s="59"/>
      <c r="P17" s="59">
        <v>4346315</v>
      </c>
      <c r="Q17" s="59"/>
      <c r="R17" s="60">
        <v>2807429</v>
      </c>
      <c r="S17" s="60"/>
      <c r="T17" s="60">
        <v>802123</v>
      </c>
      <c r="U17" s="60"/>
      <c r="V17" s="60">
        <v>530976</v>
      </c>
      <c r="W17" s="60"/>
      <c r="X17" s="60">
        <v>401086</v>
      </c>
      <c r="Y17" s="60"/>
      <c r="Z17" s="60">
        <v>356522</v>
      </c>
      <c r="AA17" s="60"/>
      <c r="AB17" s="60">
        <v>306285</v>
      </c>
      <c r="AC17" s="60"/>
      <c r="AD17" s="59">
        <v>429735</v>
      </c>
      <c r="AE17" s="59"/>
      <c r="AF17" s="59">
        <v>1031365</v>
      </c>
      <c r="AG17" s="59"/>
      <c r="AH17" s="59">
        <v>1604344</v>
      </c>
      <c r="AI17" s="59"/>
      <c r="AJ17" s="59">
        <v>228384</v>
      </c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150"/>
      <c r="AY17" s="161">
        <f t="shared" si="0"/>
        <v>18944656</v>
      </c>
      <c r="AZ17" s="277">
        <f t="shared" si="1"/>
        <v>18944656</v>
      </c>
    </row>
    <row r="18" spans="1:52" s="3" customFormat="1" ht="39" customHeight="1" x14ac:dyDescent="0.3">
      <c r="A18" s="53"/>
      <c r="B18" s="448" t="s">
        <v>440</v>
      </c>
      <c r="C18" s="457" t="s">
        <v>239</v>
      </c>
      <c r="D18" s="454" t="s">
        <v>96</v>
      </c>
      <c r="E18" s="456">
        <v>44409</v>
      </c>
      <c r="F18" s="456">
        <v>45351</v>
      </c>
      <c r="G18" s="461">
        <v>64320000</v>
      </c>
      <c r="H18" s="461">
        <v>64320000</v>
      </c>
      <c r="I18" s="55"/>
      <c r="J18" s="465" t="s">
        <v>97</v>
      </c>
      <c r="K18" s="146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8">
        <v>0</v>
      </c>
      <c r="S18" s="58">
        <v>0</v>
      </c>
      <c r="T18" s="58">
        <v>950000</v>
      </c>
      <c r="U18" s="58"/>
      <c r="V18" s="58">
        <v>1520000</v>
      </c>
      <c r="W18" s="58">
        <v>1140000</v>
      </c>
      <c r="X18" s="58">
        <v>760000</v>
      </c>
      <c r="Y18" s="58">
        <v>760000</v>
      </c>
      <c r="Z18" s="58">
        <v>0</v>
      </c>
      <c r="AA18" s="58">
        <v>15557359</v>
      </c>
      <c r="AB18" s="58">
        <v>0</v>
      </c>
      <c r="AC18" s="58">
        <v>0</v>
      </c>
      <c r="AD18" s="57">
        <v>0</v>
      </c>
      <c r="AE18" s="57">
        <v>5614894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7">
        <v>0</v>
      </c>
      <c r="AQ18" s="57">
        <v>0</v>
      </c>
      <c r="AR18" s="57">
        <v>0</v>
      </c>
      <c r="AS18" s="57">
        <v>0</v>
      </c>
      <c r="AT18" s="57">
        <v>36497747</v>
      </c>
      <c r="AU18" s="57">
        <v>0</v>
      </c>
      <c r="AV18" s="57">
        <v>760000</v>
      </c>
      <c r="AW18" s="57">
        <v>760000</v>
      </c>
      <c r="AX18" s="149">
        <v>0</v>
      </c>
      <c r="AY18" s="161">
        <f t="shared" si="0"/>
        <v>64320000</v>
      </c>
      <c r="AZ18" s="277">
        <f t="shared" si="1"/>
        <v>64320000</v>
      </c>
    </row>
    <row r="19" spans="1:52" s="3" customFormat="1" ht="13" x14ac:dyDescent="0.3">
      <c r="A19" s="53"/>
      <c r="B19" s="448"/>
      <c r="C19" s="457"/>
      <c r="D19" s="454"/>
      <c r="E19" s="456"/>
      <c r="F19" s="456"/>
      <c r="G19" s="461"/>
      <c r="H19" s="461"/>
      <c r="I19" s="55"/>
      <c r="J19" s="465"/>
      <c r="K19" s="147"/>
      <c r="L19" s="59"/>
      <c r="M19" s="59"/>
      <c r="N19" s="59"/>
      <c r="O19" s="59"/>
      <c r="P19" s="59"/>
      <c r="Q19" s="59"/>
      <c r="R19" s="60"/>
      <c r="S19" s="60"/>
      <c r="T19" s="60">
        <v>950000</v>
      </c>
      <c r="U19" s="60"/>
      <c r="V19" s="60">
        <v>1520000</v>
      </c>
      <c r="W19" s="60">
        <v>1140000</v>
      </c>
      <c r="X19" s="60">
        <v>760000</v>
      </c>
      <c r="Y19" s="60">
        <v>760000</v>
      </c>
      <c r="Z19" s="60"/>
      <c r="AA19" s="60">
        <v>15557359</v>
      </c>
      <c r="AB19" s="60"/>
      <c r="AC19" s="60"/>
      <c r="AD19" s="59"/>
      <c r="AE19" s="59">
        <v>5614894</v>
      </c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150"/>
      <c r="AY19" s="161">
        <f t="shared" si="0"/>
        <v>26302253</v>
      </c>
      <c r="AZ19" s="277">
        <f t="shared" si="1"/>
        <v>26302253</v>
      </c>
    </row>
    <row r="20" spans="1:52" s="3" customFormat="1" ht="26.5" customHeight="1" x14ac:dyDescent="0.3">
      <c r="A20" s="53"/>
      <c r="B20" s="448" t="s">
        <v>441</v>
      </c>
      <c r="C20" s="457" t="s">
        <v>439</v>
      </c>
      <c r="D20" s="454" t="s">
        <v>96</v>
      </c>
      <c r="E20" s="456">
        <v>44409</v>
      </c>
      <c r="F20" s="456">
        <v>45351</v>
      </c>
      <c r="G20" s="461">
        <v>5019238</v>
      </c>
      <c r="H20" s="461">
        <v>5019238</v>
      </c>
      <c r="I20" s="55"/>
      <c r="J20" s="465" t="s">
        <v>135</v>
      </c>
      <c r="K20" s="146">
        <v>1525023</v>
      </c>
      <c r="L20" s="57">
        <v>1525023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8">
        <v>374324</v>
      </c>
      <c r="T20" s="58">
        <v>0</v>
      </c>
      <c r="U20" s="58">
        <v>265488</v>
      </c>
      <c r="V20" s="58">
        <v>265488</v>
      </c>
      <c r="W20" s="58">
        <v>200543</v>
      </c>
      <c r="X20" s="58">
        <v>200543</v>
      </c>
      <c r="Y20" s="58">
        <v>178261</v>
      </c>
      <c r="Z20" s="58">
        <v>178261</v>
      </c>
      <c r="AA20" s="58">
        <v>160434</v>
      </c>
      <c r="AB20" s="58">
        <v>145850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7">
        <v>0</v>
      </c>
      <c r="AQ20" s="57">
        <v>0</v>
      </c>
      <c r="AR20" s="57">
        <v>0</v>
      </c>
      <c r="AS20" s="57">
        <v>0</v>
      </c>
      <c r="AT20" s="57">
        <v>0</v>
      </c>
      <c r="AU20" s="57">
        <v>0</v>
      </c>
      <c r="AV20" s="57">
        <v>0</v>
      </c>
      <c r="AW20" s="57">
        <v>0</v>
      </c>
      <c r="AX20" s="149">
        <v>0</v>
      </c>
      <c r="AY20" s="161">
        <f t="shared" si="0"/>
        <v>5019238</v>
      </c>
      <c r="AZ20" s="277">
        <f t="shared" si="1"/>
        <v>5019238</v>
      </c>
    </row>
    <row r="21" spans="1:52" s="3" customFormat="1" ht="13" x14ac:dyDescent="0.3">
      <c r="A21" s="53"/>
      <c r="B21" s="448"/>
      <c r="C21" s="457"/>
      <c r="D21" s="454"/>
      <c r="E21" s="456"/>
      <c r="F21" s="456"/>
      <c r="G21" s="461"/>
      <c r="H21" s="461"/>
      <c r="I21" s="55"/>
      <c r="J21" s="465"/>
      <c r="K21" s="147"/>
      <c r="L21" s="59">
        <v>3050046</v>
      </c>
      <c r="M21" s="59"/>
      <c r="N21" s="59"/>
      <c r="O21" s="59"/>
      <c r="P21" s="59"/>
      <c r="Q21" s="59"/>
      <c r="R21" s="60"/>
      <c r="S21" s="60"/>
      <c r="T21" s="60">
        <v>374324</v>
      </c>
      <c r="U21" s="60"/>
      <c r="V21" s="60">
        <v>530976</v>
      </c>
      <c r="W21" s="60"/>
      <c r="X21" s="60">
        <v>401086</v>
      </c>
      <c r="Y21" s="60"/>
      <c r="Z21" s="60">
        <v>356522</v>
      </c>
      <c r="AA21" s="60"/>
      <c r="AB21" s="60">
        <v>306284</v>
      </c>
      <c r="AC21" s="60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150"/>
      <c r="AY21" s="161">
        <f t="shared" si="0"/>
        <v>5019238</v>
      </c>
      <c r="AZ21" s="277">
        <f t="shared" si="1"/>
        <v>5019238</v>
      </c>
    </row>
    <row r="22" spans="1:52" s="3" customFormat="1" ht="39" customHeight="1" x14ac:dyDescent="0.3">
      <c r="A22" s="53" t="s">
        <v>94</v>
      </c>
      <c r="B22" s="448" t="s">
        <v>257</v>
      </c>
      <c r="C22" s="452" t="s">
        <v>240</v>
      </c>
      <c r="D22" s="454" t="s">
        <v>96</v>
      </c>
      <c r="E22" s="456">
        <v>44378</v>
      </c>
      <c r="F22" s="456">
        <v>45351</v>
      </c>
      <c r="G22" s="461">
        <v>29170141.666666668</v>
      </c>
      <c r="H22" s="461">
        <v>29170141.666666668</v>
      </c>
      <c r="I22" s="55"/>
      <c r="J22" s="465" t="s">
        <v>97</v>
      </c>
      <c r="K22" s="146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8"/>
      <c r="S22" s="58">
        <v>2066666</v>
      </c>
      <c r="T22" s="58">
        <v>1033333.3333333334</v>
      </c>
      <c r="U22" s="58">
        <v>1033333.3333333334</v>
      </c>
      <c r="V22" s="58">
        <v>1620000</v>
      </c>
      <c r="W22" s="58">
        <v>2000000</v>
      </c>
      <c r="X22" s="58">
        <v>1000000</v>
      </c>
      <c r="Y22" s="58">
        <v>690000</v>
      </c>
      <c r="Z22" s="58">
        <v>0</v>
      </c>
      <c r="AA22" s="58"/>
      <c r="AB22" s="58">
        <v>0</v>
      </c>
      <c r="AC22" s="58"/>
      <c r="AD22" s="57">
        <v>0</v>
      </c>
      <c r="AE22" s="57">
        <v>0</v>
      </c>
      <c r="AF22" s="57">
        <v>0</v>
      </c>
      <c r="AG22" s="57">
        <v>19726809</v>
      </c>
      <c r="AH22" s="57">
        <v>0</v>
      </c>
      <c r="AI22" s="57">
        <v>0</v>
      </c>
      <c r="AJ22" s="57">
        <v>0</v>
      </c>
      <c r="AK22" s="57">
        <v>0</v>
      </c>
      <c r="AL22" s="57">
        <v>0</v>
      </c>
      <c r="AM22" s="57">
        <v>0</v>
      </c>
      <c r="AN22" s="57">
        <v>0</v>
      </c>
      <c r="AO22" s="57">
        <v>0</v>
      </c>
      <c r="AP22" s="57">
        <v>0</v>
      </c>
      <c r="AQ22" s="57">
        <v>0</v>
      </c>
      <c r="AR22" s="57">
        <v>0</v>
      </c>
      <c r="AS22" s="57">
        <v>0</v>
      </c>
      <c r="AT22" s="57">
        <v>0</v>
      </c>
      <c r="AU22" s="57">
        <v>0</v>
      </c>
      <c r="AV22" s="57">
        <v>0</v>
      </c>
      <c r="AW22" s="57">
        <v>0</v>
      </c>
      <c r="AX22" s="149">
        <v>0</v>
      </c>
      <c r="AY22" s="163">
        <f t="shared" si="0"/>
        <v>29170141.666666668</v>
      </c>
      <c r="AZ22" s="277">
        <f t="shared" si="1"/>
        <v>29170141.666666668</v>
      </c>
    </row>
    <row r="23" spans="1:52" s="3" customFormat="1" ht="13" x14ac:dyDescent="0.3">
      <c r="A23" s="53"/>
      <c r="B23" s="448"/>
      <c r="C23" s="452"/>
      <c r="D23" s="454"/>
      <c r="E23" s="456"/>
      <c r="F23" s="456"/>
      <c r="G23" s="461"/>
      <c r="H23" s="461"/>
      <c r="I23" s="55"/>
      <c r="J23" s="465"/>
      <c r="K23" s="147"/>
      <c r="L23" s="59"/>
      <c r="M23" s="59"/>
      <c r="N23" s="59"/>
      <c r="O23" s="59"/>
      <c r="P23" s="59"/>
      <c r="Q23" s="59"/>
      <c r="R23" s="60"/>
      <c r="S23" s="60">
        <v>2066666</v>
      </c>
      <c r="T23" s="60">
        <v>1033334</v>
      </c>
      <c r="U23" s="60">
        <v>1033334</v>
      </c>
      <c r="V23" s="60">
        <v>1620000</v>
      </c>
      <c r="W23" s="60">
        <v>2000000</v>
      </c>
      <c r="X23" s="60">
        <v>1000000</v>
      </c>
      <c r="Y23" s="60">
        <v>690000</v>
      </c>
      <c r="Z23" s="60"/>
      <c r="AA23" s="60"/>
      <c r="AB23" s="60"/>
      <c r="AC23" s="60"/>
      <c r="AD23" s="59"/>
      <c r="AE23" s="59"/>
      <c r="AF23" s="59"/>
      <c r="AG23" s="59">
        <v>19726809</v>
      </c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150"/>
      <c r="AY23" s="163">
        <f t="shared" si="0"/>
        <v>29170143</v>
      </c>
      <c r="AZ23" s="277">
        <f t="shared" si="1"/>
        <v>29170143</v>
      </c>
    </row>
    <row r="24" spans="1:52" s="3" customFormat="1" ht="20.5" customHeight="1" x14ac:dyDescent="0.3">
      <c r="A24" s="53"/>
      <c r="B24" s="448"/>
      <c r="C24" s="452" t="s">
        <v>445</v>
      </c>
      <c r="D24" s="454" t="s">
        <v>96</v>
      </c>
      <c r="E24" s="456">
        <v>44378</v>
      </c>
      <c r="F24" s="456">
        <v>45351</v>
      </c>
      <c r="G24" s="339">
        <v>2661092</v>
      </c>
      <c r="H24" s="339">
        <v>2661092</v>
      </c>
      <c r="I24" s="55"/>
      <c r="J24" s="465" t="s">
        <v>135</v>
      </c>
      <c r="K24" s="146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8">
        <v>748648</v>
      </c>
      <c r="S24" s="58">
        <v>374324</v>
      </c>
      <c r="T24" s="58">
        <v>427798</v>
      </c>
      <c r="U24" s="58">
        <v>265487</v>
      </c>
      <c r="V24" s="58">
        <v>265488</v>
      </c>
      <c r="W24" s="58">
        <v>200543</v>
      </c>
      <c r="X24" s="58">
        <v>200543</v>
      </c>
      <c r="Y24" s="58">
        <v>178261</v>
      </c>
      <c r="Z24" s="58">
        <v>0</v>
      </c>
      <c r="AA24" s="58">
        <v>0</v>
      </c>
      <c r="AB24" s="58">
        <v>0</v>
      </c>
      <c r="AC24" s="58">
        <v>0</v>
      </c>
      <c r="AD24" s="58">
        <v>0</v>
      </c>
      <c r="AE24" s="58">
        <v>0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58">
        <v>0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157">
        <v>0</v>
      </c>
      <c r="AY24" s="161">
        <f t="shared" si="0"/>
        <v>2661092</v>
      </c>
      <c r="AZ24" s="277">
        <f t="shared" si="1"/>
        <v>2661092</v>
      </c>
    </row>
    <row r="25" spans="1:52" s="3" customFormat="1" ht="29" customHeight="1" x14ac:dyDescent="0.3">
      <c r="A25" s="53"/>
      <c r="B25" s="448"/>
      <c r="C25" s="452"/>
      <c r="D25" s="454"/>
      <c r="E25" s="456"/>
      <c r="F25" s="456"/>
      <c r="G25" s="339"/>
      <c r="H25" s="339"/>
      <c r="I25" s="55"/>
      <c r="J25" s="465"/>
      <c r="K25" s="147"/>
      <c r="L25" s="59"/>
      <c r="M25" s="59"/>
      <c r="N25" s="59"/>
      <c r="O25" s="59"/>
      <c r="P25" s="59"/>
      <c r="Q25" s="59"/>
      <c r="R25" s="60">
        <v>748648</v>
      </c>
      <c r="S25" s="60"/>
      <c r="T25" s="60">
        <v>802122</v>
      </c>
      <c r="U25" s="60"/>
      <c r="V25" s="60">
        <v>530975</v>
      </c>
      <c r="W25" s="60"/>
      <c r="X25" s="60">
        <v>401086</v>
      </c>
      <c r="Y25" s="60"/>
      <c r="Z25" s="60">
        <v>178261</v>
      </c>
      <c r="AA25" s="60"/>
      <c r="AB25" s="60"/>
      <c r="AC25" s="60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150"/>
      <c r="AY25" s="161">
        <f t="shared" si="0"/>
        <v>2661092</v>
      </c>
      <c r="AZ25" s="277">
        <f t="shared" si="1"/>
        <v>2661092</v>
      </c>
    </row>
    <row r="26" spans="1:52" s="3" customFormat="1" ht="39" customHeight="1" x14ac:dyDescent="0.3">
      <c r="A26" s="53"/>
      <c r="B26" s="448"/>
      <c r="C26" s="452" t="s">
        <v>241</v>
      </c>
      <c r="D26" s="454" t="s">
        <v>96</v>
      </c>
      <c r="E26" s="456">
        <v>45078</v>
      </c>
      <c r="F26" s="456">
        <v>45351</v>
      </c>
      <c r="G26" s="461">
        <v>1244724426.2</v>
      </c>
      <c r="H26" s="461">
        <v>1244724426.2</v>
      </c>
      <c r="I26" s="55"/>
      <c r="J26" s="465" t="s">
        <v>97</v>
      </c>
      <c r="K26" s="146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/>
      <c r="AC26" s="58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0</v>
      </c>
      <c r="AI26" s="57">
        <v>0</v>
      </c>
      <c r="AJ26" s="57">
        <v>0</v>
      </c>
      <c r="AK26" s="57">
        <v>0</v>
      </c>
      <c r="AL26" s="57">
        <v>0</v>
      </c>
      <c r="AM26" s="57">
        <v>0</v>
      </c>
      <c r="AN26" s="57">
        <v>0</v>
      </c>
      <c r="AO26" s="57">
        <v>0</v>
      </c>
      <c r="AP26" s="57">
        <v>0</v>
      </c>
      <c r="AQ26" s="57">
        <v>0</v>
      </c>
      <c r="AR26" s="57">
        <v>0</v>
      </c>
      <c r="AS26" s="57">
        <v>0</v>
      </c>
      <c r="AT26" s="57">
        <v>248820885.20000002</v>
      </c>
      <c r="AU26" s="57">
        <v>0</v>
      </c>
      <c r="AV26" s="57">
        <v>746607322.60000002</v>
      </c>
      <c r="AW26" s="57">
        <v>475333</v>
      </c>
      <c r="AX26" s="149">
        <v>248820885.40000001</v>
      </c>
      <c r="AY26" s="161">
        <f t="shared" si="0"/>
        <v>1244724426.2</v>
      </c>
      <c r="AZ26" s="277">
        <f t="shared" si="1"/>
        <v>1244724426.2</v>
      </c>
    </row>
    <row r="27" spans="1:52" s="3" customFormat="1" ht="13" x14ac:dyDescent="0.3">
      <c r="A27" s="53"/>
      <c r="B27" s="448"/>
      <c r="C27" s="452"/>
      <c r="D27" s="454"/>
      <c r="E27" s="456"/>
      <c r="F27" s="456"/>
      <c r="G27" s="461"/>
      <c r="H27" s="461"/>
      <c r="I27" s="55"/>
      <c r="J27" s="465"/>
      <c r="K27" s="147"/>
      <c r="L27" s="59"/>
      <c r="M27" s="59"/>
      <c r="N27" s="59"/>
      <c r="O27" s="59"/>
      <c r="P27" s="59"/>
      <c r="Q27" s="59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150"/>
      <c r="AY27" s="161">
        <f t="shared" si="0"/>
        <v>0</v>
      </c>
      <c r="AZ27" s="277">
        <f t="shared" si="1"/>
        <v>0</v>
      </c>
    </row>
    <row r="28" spans="1:52" s="3" customFormat="1" ht="23" customHeight="1" x14ac:dyDescent="0.3">
      <c r="A28" s="53"/>
      <c r="B28" s="448"/>
      <c r="C28" s="452" t="s">
        <v>446</v>
      </c>
      <c r="D28" s="454" t="s">
        <v>96</v>
      </c>
      <c r="E28" s="456">
        <v>45078</v>
      </c>
      <c r="F28" s="456">
        <v>45351</v>
      </c>
      <c r="G28" s="461">
        <v>145849</v>
      </c>
      <c r="H28" s="461">
        <v>145849</v>
      </c>
      <c r="I28" s="55"/>
      <c r="J28" s="465" t="s">
        <v>135</v>
      </c>
      <c r="K28" s="146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145849</v>
      </c>
      <c r="AC28" s="58">
        <v>0</v>
      </c>
      <c r="AD28" s="57">
        <v>0</v>
      </c>
      <c r="AE28" s="57">
        <v>0</v>
      </c>
      <c r="AF28" s="57">
        <v>0</v>
      </c>
      <c r="AG28" s="57">
        <v>0</v>
      </c>
      <c r="AH28" s="57">
        <v>0</v>
      </c>
      <c r="AI28" s="57">
        <v>0</v>
      </c>
      <c r="AJ28" s="57">
        <v>0</v>
      </c>
      <c r="AK28" s="57">
        <v>0</v>
      </c>
      <c r="AL28" s="57">
        <v>0</v>
      </c>
      <c r="AM28" s="57">
        <v>0</v>
      </c>
      <c r="AN28" s="57">
        <v>0</v>
      </c>
      <c r="AO28" s="57">
        <v>0</v>
      </c>
      <c r="AP28" s="57">
        <v>0</v>
      </c>
      <c r="AQ28" s="57">
        <v>0</v>
      </c>
      <c r="AR28" s="57">
        <v>0</v>
      </c>
      <c r="AS28" s="57">
        <v>0</v>
      </c>
      <c r="AT28" s="57">
        <v>0</v>
      </c>
      <c r="AU28" s="57">
        <v>0</v>
      </c>
      <c r="AV28" s="57">
        <v>0</v>
      </c>
      <c r="AW28" s="57">
        <v>0</v>
      </c>
      <c r="AX28" s="149">
        <v>0</v>
      </c>
      <c r="AY28" s="161">
        <f t="shared" si="0"/>
        <v>145849</v>
      </c>
      <c r="AZ28" s="277">
        <f t="shared" si="1"/>
        <v>145849</v>
      </c>
    </row>
    <row r="29" spans="1:52" s="3" customFormat="1" ht="18" customHeight="1" x14ac:dyDescent="0.3">
      <c r="A29" s="53"/>
      <c r="B29" s="448"/>
      <c r="C29" s="452"/>
      <c r="D29" s="454"/>
      <c r="E29" s="456"/>
      <c r="F29" s="456"/>
      <c r="G29" s="461"/>
      <c r="H29" s="461"/>
      <c r="I29" s="55"/>
      <c r="J29" s="465"/>
      <c r="K29" s="147"/>
      <c r="L29" s="59"/>
      <c r="M29" s="59"/>
      <c r="N29" s="59"/>
      <c r="O29" s="59"/>
      <c r="P29" s="59"/>
      <c r="Q29" s="59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>
        <v>145894</v>
      </c>
      <c r="AC29" s="60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150"/>
      <c r="AY29" s="161">
        <f t="shared" si="0"/>
        <v>145894</v>
      </c>
      <c r="AZ29" s="277">
        <f t="shared" si="1"/>
        <v>145894</v>
      </c>
    </row>
    <row r="30" spans="1:52" s="3" customFormat="1" ht="13" x14ac:dyDescent="0.3">
      <c r="A30" s="53" t="s">
        <v>94</v>
      </c>
      <c r="B30" s="448" t="s">
        <v>448</v>
      </c>
      <c r="C30" s="452" t="s">
        <v>242</v>
      </c>
      <c r="D30" s="454" t="s">
        <v>96</v>
      </c>
      <c r="E30" s="456">
        <v>44256</v>
      </c>
      <c r="F30" s="456">
        <v>45351</v>
      </c>
      <c r="G30" s="461">
        <v>27900000</v>
      </c>
      <c r="H30" s="461">
        <v>27900000</v>
      </c>
      <c r="I30" s="55"/>
      <c r="J30" s="465" t="s">
        <v>97</v>
      </c>
      <c r="K30" s="146">
        <v>0</v>
      </c>
      <c r="L30" s="57">
        <v>0</v>
      </c>
      <c r="M30" s="57">
        <v>0</v>
      </c>
      <c r="N30" s="57">
        <v>0</v>
      </c>
      <c r="O30" s="57">
        <v>1550000</v>
      </c>
      <c r="P30" s="57">
        <v>1550000</v>
      </c>
      <c r="Q30" s="57">
        <v>1550000</v>
      </c>
      <c r="R30" s="58">
        <v>1550000</v>
      </c>
      <c r="S30" s="58">
        <v>1550000</v>
      </c>
      <c r="T30" s="58">
        <v>1550000</v>
      </c>
      <c r="U30" s="58">
        <v>1550000</v>
      </c>
      <c r="V30" s="58">
        <v>1550000</v>
      </c>
      <c r="W30" s="58">
        <v>1550000</v>
      </c>
      <c r="X30" s="58">
        <v>1550000</v>
      </c>
      <c r="Y30" s="58">
        <v>1550000</v>
      </c>
      <c r="Z30" s="58">
        <v>1447000</v>
      </c>
      <c r="AA30" s="58">
        <v>1292500</v>
      </c>
      <c r="AB30" s="58">
        <v>1550000</v>
      </c>
      <c r="AC30" s="58">
        <v>1550000</v>
      </c>
      <c r="AD30" s="57">
        <v>1550000</v>
      </c>
      <c r="AE30" s="57">
        <v>1550000</v>
      </c>
      <c r="AF30" s="57">
        <v>1910500</v>
      </c>
      <c r="AG30" s="57">
        <v>0</v>
      </c>
      <c r="AH30" s="57">
        <v>0</v>
      </c>
      <c r="AI30" s="57">
        <v>0</v>
      </c>
      <c r="AJ30" s="57">
        <v>0</v>
      </c>
      <c r="AK30" s="57">
        <v>0</v>
      </c>
      <c r="AL30" s="57">
        <v>0</v>
      </c>
      <c r="AM30" s="57">
        <v>0</v>
      </c>
      <c r="AN30" s="57">
        <v>0</v>
      </c>
      <c r="AO30" s="57">
        <v>0</v>
      </c>
      <c r="AP30" s="57"/>
      <c r="AQ30" s="57"/>
      <c r="AR30" s="57"/>
      <c r="AS30" s="57"/>
      <c r="AT30" s="57"/>
      <c r="AU30" s="57"/>
      <c r="AV30" s="57"/>
      <c r="AW30" s="57"/>
      <c r="AX30" s="149"/>
      <c r="AY30" s="161">
        <f t="shared" si="0"/>
        <v>27900000</v>
      </c>
      <c r="AZ30" s="277">
        <f t="shared" si="1"/>
        <v>27900000</v>
      </c>
    </row>
    <row r="31" spans="1:52" s="3" customFormat="1" ht="13" x14ac:dyDescent="0.3">
      <c r="A31" s="53"/>
      <c r="B31" s="448"/>
      <c r="C31" s="452"/>
      <c r="D31" s="454"/>
      <c r="E31" s="456"/>
      <c r="F31" s="456"/>
      <c r="G31" s="461"/>
      <c r="H31" s="461"/>
      <c r="I31" s="55"/>
      <c r="J31" s="465"/>
      <c r="K31" s="147"/>
      <c r="L31" s="59"/>
      <c r="M31" s="59"/>
      <c r="N31" s="59"/>
      <c r="O31" s="59">
        <v>1550000</v>
      </c>
      <c r="P31" s="59">
        <v>1550000</v>
      </c>
      <c r="Q31" s="59">
        <v>1550000</v>
      </c>
      <c r="R31" s="60">
        <v>1550000</v>
      </c>
      <c r="S31" s="60">
        <v>1550000</v>
      </c>
      <c r="T31" s="60">
        <v>1550000</v>
      </c>
      <c r="U31" s="60">
        <v>1550000</v>
      </c>
      <c r="V31" s="60">
        <v>1550000</v>
      </c>
      <c r="W31" s="60">
        <v>1550000</v>
      </c>
      <c r="X31" s="60">
        <v>1550000</v>
      </c>
      <c r="Y31" s="60">
        <v>1550000</v>
      </c>
      <c r="Z31" s="60">
        <v>1447000</v>
      </c>
      <c r="AA31" s="60">
        <v>1292500</v>
      </c>
      <c r="AB31" s="60">
        <v>1550000</v>
      </c>
      <c r="AC31" s="60">
        <v>1550000</v>
      </c>
      <c r="AD31" s="59">
        <v>1550000</v>
      </c>
      <c r="AE31" s="59">
        <v>1550000</v>
      </c>
      <c r="AF31" s="59">
        <v>1910500</v>
      </c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150"/>
      <c r="AY31" s="161">
        <f t="shared" si="0"/>
        <v>27900000</v>
      </c>
      <c r="AZ31" s="277">
        <f t="shared" si="1"/>
        <v>27900000</v>
      </c>
    </row>
    <row r="32" spans="1:52" s="3" customFormat="1" ht="13" x14ac:dyDescent="0.3">
      <c r="A32" s="53"/>
      <c r="B32" s="448" t="s">
        <v>449</v>
      </c>
      <c r="C32" s="452" t="s">
        <v>447</v>
      </c>
      <c r="D32" s="454" t="s">
        <v>96</v>
      </c>
      <c r="E32" s="456">
        <v>44256</v>
      </c>
      <c r="F32" s="456">
        <v>45351</v>
      </c>
      <c r="G32" s="461">
        <v>2418192</v>
      </c>
      <c r="H32" s="461">
        <v>2418192</v>
      </c>
      <c r="I32" s="55"/>
      <c r="J32" s="465" t="s">
        <v>135</v>
      </c>
      <c r="K32" s="146">
        <v>172728</v>
      </c>
      <c r="L32" s="57">
        <v>172728</v>
      </c>
      <c r="M32" s="57">
        <v>172728</v>
      </c>
      <c r="N32" s="57">
        <v>172728</v>
      </c>
      <c r="O32" s="57">
        <v>172728</v>
      </c>
      <c r="P32" s="57">
        <v>155455</v>
      </c>
      <c r="Q32" s="57">
        <v>155455</v>
      </c>
      <c r="R32" s="58">
        <v>113058</v>
      </c>
      <c r="S32" s="58">
        <v>113057</v>
      </c>
      <c r="T32" s="58">
        <v>113058</v>
      </c>
      <c r="U32" s="58">
        <v>82224</v>
      </c>
      <c r="V32" s="58">
        <v>82224</v>
      </c>
      <c r="W32" s="58">
        <v>61669</v>
      </c>
      <c r="X32" s="58">
        <v>61669</v>
      </c>
      <c r="Y32" s="58">
        <v>61669</v>
      </c>
      <c r="Z32" s="58">
        <v>61669</v>
      </c>
      <c r="AA32" s="58">
        <v>61669</v>
      </c>
      <c r="AB32" s="58">
        <v>61669</v>
      </c>
      <c r="AC32" s="58">
        <v>61668</v>
      </c>
      <c r="AD32" s="57">
        <v>61669</v>
      </c>
      <c r="AE32" s="57">
        <v>61669</v>
      </c>
      <c r="AF32" s="57">
        <v>61668</v>
      </c>
      <c r="AG32" s="57">
        <v>61668</v>
      </c>
      <c r="AH32" s="57">
        <v>61665</v>
      </c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149"/>
      <c r="AY32" s="163">
        <f t="shared" si="0"/>
        <v>2418192</v>
      </c>
      <c r="AZ32" s="277">
        <f t="shared" si="1"/>
        <v>2418192</v>
      </c>
    </row>
    <row r="33" spans="1:52" s="3" customFormat="1" ht="13" x14ac:dyDescent="0.3">
      <c r="A33" s="53"/>
      <c r="B33" s="448"/>
      <c r="C33" s="452"/>
      <c r="D33" s="454"/>
      <c r="E33" s="456"/>
      <c r="F33" s="456"/>
      <c r="G33" s="461"/>
      <c r="H33" s="461"/>
      <c r="I33" s="55"/>
      <c r="J33" s="465"/>
      <c r="K33" s="147"/>
      <c r="L33" s="59">
        <v>345456</v>
      </c>
      <c r="M33" s="59"/>
      <c r="N33" s="59">
        <v>345456</v>
      </c>
      <c r="O33" s="59"/>
      <c r="P33" s="59">
        <v>328183</v>
      </c>
      <c r="Q33" s="59"/>
      <c r="R33" s="60">
        <v>268513</v>
      </c>
      <c r="S33" s="60"/>
      <c r="T33" s="60">
        <v>226115</v>
      </c>
      <c r="U33" s="60"/>
      <c r="V33" s="60">
        <v>164448</v>
      </c>
      <c r="W33" s="60"/>
      <c r="X33" s="60">
        <v>123338</v>
      </c>
      <c r="Y33" s="60"/>
      <c r="Z33" s="60">
        <v>123338</v>
      </c>
      <c r="AA33" s="60"/>
      <c r="AB33" s="60">
        <v>123338</v>
      </c>
      <c r="AC33" s="60"/>
      <c r="AD33" s="59">
        <v>123337</v>
      </c>
      <c r="AE33" s="59"/>
      <c r="AF33" s="59">
        <v>123337</v>
      </c>
      <c r="AG33" s="59"/>
      <c r="AH33" s="59">
        <v>123334</v>
      </c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150"/>
      <c r="AY33" s="163">
        <f t="shared" si="0"/>
        <v>2418193</v>
      </c>
      <c r="AZ33" s="277">
        <f t="shared" si="1"/>
        <v>2418193</v>
      </c>
    </row>
    <row r="34" spans="1:52" s="3" customFormat="1" ht="39" customHeight="1" x14ac:dyDescent="0.3">
      <c r="A34" s="49"/>
      <c r="B34" s="449" t="s">
        <v>452</v>
      </c>
      <c r="C34" s="458" t="s">
        <v>243</v>
      </c>
      <c r="D34" s="454" t="s">
        <v>96</v>
      </c>
      <c r="E34" s="459">
        <v>44378</v>
      </c>
      <c r="F34" s="459">
        <v>45351</v>
      </c>
      <c r="G34" s="462">
        <v>40088048</v>
      </c>
      <c r="H34" s="462">
        <v>40088048</v>
      </c>
      <c r="I34" s="56"/>
      <c r="J34" s="466" t="s">
        <v>97</v>
      </c>
      <c r="K34" s="146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8">
        <v>0</v>
      </c>
      <c r="S34" s="58">
        <v>1121470</v>
      </c>
      <c r="T34" s="58">
        <v>7090000</v>
      </c>
      <c r="U34" s="58">
        <v>0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  <c r="AB34" s="58">
        <v>10227427</v>
      </c>
      <c r="AC34" s="58">
        <v>21649151</v>
      </c>
      <c r="AD34" s="57">
        <v>0</v>
      </c>
      <c r="AE34" s="57">
        <v>0</v>
      </c>
      <c r="AF34" s="57">
        <v>0</v>
      </c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149"/>
      <c r="AY34" s="161">
        <f t="shared" si="0"/>
        <v>40088048</v>
      </c>
      <c r="AZ34" s="277">
        <f t="shared" si="1"/>
        <v>40088048</v>
      </c>
    </row>
    <row r="35" spans="1:52" s="3" customFormat="1" ht="13" x14ac:dyDescent="0.3">
      <c r="A35" s="49"/>
      <c r="B35" s="449"/>
      <c r="C35" s="458"/>
      <c r="D35" s="454"/>
      <c r="E35" s="459"/>
      <c r="F35" s="459"/>
      <c r="G35" s="462"/>
      <c r="H35" s="462"/>
      <c r="I35" s="56"/>
      <c r="J35" s="466"/>
      <c r="K35" s="147"/>
      <c r="L35" s="59"/>
      <c r="M35" s="59"/>
      <c r="N35" s="59"/>
      <c r="O35" s="59"/>
      <c r="P35" s="59"/>
      <c r="Q35" s="59"/>
      <c r="R35" s="60"/>
      <c r="S35" s="60">
        <v>1121470</v>
      </c>
      <c r="T35" s="60">
        <v>7090000</v>
      </c>
      <c r="U35" s="60"/>
      <c r="V35" s="60"/>
      <c r="W35" s="60"/>
      <c r="X35" s="60"/>
      <c r="Y35" s="60"/>
      <c r="Z35" s="60"/>
      <c r="AA35" s="60"/>
      <c r="AB35" s="60">
        <v>10227427</v>
      </c>
      <c r="AC35" s="60">
        <v>21649151</v>
      </c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150"/>
      <c r="AY35" s="161">
        <f t="shared" si="0"/>
        <v>40088048</v>
      </c>
      <c r="AZ35" s="277">
        <f t="shared" si="1"/>
        <v>40088048</v>
      </c>
    </row>
    <row r="36" spans="1:52" s="3" customFormat="1" ht="19" customHeight="1" x14ac:dyDescent="0.3">
      <c r="A36" s="49"/>
      <c r="B36" s="449" t="s">
        <v>453</v>
      </c>
      <c r="C36" s="458" t="s">
        <v>454</v>
      </c>
      <c r="D36" s="454" t="s">
        <v>96</v>
      </c>
      <c r="E36" s="459">
        <v>44378</v>
      </c>
      <c r="F36" s="459">
        <v>45351</v>
      </c>
      <c r="G36" s="467">
        <v>4907100</v>
      </c>
      <c r="H36" s="467">
        <v>4907100</v>
      </c>
      <c r="I36" s="56"/>
      <c r="J36" s="465" t="s">
        <v>135</v>
      </c>
      <c r="K36" s="146">
        <v>0</v>
      </c>
      <c r="L36" s="57">
        <v>0</v>
      </c>
      <c r="M36" s="57">
        <v>1525023</v>
      </c>
      <c r="N36" s="57">
        <v>1525023</v>
      </c>
      <c r="O36" s="57"/>
      <c r="P36" s="57"/>
      <c r="Q36" s="57"/>
      <c r="R36" s="58">
        <v>748647</v>
      </c>
      <c r="S36" s="58">
        <v>374324</v>
      </c>
      <c r="T36" s="58">
        <v>427799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160435</v>
      </c>
      <c r="AB36" s="58">
        <v>145849</v>
      </c>
      <c r="AC36" s="58">
        <v>0</v>
      </c>
      <c r="AD36" s="58">
        <v>0</v>
      </c>
      <c r="AE36" s="58">
        <v>0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58">
        <v>0</v>
      </c>
      <c r="AM36" s="58">
        <v>0</v>
      </c>
      <c r="AN36" s="58">
        <v>0</v>
      </c>
      <c r="AO36" s="58">
        <v>0</v>
      </c>
      <c r="AP36" s="58">
        <v>0</v>
      </c>
      <c r="AQ36" s="58">
        <v>0</v>
      </c>
      <c r="AR36" s="58">
        <v>0</v>
      </c>
      <c r="AS36" s="58">
        <v>0</v>
      </c>
      <c r="AT36" s="58">
        <v>0</v>
      </c>
      <c r="AU36" s="58">
        <v>0</v>
      </c>
      <c r="AV36" s="58">
        <v>0</v>
      </c>
      <c r="AW36" s="58">
        <v>0</v>
      </c>
      <c r="AX36" s="58">
        <v>0</v>
      </c>
      <c r="AY36" s="161">
        <f t="shared" si="0"/>
        <v>4907100</v>
      </c>
      <c r="AZ36" s="277">
        <f t="shared" si="1"/>
        <v>4907100</v>
      </c>
    </row>
    <row r="37" spans="1:52" s="3" customFormat="1" ht="23.5" customHeight="1" x14ac:dyDescent="0.3">
      <c r="A37" s="49"/>
      <c r="B37" s="449"/>
      <c r="C37" s="458"/>
      <c r="D37" s="454"/>
      <c r="E37" s="459"/>
      <c r="F37" s="459"/>
      <c r="G37" s="468"/>
      <c r="H37" s="468"/>
      <c r="I37" s="56"/>
      <c r="J37" s="465"/>
      <c r="K37" s="147"/>
      <c r="L37" s="59"/>
      <c r="M37" s="59"/>
      <c r="N37" s="59">
        <v>3050046</v>
      </c>
      <c r="O37" s="59"/>
      <c r="P37" s="59"/>
      <c r="Q37" s="59"/>
      <c r="R37" s="60">
        <v>748647</v>
      </c>
      <c r="S37" s="60"/>
      <c r="T37" s="60">
        <v>802123</v>
      </c>
      <c r="U37" s="60"/>
      <c r="V37" s="60"/>
      <c r="W37" s="60"/>
      <c r="X37" s="60"/>
      <c r="Y37" s="60"/>
      <c r="Z37" s="60"/>
      <c r="AA37" s="60"/>
      <c r="AB37" s="60">
        <v>306284</v>
      </c>
      <c r="AC37" s="60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150"/>
      <c r="AY37" s="161">
        <f t="shared" si="0"/>
        <v>4907100</v>
      </c>
      <c r="AZ37" s="277">
        <f t="shared" si="1"/>
        <v>4907100</v>
      </c>
    </row>
    <row r="38" spans="1:52" s="3" customFormat="1" ht="39" customHeight="1" x14ac:dyDescent="0.3">
      <c r="A38" s="49"/>
      <c r="B38" s="449" t="s">
        <v>258</v>
      </c>
      <c r="C38" s="458" t="s">
        <v>244</v>
      </c>
      <c r="D38" s="454" t="s">
        <v>96</v>
      </c>
      <c r="E38" s="463">
        <v>44621</v>
      </c>
      <c r="F38" s="463">
        <v>45351</v>
      </c>
      <c r="G38" s="462">
        <v>11496670</v>
      </c>
      <c r="H38" s="462">
        <v>11496670</v>
      </c>
      <c r="I38" s="56"/>
      <c r="J38" s="466" t="s">
        <v>97</v>
      </c>
      <c r="K38" s="146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2000000</v>
      </c>
      <c r="AB38" s="58">
        <v>1240000</v>
      </c>
      <c r="AC38" s="58">
        <v>930000</v>
      </c>
      <c r="AD38" s="57">
        <v>930000</v>
      </c>
      <c r="AE38" s="57">
        <v>620000</v>
      </c>
      <c r="AF38" s="57">
        <v>0</v>
      </c>
      <c r="AG38" s="57">
        <v>0</v>
      </c>
      <c r="AH38" s="57">
        <v>0</v>
      </c>
      <c r="AI38" s="57">
        <v>0</v>
      </c>
      <c r="AJ38" s="57">
        <v>0</v>
      </c>
      <c r="AK38" s="57">
        <v>0</v>
      </c>
      <c r="AL38" s="57">
        <v>0</v>
      </c>
      <c r="AM38" s="57">
        <v>620000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58">
        <v>0</v>
      </c>
      <c r="AU38" s="57">
        <v>380000</v>
      </c>
      <c r="AV38" s="57">
        <v>1791000</v>
      </c>
      <c r="AW38" s="57">
        <v>1770333</v>
      </c>
      <c r="AX38" s="149">
        <v>1215337</v>
      </c>
      <c r="AY38" s="161">
        <f t="shared" si="0"/>
        <v>11496670</v>
      </c>
      <c r="AZ38" s="277">
        <f t="shared" si="1"/>
        <v>11496670</v>
      </c>
    </row>
    <row r="39" spans="1:52" s="3" customFormat="1" ht="13" x14ac:dyDescent="0.3">
      <c r="A39" s="49"/>
      <c r="B39" s="449"/>
      <c r="C39" s="458"/>
      <c r="D39" s="454"/>
      <c r="E39" s="463"/>
      <c r="F39" s="463"/>
      <c r="G39" s="462"/>
      <c r="H39" s="462"/>
      <c r="I39" s="56"/>
      <c r="J39" s="466"/>
      <c r="K39" s="147"/>
      <c r="L39" s="59"/>
      <c r="M39" s="59"/>
      <c r="N39" s="59"/>
      <c r="O39" s="59"/>
      <c r="P39" s="59"/>
      <c r="Q39" s="59"/>
      <c r="R39" s="60"/>
      <c r="S39" s="60"/>
      <c r="T39" s="60"/>
      <c r="U39" s="60"/>
      <c r="V39" s="60"/>
      <c r="W39" s="60"/>
      <c r="X39" s="60"/>
      <c r="Y39" s="60"/>
      <c r="Z39" s="60"/>
      <c r="AA39" s="60">
        <v>2000000</v>
      </c>
      <c r="AB39" s="60">
        <v>1240000</v>
      </c>
      <c r="AC39" s="60">
        <v>930000</v>
      </c>
      <c r="AD39" s="59">
        <v>930000</v>
      </c>
      <c r="AE39" s="59">
        <v>620000</v>
      </c>
      <c r="AF39" s="59"/>
      <c r="AG39" s="59"/>
      <c r="AH39" s="59"/>
      <c r="AI39" s="59"/>
      <c r="AJ39" s="59"/>
      <c r="AK39" s="59"/>
      <c r="AL39" s="59"/>
      <c r="AM39" s="59">
        <v>620000</v>
      </c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150"/>
      <c r="AY39" s="161">
        <f t="shared" si="0"/>
        <v>6340000</v>
      </c>
      <c r="AZ39" s="277">
        <f t="shared" si="1"/>
        <v>6340000</v>
      </c>
    </row>
    <row r="40" spans="1:52" s="3" customFormat="1" ht="13" x14ac:dyDescent="0.3">
      <c r="A40" s="49"/>
      <c r="B40" s="449"/>
      <c r="C40" s="458" t="s">
        <v>455</v>
      </c>
      <c r="D40" s="454" t="s">
        <v>96</v>
      </c>
      <c r="E40" s="463">
        <v>44621</v>
      </c>
      <c r="F40" s="463">
        <v>45351</v>
      </c>
      <c r="G40" s="467">
        <v>1143473</v>
      </c>
      <c r="H40" s="467">
        <v>1143473</v>
      </c>
      <c r="I40" s="56"/>
      <c r="J40" s="465" t="s">
        <v>135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58">
        <v>178261</v>
      </c>
      <c r="AA40" s="58">
        <v>160435</v>
      </c>
      <c r="AB40" s="58">
        <v>145851</v>
      </c>
      <c r="AC40" s="58">
        <v>200543</v>
      </c>
      <c r="AD40" s="57">
        <v>229192</v>
      </c>
      <c r="AE40" s="57">
        <v>229191</v>
      </c>
      <c r="AF40" s="57">
        <v>0</v>
      </c>
      <c r="AG40" s="57">
        <v>0</v>
      </c>
      <c r="AH40" s="57">
        <v>0</v>
      </c>
      <c r="AI40" s="57">
        <v>0</v>
      </c>
      <c r="AJ40" s="57">
        <v>0</v>
      </c>
      <c r="AK40" s="57">
        <v>0</v>
      </c>
      <c r="AL40" s="57">
        <v>0</v>
      </c>
      <c r="AM40" s="57">
        <v>0</v>
      </c>
      <c r="AN40" s="58">
        <v>0</v>
      </c>
      <c r="AO40" s="58">
        <v>0</v>
      </c>
      <c r="AP40" s="58">
        <v>0</v>
      </c>
      <c r="AQ40" s="58">
        <v>0</v>
      </c>
      <c r="AR40" s="58">
        <v>0</v>
      </c>
      <c r="AS40" s="58">
        <v>0</v>
      </c>
      <c r="AT40" s="58">
        <v>0</v>
      </c>
      <c r="AU40" s="58">
        <v>0</v>
      </c>
      <c r="AV40" s="58">
        <v>0</v>
      </c>
      <c r="AW40" s="58">
        <v>0</v>
      </c>
      <c r="AX40" s="58">
        <v>0</v>
      </c>
      <c r="AY40" s="161">
        <f t="shared" si="0"/>
        <v>1143473</v>
      </c>
      <c r="AZ40" s="277">
        <f t="shared" si="1"/>
        <v>1143473</v>
      </c>
    </row>
    <row r="41" spans="1:52" s="3" customFormat="1" ht="26.5" customHeight="1" x14ac:dyDescent="0.3">
      <c r="A41" s="49"/>
      <c r="B41" s="449"/>
      <c r="C41" s="458"/>
      <c r="D41" s="454"/>
      <c r="E41" s="463"/>
      <c r="F41" s="463"/>
      <c r="G41" s="468"/>
      <c r="H41" s="468"/>
      <c r="I41" s="56"/>
      <c r="J41" s="465"/>
      <c r="K41" s="147"/>
      <c r="L41" s="59"/>
      <c r="M41" s="59"/>
      <c r="N41" s="59"/>
      <c r="O41" s="59"/>
      <c r="P41" s="59"/>
      <c r="Q41" s="59"/>
      <c r="R41" s="60"/>
      <c r="S41" s="60"/>
      <c r="T41" s="60"/>
      <c r="U41" s="60"/>
      <c r="V41" s="60"/>
      <c r="W41" s="60"/>
      <c r="X41" s="60"/>
      <c r="Y41" s="60"/>
      <c r="Z41" s="60">
        <v>178261</v>
      </c>
      <c r="AA41" s="60"/>
      <c r="AB41" s="60">
        <v>306286</v>
      </c>
      <c r="AC41" s="60"/>
      <c r="AD41" s="59">
        <v>429735</v>
      </c>
      <c r="AE41" s="59"/>
      <c r="AF41" s="59">
        <v>229191</v>
      </c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150"/>
      <c r="AY41" s="161">
        <f t="shared" si="0"/>
        <v>1143473</v>
      </c>
      <c r="AZ41" s="277">
        <f t="shared" si="1"/>
        <v>1143473</v>
      </c>
    </row>
    <row r="42" spans="1:52" s="3" customFormat="1" ht="35" customHeight="1" x14ac:dyDescent="0.3">
      <c r="A42" s="49"/>
      <c r="B42" s="449"/>
      <c r="C42" s="458" t="s">
        <v>245</v>
      </c>
      <c r="D42" s="454" t="s">
        <v>96</v>
      </c>
      <c r="E42" s="463">
        <v>44470</v>
      </c>
      <c r="F42" s="463">
        <v>45351</v>
      </c>
      <c r="G42" s="462">
        <v>16846669.899999999</v>
      </c>
      <c r="H42" s="462">
        <v>16846669.899999999</v>
      </c>
      <c r="I42" s="56"/>
      <c r="J42" s="466" t="s">
        <v>97</v>
      </c>
      <c r="K42" s="146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v>0</v>
      </c>
      <c r="R42" s="58">
        <v>0</v>
      </c>
      <c r="S42" s="58">
        <v>0</v>
      </c>
      <c r="T42" s="58">
        <v>0</v>
      </c>
      <c r="U42" s="58">
        <v>0</v>
      </c>
      <c r="V42" s="58">
        <v>380000</v>
      </c>
      <c r="W42" s="58">
        <v>380000</v>
      </c>
      <c r="X42" s="58">
        <v>760000</v>
      </c>
      <c r="Y42" s="58">
        <v>760000</v>
      </c>
      <c r="Z42" s="58">
        <v>1343000</v>
      </c>
      <c r="AA42" s="58">
        <v>2760000</v>
      </c>
      <c r="AB42" s="58">
        <v>1240000</v>
      </c>
      <c r="AC42" s="58">
        <v>930000</v>
      </c>
      <c r="AD42" s="57">
        <v>930000</v>
      </c>
      <c r="AE42" s="57">
        <v>827000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57">
        <v>0</v>
      </c>
      <c r="AM42" s="57">
        <v>620000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7">
        <v>760000</v>
      </c>
      <c r="AV42" s="57">
        <v>2171000</v>
      </c>
      <c r="AW42" s="57">
        <v>1947223.9999999998</v>
      </c>
      <c r="AX42" s="149">
        <v>1038445.9</v>
      </c>
      <c r="AY42" s="161">
        <f t="shared" si="0"/>
        <v>16846669.899999999</v>
      </c>
      <c r="AZ42" s="277">
        <f t="shared" si="1"/>
        <v>16846669.899999999</v>
      </c>
    </row>
    <row r="43" spans="1:52" s="3" customFormat="1" ht="13" x14ac:dyDescent="0.3">
      <c r="A43" s="49"/>
      <c r="B43" s="449"/>
      <c r="C43" s="458"/>
      <c r="D43" s="454"/>
      <c r="E43" s="463"/>
      <c r="F43" s="463"/>
      <c r="G43" s="462"/>
      <c r="H43" s="462"/>
      <c r="I43" s="56"/>
      <c r="J43" s="466"/>
      <c r="K43" s="147"/>
      <c r="L43" s="59"/>
      <c r="M43" s="59"/>
      <c r="N43" s="59"/>
      <c r="O43" s="59"/>
      <c r="P43" s="59"/>
      <c r="Q43" s="59"/>
      <c r="R43" s="60"/>
      <c r="S43" s="60"/>
      <c r="T43" s="60"/>
      <c r="U43" s="60"/>
      <c r="V43" s="60">
        <v>380000</v>
      </c>
      <c r="W43" s="60">
        <v>380000</v>
      </c>
      <c r="X43" s="60">
        <v>760000</v>
      </c>
      <c r="Y43" s="60">
        <v>760000</v>
      </c>
      <c r="Z43" s="60">
        <v>1343000</v>
      </c>
      <c r="AA43" s="60">
        <v>2760000</v>
      </c>
      <c r="AB43" s="60">
        <v>1240000</v>
      </c>
      <c r="AC43" s="60">
        <v>930000</v>
      </c>
      <c r="AD43" s="59">
        <v>930000</v>
      </c>
      <c r="AE43" s="59">
        <v>827000</v>
      </c>
      <c r="AF43" s="59"/>
      <c r="AG43" s="59"/>
      <c r="AH43" s="59"/>
      <c r="AI43" s="59"/>
      <c r="AJ43" s="59"/>
      <c r="AK43" s="59"/>
      <c r="AL43" s="59"/>
      <c r="AM43" s="59">
        <v>620000</v>
      </c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150"/>
      <c r="AY43" s="161">
        <f t="shared" si="0"/>
        <v>10930000</v>
      </c>
      <c r="AZ43" s="277">
        <f t="shared" si="1"/>
        <v>10930000</v>
      </c>
    </row>
    <row r="44" spans="1:52" s="3" customFormat="1" ht="13" x14ac:dyDescent="0.3">
      <c r="A44" s="49"/>
      <c r="B44" s="449"/>
      <c r="C44" s="458" t="s">
        <v>456</v>
      </c>
      <c r="D44" s="454" t="s">
        <v>96</v>
      </c>
      <c r="E44" s="463">
        <v>44470</v>
      </c>
      <c r="F44" s="463">
        <v>45351</v>
      </c>
      <c r="G44" s="467">
        <v>2253796</v>
      </c>
      <c r="H44" s="467">
        <v>2253796</v>
      </c>
      <c r="I44" s="56"/>
      <c r="J44" s="465" t="s">
        <v>135</v>
      </c>
      <c r="K44" s="146"/>
      <c r="L44" s="57"/>
      <c r="M44" s="57"/>
      <c r="N44" s="57"/>
      <c r="O44" s="57"/>
      <c r="P44" s="57"/>
      <c r="Q44" s="57"/>
      <c r="R44" s="58"/>
      <c r="S44" s="58"/>
      <c r="T44" s="58"/>
      <c r="U44" s="58">
        <v>265488</v>
      </c>
      <c r="V44" s="58">
        <v>265488</v>
      </c>
      <c r="W44" s="58">
        <v>200544</v>
      </c>
      <c r="X44" s="58">
        <v>200544</v>
      </c>
      <c r="Y44" s="58">
        <v>178261</v>
      </c>
      <c r="Z44" s="58">
        <v>178261</v>
      </c>
      <c r="AA44" s="58">
        <v>160434</v>
      </c>
      <c r="AB44" s="58">
        <v>145849</v>
      </c>
      <c r="AC44" s="58">
        <v>200543</v>
      </c>
      <c r="AD44" s="57">
        <v>229192</v>
      </c>
      <c r="AE44" s="57">
        <v>229192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v>0</v>
      </c>
      <c r="AP44" s="57">
        <v>0</v>
      </c>
      <c r="AQ44" s="57">
        <v>0</v>
      </c>
      <c r="AR44" s="57">
        <v>0</v>
      </c>
      <c r="AS44" s="57">
        <v>0</v>
      </c>
      <c r="AT44" s="57">
        <v>0</v>
      </c>
      <c r="AU44" s="57">
        <v>0</v>
      </c>
      <c r="AV44" s="57">
        <v>0</v>
      </c>
      <c r="AW44" s="57">
        <v>0</v>
      </c>
      <c r="AX44" s="57">
        <v>0</v>
      </c>
      <c r="AY44" s="161">
        <f t="shared" si="0"/>
        <v>2253796</v>
      </c>
      <c r="AZ44" s="277">
        <f t="shared" si="1"/>
        <v>2253796</v>
      </c>
    </row>
    <row r="45" spans="1:52" s="3" customFormat="1" ht="30.5" customHeight="1" x14ac:dyDescent="0.3">
      <c r="A45" s="49"/>
      <c r="B45" s="449"/>
      <c r="C45" s="458"/>
      <c r="D45" s="454"/>
      <c r="E45" s="463"/>
      <c r="F45" s="463"/>
      <c r="G45" s="468"/>
      <c r="H45" s="468"/>
      <c r="I45" s="56"/>
      <c r="J45" s="465"/>
      <c r="K45" s="147"/>
      <c r="L45" s="59"/>
      <c r="M45" s="59"/>
      <c r="N45" s="59"/>
      <c r="O45" s="59"/>
      <c r="P45" s="59"/>
      <c r="Q45" s="59"/>
      <c r="R45" s="60"/>
      <c r="S45" s="60"/>
      <c r="T45" s="60"/>
      <c r="U45" s="60"/>
      <c r="V45" s="60">
        <v>530976</v>
      </c>
      <c r="W45" s="60"/>
      <c r="X45" s="60">
        <v>401088</v>
      </c>
      <c r="Y45" s="60"/>
      <c r="Z45" s="60">
        <v>356522</v>
      </c>
      <c r="AA45" s="60"/>
      <c r="AB45" s="60">
        <v>306283</v>
      </c>
      <c r="AC45" s="60"/>
      <c r="AD45" s="59">
        <v>429735</v>
      </c>
      <c r="AE45" s="59"/>
      <c r="AF45" s="59">
        <v>229192</v>
      </c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150"/>
      <c r="AY45" s="161">
        <f t="shared" si="0"/>
        <v>2253796</v>
      </c>
      <c r="AZ45" s="277">
        <f t="shared" si="1"/>
        <v>2253796</v>
      </c>
    </row>
    <row r="46" spans="1:52" s="3" customFormat="1" ht="39" customHeight="1" x14ac:dyDescent="0.3">
      <c r="A46" s="49"/>
      <c r="B46" s="449"/>
      <c r="C46" s="458" t="s">
        <v>246</v>
      </c>
      <c r="D46" s="454" t="s">
        <v>96</v>
      </c>
      <c r="E46" s="459">
        <v>44652</v>
      </c>
      <c r="F46" s="459">
        <v>45351</v>
      </c>
      <c r="G46" s="462">
        <v>5873783.3399999999</v>
      </c>
      <c r="H46" s="462">
        <v>5873783.3399999999</v>
      </c>
      <c r="I46" s="56"/>
      <c r="J46" s="466" t="s">
        <v>97</v>
      </c>
      <c r="K46" s="146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/>
      <c r="AB46" s="58">
        <v>620000</v>
      </c>
      <c r="AC46" s="58">
        <v>620000</v>
      </c>
      <c r="AD46" s="57">
        <v>620000</v>
      </c>
      <c r="AE46" s="57">
        <v>620000</v>
      </c>
      <c r="AF46" s="57">
        <v>0</v>
      </c>
      <c r="AG46" s="57">
        <v>0</v>
      </c>
      <c r="AH46" s="57">
        <v>0</v>
      </c>
      <c r="AI46" s="57">
        <v>0</v>
      </c>
      <c r="AJ46" s="57">
        <v>0</v>
      </c>
      <c r="AK46" s="57">
        <v>0</v>
      </c>
      <c r="AL46" s="57">
        <v>0</v>
      </c>
      <c r="AM46" s="57">
        <v>0</v>
      </c>
      <c r="AN46" s="57">
        <v>0</v>
      </c>
      <c r="AO46" s="57">
        <v>0</v>
      </c>
      <c r="AP46" s="57">
        <v>0</v>
      </c>
      <c r="AQ46" s="57">
        <v>0</v>
      </c>
      <c r="AR46" s="57">
        <v>0</v>
      </c>
      <c r="AS46" s="57">
        <v>0</v>
      </c>
      <c r="AT46" s="57">
        <v>0</v>
      </c>
      <c r="AU46" s="57">
        <v>0</v>
      </c>
      <c r="AV46" s="57">
        <v>760000</v>
      </c>
      <c r="AW46" s="57">
        <v>1241554.3400000001</v>
      </c>
      <c r="AX46" s="149">
        <v>1392229</v>
      </c>
      <c r="AY46" s="161">
        <f t="shared" ref="AY46:AY77" si="2">SUM(K46:AX46)</f>
        <v>5873783.3399999999</v>
      </c>
      <c r="AZ46" s="277">
        <f t="shared" si="1"/>
        <v>5873783.3399999999</v>
      </c>
    </row>
    <row r="47" spans="1:52" s="3" customFormat="1" ht="13" x14ac:dyDescent="0.3">
      <c r="A47" s="49"/>
      <c r="B47" s="449"/>
      <c r="C47" s="458"/>
      <c r="D47" s="454"/>
      <c r="E47" s="459"/>
      <c r="F47" s="459"/>
      <c r="G47" s="462"/>
      <c r="H47" s="462"/>
      <c r="I47" s="56"/>
      <c r="J47" s="466"/>
      <c r="K47" s="147"/>
      <c r="L47" s="59"/>
      <c r="M47" s="59"/>
      <c r="N47" s="59"/>
      <c r="O47" s="59"/>
      <c r="P47" s="59"/>
      <c r="Q47" s="59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>
        <v>620000</v>
      </c>
      <c r="AC47" s="60">
        <v>620000</v>
      </c>
      <c r="AD47" s="60">
        <v>620000</v>
      </c>
      <c r="AE47" s="60">
        <v>620000</v>
      </c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150"/>
      <c r="AY47" s="161">
        <f t="shared" si="2"/>
        <v>2480000</v>
      </c>
      <c r="AZ47" s="277">
        <f t="shared" si="1"/>
        <v>2480000</v>
      </c>
    </row>
    <row r="48" spans="1:52" s="3" customFormat="1" ht="13" x14ac:dyDescent="0.3">
      <c r="A48" s="49"/>
      <c r="B48" s="449"/>
      <c r="C48" s="458" t="s">
        <v>457</v>
      </c>
      <c r="D48" s="454" t="s">
        <v>96</v>
      </c>
      <c r="E48" s="459">
        <v>44652</v>
      </c>
      <c r="F48" s="459">
        <v>45351</v>
      </c>
      <c r="G48" s="467">
        <v>965212</v>
      </c>
      <c r="H48" s="467">
        <v>965212</v>
      </c>
      <c r="I48" s="56"/>
      <c r="J48" s="465" t="s">
        <v>135</v>
      </c>
      <c r="K48" s="146">
        <v>0</v>
      </c>
      <c r="L48" s="146">
        <v>0</v>
      </c>
      <c r="M48" s="146">
        <v>0</v>
      </c>
      <c r="N48" s="146">
        <v>0</v>
      </c>
      <c r="O48" s="146">
        <v>0</v>
      </c>
      <c r="P48" s="146">
        <v>0</v>
      </c>
      <c r="Q48" s="146">
        <v>0</v>
      </c>
      <c r="R48" s="146">
        <v>0</v>
      </c>
      <c r="S48" s="146">
        <v>0</v>
      </c>
      <c r="T48" s="146">
        <v>0</v>
      </c>
      <c r="U48" s="146">
        <v>0</v>
      </c>
      <c r="V48" s="146">
        <v>0</v>
      </c>
      <c r="W48" s="146">
        <v>0</v>
      </c>
      <c r="X48" s="146">
        <v>0</v>
      </c>
      <c r="Y48" s="146">
        <v>0</v>
      </c>
      <c r="Z48" s="146">
        <v>0</v>
      </c>
      <c r="AA48" s="58">
        <v>160434</v>
      </c>
      <c r="AB48" s="58">
        <v>145850</v>
      </c>
      <c r="AC48" s="58">
        <v>200543</v>
      </c>
      <c r="AD48" s="57">
        <v>229193</v>
      </c>
      <c r="AE48" s="57">
        <v>229192</v>
      </c>
      <c r="AF48" s="149">
        <v>0</v>
      </c>
      <c r="AG48" s="149">
        <v>0</v>
      </c>
      <c r="AH48" s="149">
        <v>0</v>
      </c>
      <c r="AI48" s="149">
        <v>0</v>
      </c>
      <c r="AJ48" s="149">
        <v>0</v>
      </c>
      <c r="AK48" s="149">
        <v>0</v>
      </c>
      <c r="AL48" s="149">
        <v>0</v>
      </c>
      <c r="AM48" s="149">
        <v>0</v>
      </c>
      <c r="AN48" s="149">
        <v>0</v>
      </c>
      <c r="AO48" s="149">
        <v>0</v>
      </c>
      <c r="AP48" s="149">
        <v>0</v>
      </c>
      <c r="AQ48" s="149">
        <v>0</v>
      </c>
      <c r="AR48" s="149">
        <v>0</v>
      </c>
      <c r="AS48" s="149">
        <v>0</v>
      </c>
      <c r="AT48" s="149">
        <v>0</v>
      </c>
      <c r="AU48" s="149">
        <v>0</v>
      </c>
      <c r="AV48" s="149">
        <v>0</v>
      </c>
      <c r="AW48" s="149">
        <v>0</v>
      </c>
      <c r="AX48" s="149">
        <v>0</v>
      </c>
      <c r="AY48" s="161">
        <f t="shared" si="2"/>
        <v>965212</v>
      </c>
      <c r="AZ48" s="277">
        <f t="shared" si="1"/>
        <v>965212</v>
      </c>
    </row>
    <row r="49" spans="1:52" s="3" customFormat="1" ht="27.5" customHeight="1" x14ac:dyDescent="0.3">
      <c r="A49" s="49"/>
      <c r="B49" s="449"/>
      <c r="C49" s="458"/>
      <c r="D49" s="454"/>
      <c r="E49" s="459"/>
      <c r="F49" s="459"/>
      <c r="G49" s="468"/>
      <c r="H49" s="468"/>
      <c r="I49" s="56"/>
      <c r="J49" s="465"/>
      <c r="K49" s="147"/>
      <c r="L49" s="59"/>
      <c r="M49" s="59"/>
      <c r="N49" s="59"/>
      <c r="O49" s="59"/>
      <c r="P49" s="59"/>
      <c r="Q49" s="59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>
        <v>306284</v>
      </c>
      <c r="AC49" s="60"/>
      <c r="AD49" s="60">
        <v>429736</v>
      </c>
      <c r="AE49" s="60"/>
      <c r="AF49" s="59">
        <v>229192</v>
      </c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150"/>
      <c r="AY49" s="161">
        <f t="shared" si="2"/>
        <v>965212</v>
      </c>
      <c r="AZ49" s="277">
        <f t="shared" si="1"/>
        <v>965212</v>
      </c>
    </row>
    <row r="50" spans="1:52" s="3" customFormat="1" ht="26" customHeight="1" x14ac:dyDescent="0.3">
      <c r="A50" s="49"/>
      <c r="B50" s="449"/>
      <c r="C50" s="458" t="s">
        <v>247</v>
      </c>
      <c r="D50" s="454" t="s">
        <v>96</v>
      </c>
      <c r="E50" s="459">
        <v>45231</v>
      </c>
      <c r="F50" s="459">
        <v>45351</v>
      </c>
      <c r="G50" s="462">
        <v>9120000</v>
      </c>
      <c r="H50" s="462">
        <v>9120000</v>
      </c>
      <c r="I50" s="56"/>
      <c r="J50" s="466" t="s">
        <v>97</v>
      </c>
      <c r="K50" s="146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  <c r="AO50" s="58">
        <v>0</v>
      </c>
      <c r="AP50" s="58">
        <v>0</v>
      </c>
      <c r="AQ50" s="58">
        <v>0</v>
      </c>
      <c r="AR50" s="58">
        <v>0</v>
      </c>
      <c r="AS50" s="58">
        <v>0</v>
      </c>
      <c r="AT50" s="58">
        <v>0</v>
      </c>
      <c r="AU50" s="57">
        <v>2280000</v>
      </c>
      <c r="AV50" s="57">
        <v>2280000</v>
      </c>
      <c r="AW50" s="57">
        <v>2280000</v>
      </c>
      <c r="AX50" s="149">
        <v>2280000</v>
      </c>
      <c r="AY50" s="161">
        <f t="shared" si="2"/>
        <v>9120000</v>
      </c>
      <c r="AZ50" s="277">
        <f t="shared" si="1"/>
        <v>9120000</v>
      </c>
    </row>
    <row r="51" spans="1:52" s="3" customFormat="1" ht="13" x14ac:dyDescent="0.3">
      <c r="A51" s="49"/>
      <c r="B51" s="449"/>
      <c r="C51" s="458"/>
      <c r="D51" s="454"/>
      <c r="E51" s="459"/>
      <c r="F51" s="459"/>
      <c r="G51" s="462"/>
      <c r="H51" s="462"/>
      <c r="I51" s="56"/>
      <c r="J51" s="466"/>
      <c r="K51" s="147"/>
      <c r="L51" s="59"/>
      <c r="M51" s="59"/>
      <c r="N51" s="59"/>
      <c r="O51" s="59"/>
      <c r="P51" s="59"/>
      <c r="Q51" s="59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150"/>
      <c r="AY51" s="161">
        <f t="shared" si="2"/>
        <v>0</v>
      </c>
      <c r="AZ51" s="277">
        <f t="shared" si="1"/>
        <v>0</v>
      </c>
    </row>
    <row r="52" spans="1:52" s="3" customFormat="1" ht="14.5" customHeight="1" x14ac:dyDescent="0.3">
      <c r="A52" s="49"/>
      <c r="B52" s="449"/>
      <c r="C52" s="458" t="s">
        <v>458</v>
      </c>
      <c r="D52" s="454" t="s">
        <v>96</v>
      </c>
      <c r="E52" s="459">
        <v>45231</v>
      </c>
      <c r="F52" s="459">
        <v>45351</v>
      </c>
      <c r="G52" s="467">
        <v>965212</v>
      </c>
      <c r="H52" s="467">
        <v>965212</v>
      </c>
      <c r="I52" s="56"/>
      <c r="J52" s="465" t="s">
        <v>135</v>
      </c>
      <c r="K52" s="146">
        <v>0</v>
      </c>
      <c r="L52" s="146">
        <v>0</v>
      </c>
      <c r="M52" s="146">
        <v>0</v>
      </c>
      <c r="N52" s="146">
        <v>0</v>
      </c>
      <c r="O52" s="146">
        <v>0</v>
      </c>
      <c r="P52" s="146">
        <v>0</v>
      </c>
      <c r="Q52" s="146">
        <v>0</v>
      </c>
      <c r="R52" s="146">
        <v>0</v>
      </c>
      <c r="S52" s="146">
        <v>0</v>
      </c>
      <c r="T52" s="146">
        <v>0</v>
      </c>
      <c r="U52" s="146">
        <v>0</v>
      </c>
      <c r="V52" s="146">
        <v>0</v>
      </c>
      <c r="W52" s="146">
        <v>0</v>
      </c>
      <c r="X52" s="146">
        <v>0</v>
      </c>
      <c r="Y52" s="146">
        <v>0</v>
      </c>
      <c r="Z52" s="146">
        <v>0</v>
      </c>
      <c r="AA52" s="58">
        <v>160434</v>
      </c>
      <c r="AB52" s="58">
        <v>145850</v>
      </c>
      <c r="AC52" s="58">
        <v>200543</v>
      </c>
      <c r="AD52" s="57">
        <v>229193</v>
      </c>
      <c r="AE52" s="57">
        <v>229192</v>
      </c>
      <c r="AF52" s="149">
        <v>0</v>
      </c>
      <c r="AG52" s="149">
        <v>0</v>
      </c>
      <c r="AH52" s="149">
        <v>0</v>
      </c>
      <c r="AI52" s="149">
        <v>0</v>
      </c>
      <c r="AJ52" s="149">
        <v>0</v>
      </c>
      <c r="AK52" s="149">
        <v>0</v>
      </c>
      <c r="AL52" s="149">
        <v>0</v>
      </c>
      <c r="AM52" s="149">
        <v>0</v>
      </c>
      <c r="AN52" s="149">
        <v>0</v>
      </c>
      <c r="AO52" s="149">
        <v>0</v>
      </c>
      <c r="AP52" s="149">
        <v>0</v>
      </c>
      <c r="AQ52" s="149">
        <v>0</v>
      </c>
      <c r="AR52" s="149">
        <v>0</v>
      </c>
      <c r="AS52" s="149">
        <v>0</v>
      </c>
      <c r="AT52" s="149">
        <v>0</v>
      </c>
      <c r="AU52" s="149">
        <v>0</v>
      </c>
      <c r="AV52" s="149">
        <v>0</v>
      </c>
      <c r="AW52" s="149">
        <v>0</v>
      </c>
      <c r="AX52" s="149">
        <v>0</v>
      </c>
      <c r="AY52" s="161">
        <f t="shared" si="2"/>
        <v>965212</v>
      </c>
      <c r="AZ52" s="277">
        <f t="shared" si="1"/>
        <v>965212</v>
      </c>
    </row>
    <row r="53" spans="1:52" s="3" customFormat="1" ht="13" x14ac:dyDescent="0.3">
      <c r="A53" s="49"/>
      <c r="B53" s="449"/>
      <c r="C53" s="458"/>
      <c r="D53" s="454"/>
      <c r="E53" s="459"/>
      <c r="F53" s="459"/>
      <c r="G53" s="468"/>
      <c r="H53" s="468"/>
      <c r="I53" s="56"/>
      <c r="J53" s="465"/>
      <c r="K53" s="147"/>
      <c r="L53" s="59"/>
      <c r="M53" s="59"/>
      <c r="N53" s="59"/>
      <c r="O53" s="59"/>
      <c r="P53" s="59"/>
      <c r="Q53" s="59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>
        <v>306283</v>
      </c>
      <c r="AC53" s="60"/>
      <c r="AD53" s="59">
        <v>429736</v>
      </c>
      <c r="AE53" s="59"/>
      <c r="AF53" s="59">
        <v>229193</v>
      </c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150"/>
      <c r="AY53" s="161">
        <f t="shared" si="2"/>
        <v>965212</v>
      </c>
      <c r="AZ53" s="277">
        <f t="shared" si="1"/>
        <v>965212</v>
      </c>
    </row>
    <row r="54" spans="1:52" s="3" customFormat="1" ht="39" customHeight="1" x14ac:dyDescent="0.3">
      <c r="A54" s="49"/>
      <c r="B54" s="449"/>
      <c r="C54" s="458" t="s">
        <v>248</v>
      </c>
      <c r="D54" s="454" t="s">
        <v>96</v>
      </c>
      <c r="E54" s="459">
        <v>44621</v>
      </c>
      <c r="F54" s="459">
        <v>45351</v>
      </c>
      <c r="G54" s="462">
        <v>8081332.2999999998</v>
      </c>
      <c r="H54" s="462">
        <v>8081332.2999999998</v>
      </c>
      <c r="I54" s="56"/>
      <c r="J54" s="466" t="s">
        <v>97</v>
      </c>
      <c r="K54" s="146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0</v>
      </c>
      <c r="Y54" s="58">
        <v>0</v>
      </c>
      <c r="Z54" s="58">
        <v>0</v>
      </c>
      <c r="AA54" s="58">
        <v>1900000</v>
      </c>
      <c r="AB54" s="58"/>
      <c r="AC54" s="58">
        <v>620000</v>
      </c>
      <c r="AD54" s="57">
        <v>620000</v>
      </c>
      <c r="AE54" s="57">
        <v>930000</v>
      </c>
      <c r="AF54" s="149">
        <v>0</v>
      </c>
      <c r="AG54" s="149">
        <v>0</v>
      </c>
      <c r="AH54" s="149">
        <v>0</v>
      </c>
      <c r="AI54" s="149">
        <v>0</v>
      </c>
      <c r="AJ54" s="149">
        <v>0</v>
      </c>
      <c r="AK54" s="149">
        <v>0</v>
      </c>
      <c r="AL54" s="149">
        <v>0</v>
      </c>
      <c r="AM54" s="57">
        <v>620000</v>
      </c>
      <c r="AN54" s="149">
        <v>0</v>
      </c>
      <c r="AO54" s="149">
        <v>0</v>
      </c>
      <c r="AP54" s="149">
        <v>0</v>
      </c>
      <c r="AQ54" s="149">
        <v>0</v>
      </c>
      <c r="AR54" s="149">
        <v>0</v>
      </c>
      <c r="AS54" s="149">
        <v>0</v>
      </c>
      <c r="AT54" s="149">
        <v>0</v>
      </c>
      <c r="AU54" s="57">
        <v>380000</v>
      </c>
      <c r="AV54" s="57">
        <v>1140000</v>
      </c>
      <c r="AW54" s="57">
        <v>1212887</v>
      </c>
      <c r="AX54" s="149">
        <v>658445.30000000005</v>
      </c>
      <c r="AY54" s="161">
        <f t="shared" si="2"/>
        <v>8081332.2999999998</v>
      </c>
      <c r="AZ54" s="277">
        <f t="shared" si="1"/>
        <v>8081332.2999999998</v>
      </c>
    </row>
    <row r="55" spans="1:52" s="3" customFormat="1" ht="13" x14ac:dyDescent="0.3">
      <c r="A55" s="49"/>
      <c r="B55" s="449"/>
      <c r="C55" s="458"/>
      <c r="D55" s="454"/>
      <c r="E55" s="459"/>
      <c r="F55" s="459"/>
      <c r="G55" s="462"/>
      <c r="H55" s="462"/>
      <c r="I55" s="56"/>
      <c r="J55" s="466"/>
      <c r="K55" s="147"/>
      <c r="L55" s="59"/>
      <c r="M55" s="59"/>
      <c r="N55" s="59"/>
      <c r="O55" s="59"/>
      <c r="P55" s="59"/>
      <c r="Q55" s="59"/>
      <c r="R55" s="60"/>
      <c r="S55" s="60"/>
      <c r="T55" s="60"/>
      <c r="U55" s="60"/>
      <c r="V55" s="60"/>
      <c r="W55" s="60"/>
      <c r="X55" s="60"/>
      <c r="Y55" s="60"/>
      <c r="Z55" s="60"/>
      <c r="AA55" s="60">
        <v>1900000</v>
      </c>
      <c r="AB55" s="60"/>
      <c r="AC55" s="60">
        <v>620000</v>
      </c>
      <c r="AD55" s="60">
        <v>620000</v>
      </c>
      <c r="AE55" s="60">
        <v>930000</v>
      </c>
      <c r="AF55" s="59"/>
      <c r="AG55" s="59"/>
      <c r="AH55" s="59"/>
      <c r="AI55" s="59"/>
      <c r="AJ55" s="59"/>
      <c r="AK55" s="59"/>
      <c r="AL55" s="59"/>
      <c r="AM55" s="59">
        <v>620000</v>
      </c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150"/>
      <c r="AY55" s="161">
        <f t="shared" si="2"/>
        <v>4690000</v>
      </c>
      <c r="AZ55" s="277">
        <f t="shared" si="1"/>
        <v>4690000</v>
      </c>
    </row>
    <row r="56" spans="1:52" s="3" customFormat="1" ht="13" x14ac:dyDescent="0.3">
      <c r="A56" s="49"/>
      <c r="B56" s="449"/>
      <c r="C56" s="458" t="s">
        <v>459</v>
      </c>
      <c r="D56" s="454" t="s">
        <v>96</v>
      </c>
      <c r="E56" s="459">
        <v>44621</v>
      </c>
      <c r="F56" s="459">
        <v>45351</v>
      </c>
      <c r="G56" s="467">
        <v>1321735</v>
      </c>
      <c r="H56" s="467">
        <v>1321735</v>
      </c>
      <c r="I56" s="56"/>
      <c r="J56" s="465" t="s">
        <v>135</v>
      </c>
      <c r="K56" s="146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0</v>
      </c>
      <c r="Y56" s="58">
        <v>178261</v>
      </c>
      <c r="Z56" s="58">
        <v>178261</v>
      </c>
      <c r="AA56" s="58">
        <v>160434</v>
      </c>
      <c r="AB56" s="58">
        <v>145849</v>
      </c>
      <c r="AC56" s="58">
        <v>200544</v>
      </c>
      <c r="AD56" s="57">
        <v>229193</v>
      </c>
      <c r="AE56" s="57">
        <v>229193</v>
      </c>
      <c r="AF56" s="149">
        <v>0</v>
      </c>
      <c r="AG56" s="149">
        <v>0</v>
      </c>
      <c r="AH56" s="149">
        <v>0</v>
      </c>
      <c r="AI56" s="149">
        <v>0</v>
      </c>
      <c r="AJ56" s="149">
        <v>0</v>
      </c>
      <c r="AK56" s="149">
        <v>0</v>
      </c>
      <c r="AL56" s="149">
        <v>0</v>
      </c>
      <c r="AM56" s="149">
        <v>0</v>
      </c>
      <c r="AN56" s="149">
        <v>0</v>
      </c>
      <c r="AO56" s="149">
        <v>0</v>
      </c>
      <c r="AP56" s="149">
        <v>0</v>
      </c>
      <c r="AQ56" s="149">
        <v>0</v>
      </c>
      <c r="AR56" s="149">
        <v>0</v>
      </c>
      <c r="AS56" s="149">
        <v>0</v>
      </c>
      <c r="AT56" s="149">
        <v>0</v>
      </c>
      <c r="AU56" s="149">
        <v>0</v>
      </c>
      <c r="AV56" s="149">
        <v>0</v>
      </c>
      <c r="AW56" s="149">
        <v>0</v>
      </c>
      <c r="AX56" s="149">
        <v>0</v>
      </c>
      <c r="AY56" s="161">
        <f t="shared" si="2"/>
        <v>1321735</v>
      </c>
      <c r="AZ56" s="277">
        <f t="shared" si="1"/>
        <v>1321735</v>
      </c>
    </row>
    <row r="57" spans="1:52" s="3" customFormat="1" ht="34.5" customHeight="1" x14ac:dyDescent="0.3">
      <c r="A57" s="49"/>
      <c r="B57" s="449"/>
      <c r="C57" s="458"/>
      <c r="D57" s="454"/>
      <c r="E57" s="459"/>
      <c r="F57" s="459"/>
      <c r="G57" s="468"/>
      <c r="H57" s="468"/>
      <c r="I57" s="56"/>
      <c r="J57" s="465"/>
      <c r="K57" s="147"/>
      <c r="L57" s="59"/>
      <c r="M57" s="59"/>
      <c r="N57" s="59"/>
      <c r="O57" s="59"/>
      <c r="P57" s="59"/>
      <c r="Q57" s="59"/>
      <c r="R57" s="60"/>
      <c r="S57" s="60"/>
      <c r="T57" s="60"/>
      <c r="U57" s="60"/>
      <c r="V57" s="60"/>
      <c r="W57" s="60"/>
      <c r="X57" s="60"/>
      <c r="Y57" s="60"/>
      <c r="Z57" s="60">
        <v>356522</v>
      </c>
      <c r="AA57" s="60"/>
      <c r="AB57" s="60">
        <v>306283</v>
      </c>
      <c r="AC57" s="60"/>
      <c r="AD57" s="60">
        <v>429737</v>
      </c>
      <c r="AE57" s="60"/>
      <c r="AF57" s="59">
        <v>229193</v>
      </c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150"/>
      <c r="AY57" s="161">
        <f t="shared" si="2"/>
        <v>1321735</v>
      </c>
      <c r="AZ57" s="277">
        <f t="shared" si="1"/>
        <v>1321735</v>
      </c>
    </row>
    <row r="58" spans="1:52" s="3" customFormat="1" ht="13" x14ac:dyDescent="0.3">
      <c r="A58" s="49"/>
      <c r="B58" s="450" t="s">
        <v>259</v>
      </c>
      <c r="C58" s="471" t="s">
        <v>249</v>
      </c>
      <c r="D58" s="454" t="s">
        <v>96</v>
      </c>
      <c r="E58" s="470">
        <v>44348</v>
      </c>
      <c r="F58" s="470">
        <v>45351</v>
      </c>
      <c r="G58" s="462">
        <v>26804665.829999998</v>
      </c>
      <c r="H58" s="462">
        <v>26804665.829999998</v>
      </c>
      <c r="I58" s="56"/>
      <c r="J58" s="466" t="s">
        <v>97</v>
      </c>
      <c r="K58" s="146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57">
        <v>0</v>
      </c>
      <c r="R58" s="58">
        <v>3100000</v>
      </c>
      <c r="S58" s="58">
        <v>2066668</v>
      </c>
      <c r="T58" s="58">
        <v>1033333.33</v>
      </c>
      <c r="U58" s="58">
        <v>1033332</v>
      </c>
      <c r="V58" s="58">
        <v>1860000</v>
      </c>
      <c r="W58" s="58">
        <v>1860000</v>
      </c>
      <c r="X58" s="58">
        <v>930000</v>
      </c>
      <c r="Y58" s="58">
        <v>1550000</v>
      </c>
      <c r="Z58" s="58">
        <v>1395000</v>
      </c>
      <c r="AA58" s="58">
        <v>1550000</v>
      </c>
      <c r="AB58" s="58">
        <v>1550000</v>
      </c>
      <c r="AC58" s="58">
        <v>1550000</v>
      </c>
      <c r="AD58" s="57"/>
      <c r="AE58" s="57"/>
      <c r="AF58" s="57"/>
      <c r="AG58" s="57"/>
      <c r="AH58" s="57"/>
      <c r="AI58" s="57">
        <v>330666</v>
      </c>
      <c r="AJ58" s="57">
        <v>1550000</v>
      </c>
      <c r="AK58" s="57">
        <v>1550000</v>
      </c>
      <c r="AL58" s="57">
        <v>1550000</v>
      </c>
      <c r="AM58" s="57">
        <v>620000</v>
      </c>
      <c r="AN58" s="57">
        <v>542500</v>
      </c>
      <c r="AO58" s="57">
        <v>0</v>
      </c>
      <c r="AP58" s="57">
        <v>0</v>
      </c>
      <c r="AQ58" s="57">
        <v>0</v>
      </c>
      <c r="AR58" s="57">
        <v>0</v>
      </c>
      <c r="AS58" s="57">
        <v>0</v>
      </c>
      <c r="AT58" s="57">
        <v>0</v>
      </c>
      <c r="AU58" s="57">
        <v>0</v>
      </c>
      <c r="AV58" s="57">
        <v>542500</v>
      </c>
      <c r="AW58" s="57">
        <v>640666.5</v>
      </c>
      <c r="AX58" s="149">
        <v>0</v>
      </c>
      <c r="AY58" s="161">
        <f t="shared" si="2"/>
        <v>26804665.829999998</v>
      </c>
      <c r="AZ58" s="277">
        <f t="shared" si="1"/>
        <v>26804665.829999998</v>
      </c>
    </row>
    <row r="59" spans="1:52" s="3" customFormat="1" ht="13" x14ac:dyDescent="0.3">
      <c r="A59" s="49"/>
      <c r="B59" s="450"/>
      <c r="C59" s="471"/>
      <c r="D59" s="454"/>
      <c r="E59" s="470"/>
      <c r="F59" s="470"/>
      <c r="G59" s="462"/>
      <c r="H59" s="462"/>
      <c r="I59" s="56"/>
      <c r="J59" s="466"/>
      <c r="K59" s="147"/>
      <c r="L59" s="59"/>
      <c r="M59" s="59"/>
      <c r="N59" s="59"/>
      <c r="O59" s="59"/>
      <c r="P59" s="59"/>
      <c r="Q59" s="59"/>
      <c r="R59" s="60">
        <v>3100000</v>
      </c>
      <c r="S59" s="60">
        <v>2066667</v>
      </c>
      <c r="T59" s="60">
        <v>1033333</v>
      </c>
      <c r="U59" s="60">
        <v>1033332</v>
      </c>
      <c r="V59" s="60">
        <v>1860000</v>
      </c>
      <c r="W59" s="60">
        <v>1860000</v>
      </c>
      <c r="X59" s="60">
        <v>930000</v>
      </c>
      <c r="Y59" s="60">
        <v>1550000</v>
      </c>
      <c r="Z59" s="60">
        <v>1395000</v>
      </c>
      <c r="AA59" s="60">
        <v>1550000</v>
      </c>
      <c r="AB59" s="60">
        <v>1550000</v>
      </c>
      <c r="AC59" s="60">
        <v>1550000</v>
      </c>
      <c r="AD59" s="59"/>
      <c r="AE59" s="59"/>
      <c r="AF59" s="59"/>
      <c r="AG59" s="59"/>
      <c r="AH59" s="59"/>
      <c r="AI59" s="59">
        <v>330666</v>
      </c>
      <c r="AJ59" s="59">
        <v>1550000</v>
      </c>
      <c r="AK59" s="59">
        <v>1550000</v>
      </c>
      <c r="AL59" s="59">
        <v>1550000</v>
      </c>
      <c r="AM59" s="59">
        <v>620000</v>
      </c>
      <c r="AN59" s="59">
        <v>542500</v>
      </c>
      <c r="AO59" s="59"/>
      <c r="AP59" s="59"/>
      <c r="AQ59" s="59"/>
      <c r="AR59" s="59"/>
      <c r="AS59" s="59"/>
      <c r="AT59" s="59"/>
      <c r="AU59" s="59"/>
      <c r="AV59" s="59"/>
      <c r="AW59" s="59"/>
      <c r="AX59" s="150"/>
      <c r="AY59" s="161">
        <f t="shared" si="2"/>
        <v>25621498</v>
      </c>
      <c r="AZ59" s="277">
        <f t="shared" si="1"/>
        <v>25621498</v>
      </c>
    </row>
    <row r="60" spans="1:52" s="3" customFormat="1" ht="13" x14ac:dyDescent="0.3">
      <c r="A60" s="49"/>
      <c r="B60" s="450" t="s">
        <v>460</v>
      </c>
      <c r="C60" s="471" t="s">
        <v>461</v>
      </c>
      <c r="D60" s="454" t="s">
        <v>96</v>
      </c>
      <c r="E60" s="470">
        <v>44348</v>
      </c>
      <c r="F60" s="470">
        <v>45351</v>
      </c>
      <c r="G60" s="467">
        <v>18944656</v>
      </c>
      <c r="H60" s="467">
        <v>18944656</v>
      </c>
      <c r="I60" s="56"/>
      <c r="J60" s="465" t="s">
        <v>135</v>
      </c>
      <c r="K60" s="146">
        <v>1525023</v>
      </c>
      <c r="L60" s="57">
        <v>1525023</v>
      </c>
      <c r="M60" s="57">
        <v>1525023</v>
      </c>
      <c r="N60" s="57">
        <v>1525023</v>
      </c>
      <c r="O60" s="57">
        <v>2287534</v>
      </c>
      <c r="P60" s="57">
        <v>2058781</v>
      </c>
      <c r="Q60" s="57">
        <v>2058781</v>
      </c>
      <c r="R60" s="58">
        <v>748647</v>
      </c>
      <c r="S60" s="58">
        <v>374324</v>
      </c>
      <c r="T60" s="58">
        <v>427799</v>
      </c>
      <c r="U60" s="58">
        <v>265488</v>
      </c>
      <c r="V60" s="58">
        <v>265487</v>
      </c>
      <c r="W60" s="58">
        <v>200543</v>
      </c>
      <c r="X60" s="58">
        <v>200543</v>
      </c>
      <c r="Y60" s="58">
        <v>178260</v>
      </c>
      <c r="Z60" s="58">
        <v>178260</v>
      </c>
      <c r="AA60" s="58">
        <v>160434</v>
      </c>
      <c r="AB60" s="58">
        <v>145849</v>
      </c>
      <c r="AC60" s="58">
        <v>200544</v>
      </c>
      <c r="AD60" s="57">
        <v>229192</v>
      </c>
      <c r="AE60" s="57">
        <v>229193</v>
      </c>
      <c r="AF60" s="57">
        <v>802174</v>
      </c>
      <c r="AG60" s="57">
        <v>802174</v>
      </c>
      <c r="AH60" s="57">
        <v>802172</v>
      </c>
      <c r="AI60" s="57">
        <v>228385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  <c r="AO60" s="57">
        <v>0</v>
      </c>
      <c r="AP60" s="57">
        <v>0</v>
      </c>
      <c r="AQ60" s="57">
        <v>0</v>
      </c>
      <c r="AR60" s="57">
        <v>0</v>
      </c>
      <c r="AS60" s="57">
        <v>0</v>
      </c>
      <c r="AT60" s="57">
        <v>0</v>
      </c>
      <c r="AU60" s="57">
        <v>0</v>
      </c>
      <c r="AV60" s="57">
        <v>0</v>
      </c>
      <c r="AW60" s="57">
        <v>0</v>
      </c>
      <c r="AX60" s="57">
        <v>0</v>
      </c>
      <c r="AY60" s="161">
        <f t="shared" si="2"/>
        <v>18944656</v>
      </c>
      <c r="AZ60" s="277">
        <f t="shared" si="1"/>
        <v>18944656</v>
      </c>
    </row>
    <row r="61" spans="1:52" s="3" customFormat="1" ht="13" x14ac:dyDescent="0.3">
      <c r="A61" s="49"/>
      <c r="B61" s="450"/>
      <c r="C61" s="471"/>
      <c r="D61" s="454"/>
      <c r="E61" s="470"/>
      <c r="F61" s="470"/>
      <c r="G61" s="468"/>
      <c r="H61" s="468"/>
      <c r="I61" s="56"/>
      <c r="J61" s="465"/>
      <c r="K61" s="147"/>
      <c r="L61" s="59">
        <v>3050046</v>
      </c>
      <c r="M61" s="59"/>
      <c r="N61" s="59">
        <v>3050046</v>
      </c>
      <c r="O61" s="59"/>
      <c r="P61" s="59">
        <v>4346316</v>
      </c>
      <c r="Q61" s="59"/>
      <c r="R61" s="60">
        <v>2807428</v>
      </c>
      <c r="S61" s="60"/>
      <c r="T61" s="60">
        <v>802123</v>
      </c>
      <c r="U61" s="60"/>
      <c r="V61" s="60">
        <v>530975</v>
      </c>
      <c r="W61" s="60"/>
      <c r="X61" s="60">
        <v>401086</v>
      </c>
      <c r="Y61" s="60"/>
      <c r="Z61" s="60">
        <v>356520</v>
      </c>
      <c r="AA61" s="60"/>
      <c r="AB61" s="60">
        <v>306283</v>
      </c>
      <c r="AC61" s="60"/>
      <c r="AD61" s="60">
        <v>429736</v>
      </c>
      <c r="AE61" s="59"/>
      <c r="AF61" s="59">
        <v>1031367</v>
      </c>
      <c r="AG61" s="59"/>
      <c r="AH61" s="59">
        <v>1604344</v>
      </c>
      <c r="AI61" s="59"/>
      <c r="AJ61" s="59">
        <v>228385</v>
      </c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150"/>
      <c r="AY61" s="161">
        <f t="shared" si="2"/>
        <v>18944655</v>
      </c>
      <c r="AZ61" s="277">
        <f t="shared" si="1"/>
        <v>18944655</v>
      </c>
    </row>
    <row r="62" spans="1:52" s="3" customFormat="1" ht="39" customHeight="1" x14ac:dyDescent="0.3">
      <c r="A62" s="49"/>
      <c r="B62" s="439" t="s">
        <v>260</v>
      </c>
      <c r="C62" s="469" t="s">
        <v>250</v>
      </c>
      <c r="D62" s="454" t="s">
        <v>96</v>
      </c>
      <c r="E62" s="470">
        <v>44409</v>
      </c>
      <c r="F62" s="470">
        <v>45351</v>
      </c>
      <c r="G62" s="462">
        <v>11676667.33</v>
      </c>
      <c r="H62" s="462">
        <v>11676667.33</v>
      </c>
      <c r="I62" s="56"/>
      <c r="J62" s="466" t="s">
        <v>97</v>
      </c>
      <c r="K62" s="146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8">
        <v>0</v>
      </c>
      <c r="S62" s="58">
        <v>0</v>
      </c>
      <c r="T62" s="58">
        <v>1983333.33</v>
      </c>
      <c r="U62" s="58">
        <v>2933334</v>
      </c>
      <c r="V62" s="58">
        <v>1380000</v>
      </c>
      <c r="W62" s="58">
        <v>1380000</v>
      </c>
      <c r="X62" s="58">
        <v>1070000</v>
      </c>
      <c r="Y62" s="58">
        <v>845000</v>
      </c>
      <c r="Z62" s="58">
        <v>930000</v>
      </c>
      <c r="AA62" s="58">
        <v>380000</v>
      </c>
      <c r="AB62" s="58">
        <v>0</v>
      </c>
      <c r="AC62" s="58">
        <v>0</v>
      </c>
      <c r="AD62" s="57">
        <v>0</v>
      </c>
      <c r="AE62" s="57">
        <v>0</v>
      </c>
      <c r="AF62" s="57">
        <v>0</v>
      </c>
      <c r="AG62" s="57"/>
      <c r="AH62" s="57"/>
      <c r="AI62" s="57"/>
      <c r="AJ62" s="57"/>
      <c r="AK62" s="57"/>
      <c r="AL62" s="57"/>
      <c r="AM62" s="57"/>
      <c r="AN62" s="57">
        <v>775000</v>
      </c>
      <c r="AO62" s="57"/>
      <c r="AP62" s="57"/>
      <c r="AQ62" s="57"/>
      <c r="AR62" s="57"/>
      <c r="AS62" s="57"/>
      <c r="AT62" s="57"/>
      <c r="AU62" s="57"/>
      <c r="AV62" s="57"/>
      <c r="AW62" s="57"/>
      <c r="AX62" s="149"/>
      <c r="AY62" s="161">
        <f t="shared" si="2"/>
        <v>11676667.33</v>
      </c>
      <c r="AZ62" s="277">
        <f t="shared" si="1"/>
        <v>11676667.33</v>
      </c>
    </row>
    <row r="63" spans="1:52" s="3" customFormat="1" ht="13" x14ac:dyDescent="0.3">
      <c r="A63" s="49"/>
      <c r="B63" s="439"/>
      <c r="C63" s="469"/>
      <c r="D63" s="454"/>
      <c r="E63" s="470"/>
      <c r="F63" s="470"/>
      <c r="G63" s="462"/>
      <c r="H63" s="462"/>
      <c r="I63" s="56"/>
      <c r="J63" s="466"/>
      <c r="K63" s="147"/>
      <c r="L63" s="59"/>
      <c r="M63" s="59"/>
      <c r="N63" s="59"/>
      <c r="O63" s="59"/>
      <c r="P63" s="59"/>
      <c r="Q63" s="59"/>
      <c r="R63" s="60"/>
      <c r="S63" s="60"/>
      <c r="T63" s="60">
        <v>1983333</v>
      </c>
      <c r="U63" s="60">
        <v>2933334</v>
      </c>
      <c r="V63" s="60">
        <v>1380000</v>
      </c>
      <c r="W63" s="60">
        <v>1380000</v>
      </c>
      <c r="X63" s="60">
        <v>1070000</v>
      </c>
      <c r="Y63" s="60">
        <v>845000</v>
      </c>
      <c r="Z63" s="60">
        <v>930000</v>
      </c>
      <c r="AA63" s="60">
        <v>380000</v>
      </c>
      <c r="AB63" s="60">
        <v>775000</v>
      </c>
      <c r="AC63" s="60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>
        <v>775000</v>
      </c>
      <c r="AO63" s="59"/>
      <c r="AP63" s="59"/>
      <c r="AQ63" s="59"/>
      <c r="AR63" s="59"/>
      <c r="AS63" s="59"/>
      <c r="AT63" s="59"/>
      <c r="AU63" s="59"/>
      <c r="AV63" s="59"/>
      <c r="AW63" s="59"/>
      <c r="AX63" s="150"/>
      <c r="AY63" s="161">
        <f t="shared" si="2"/>
        <v>12451667</v>
      </c>
      <c r="AZ63" s="277">
        <f t="shared" si="1"/>
        <v>12451667</v>
      </c>
    </row>
    <row r="64" spans="1:52" s="3" customFormat="1" ht="33.5" customHeight="1" x14ac:dyDescent="0.3">
      <c r="A64" s="49"/>
      <c r="B64" s="439"/>
      <c r="C64" s="469" t="s">
        <v>450</v>
      </c>
      <c r="D64" s="454" t="s">
        <v>96</v>
      </c>
      <c r="E64" s="470">
        <v>44409</v>
      </c>
      <c r="F64" s="470">
        <v>45351</v>
      </c>
      <c r="G64" s="462">
        <v>2090704</v>
      </c>
      <c r="H64" s="462">
        <v>2090704</v>
      </c>
      <c r="I64" s="56"/>
      <c r="J64" s="465" t="s">
        <v>135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374324</v>
      </c>
      <c r="U64" s="58">
        <v>427799</v>
      </c>
      <c r="V64" s="58">
        <v>265488</v>
      </c>
      <c r="W64" s="58">
        <v>265487</v>
      </c>
      <c r="X64" s="58">
        <v>200543</v>
      </c>
      <c r="Y64" s="58">
        <v>200543</v>
      </c>
      <c r="Z64" s="58">
        <v>178260</v>
      </c>
      <c r="AA64" s="58">
        <v>178260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58">
        <v>0</v>
      </c>
      <c r="AO64" s="58">
        <v>0</v>
      </c>
      <c r="AP64" s="58">
        <v>0</v>
      </c>
      <c r="AQ64" s="58">
        <v>0</v>
      </c>
      <c r="AR64" s="58">
        <v>0</v>
      </c>
      <c r="AS64" s="58">
        <v>0</v>
      </c>
      <c r="AT64" s="58">
        <v>0</v>
      </c>
      <c r="AU64" s="58">
        <v>0</v>
      </c>
      <c r="AV64" s="58">
        <v>0</v>
      </c>
      <c r="AW64" s="58">
        <v>0</v>
      </c>
      <c r="AX64" s="58">
        <v>0</v>
      </c>
      <c r="AY64" s="161">
        <f t="shared" si="2"/>
        <v>2090704</v>
      </c>
      <c r="AZ64" s="277">
        <f t="shared" si="1"/>
        <v>2090704</v>
      </c>
    </row>
    <row r="65" spans="1:52" s="3" customFormat="1" ht="16.5" customHeight="1" x14ac:dyDescent="0.3">
      <c r="A65" s="49"/>
      <c r="B65" s="439"/>
      <c r="C65" s="469"/>
      <c r="D65" s="454"/>
      <c r="E65" s="470"/>
      <c r="F65" s="470"/>
      <c r="G65" s="462"/>
      <c r="H65" s="462"/>
      <c r="I65" s="56"/>
      <c r="J65" s="465"/>
      <c r="K65" s="147"/>
      <c r="L65" s="59"/>
      <c r="M65" s="59"/>
      <c r="N65" s="59"/>
      <c r="O65" s="59"/>
      <c r="P65" s="59"/>
      <c r="Q65" s="59"/>
      <c r="R65" s="60"/>
      <c r="S65" s="60"/>
      <c r="T65" s="60">
        <v>802123</v>
      </c>
      <c r="U65" s="60"/>
      <c r="V65" s="60">
        <v>530975</v>
      </c>
      <c r="W65" s="60"/>
      <c r="X65" s="60">
        <v>401086</v>
      </c>
      <c r="Y65" s="60"/>
      <c r="Z65" s="60">
        <v>356520</v>
      </c>
      <c r="AA65" s="60"/>
      <c r="AB65" s="60"/>
      <c r="AC65" s="60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150"/>
      <c r="AY65" s="161">
        <f t="shared" si="2"/>
        <v>2090704</v>
      </c>
      <c r="AZ65" s="277">
        <f t="shared" si="1"/>
        <v>2090704</v>
      </c>
    </row>
    <row r="66" spans="1:52" s="3" customFormat="1" ht="39" customHeight="1" x14ac:dyDescent="0.3">
      <c r="A66" s="49"/>
      <c r="B66" s="439"/>
      <c r="C66" s="469" t="s">
        <v>251</v>
      </c>
      <c r="D66" s="454" t="s">
        <v>96</v>
      </c>
      <c r="E66" s="470">
        <v>45017</v>
      </c>
      <c r="F66" s="470">
        <v>45351</v>
      </c>
      <c r="G66" s="462">
        <v>1240871310</v>
      </c>
      <c r="H66" s="462">
        <v>1240871310</v>
      </c>
      <c r="I66" s="56"/>
      <c r="J66" s="466" t="s">
        <v>97</v>
      </c>
      <c r="K66" s="146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7">
        <v>0</v>
      </c>
      <c r="AE66" s="57">
        <v>0</v>
      </c>
      <c r="AF66" s="57">
        <v>0</v>
      </c>
      <c r="AG66" s="57">
        <v>0</v>
      </c>
      <c r="AH66" s="57">
        <v>0</v>
      </c>
      <c r="AI66" s="57">
        <v>0</v>
      </c>
      <c r="AJ66" s="57">
        <v>0</v>
      </c>
      <c r="AK66" s="57">
        <v>0</v>
      </c>
      <c r="AL66" s="57">
        <v>0</v>
      </c>
      <c r="AM66" s="57">
        <v>0</v>
      </c>
      <c r="AN66" s="57">
        <v>465000</v>
      </c>
      <c r="AO66" s="57">
        <v>0</v>
      </c>
      <c r="AP66" s="57">
        <v>370226802</v>
      </c>
      <c r="AQ66" s="57">
        <v>0</v>
      </c>
      <c r="AR66" s="57">
        <v>0</v>
      </c>
      <c r="AS66" s="57">
        <v>0</v>
      </c>
      <c r="AT66" s="57">
        <v>0</v>
      </c>
      <c r="AU66" s="57">
        <v>0</v>
      </c>
      <c r="AV66" s="57">
        <v>870179508</v>
      </c>
      <c r="AW66" s="57">
        <v>0</v>
      </c>
      <c r="AX66" s="149">
        <v>0</v>
      </c>
      <c r="AY66" s="161">
        <f t="shared" si="2"/>
        <v>1240871310</v>
      </c>
      <c r="AZ66" s="277">
        <f t="shared" si="1"/>
        <v>1240871310</v>
      </c>
    </row>
    <row r="67" spans="1:52" s="3" customFormat="1" ht="13" x14ac:dyDescent="0.3">
      <c r="A67" s="49"/>
      <c r="B67" s="439"/>
      <c r="C67" s="469"/>
      <c r="D67" s="454"/>
      <c r="E67" s="470"/>
      <c r="F67" s="470"/>
      <c r="G67" s="462"/>
      <c r="H67" s="462"/>
      <c r="I67" s="56"/>
      <c r="J67" s="466"/>
      <c r="K67" s="147"/>
      <c r="L67" s="59"/>
      <c r="M67" s="59"/>
      <c r="N67" s="59"/>
      <c r="O67" s="59"/>
      <c r="P67" s="59"/>
      <c r="Q67" s="59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>
        <v>465000</v>
      </c>
      <c r="AO67" s="59">
        <v>370226802</v>
      </c>
      <c r="AP67" s="59"/>
      <c r="AQ67" s="59"/>
      <c r="AR67" s="59"/>
      <c r="AS67" s="59"/>
      <c r="AT67" s="59"/>
      <c r="AU67" s="59"/>
      <c r="AV67" s="59"/>
      <c r="AW67" s="59"/>
      <c r="AX67" s="150"/>
      <c r="AY67" s="161">
        <f t="shared" si="2"/>
        <v>370691802</v>
      </c>
      <c r="AZ67" s="277">
        <f t="shared" si="1"/>
        <v>370691802</v>
      </c>
    </row>
    <row r="68" spans="1:52" s="3" customFormat="1" ht="13" x14ac:dyDescent="0.3">
      <c r="A68" s="49"/>
      <c r="B68" s="439"/>
      <c r="C68" s="469" t="s">
        <v>451</v>
      </c>
      <c r="D68" s="454" t="s">
        <v>96</v>
      </c>
      <c r="E68" s="470">
        <v>45017</v>
      </c>
      <c r="F68" s="470">
        <v>45351</v>
      </c>
      <c r="G68" s="462">
        <v>49950000</v>
      </c>
      <c r="H68" s="462">
        <v>49950000</v>
      </c>
      <c r="I68" s="56"/>
      <c r="J68" s="465" t="s">
        <v>135</v>
      </c>
      <c r="K68" s="159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58">
        <v>7135714</v>
      </c>
      <c r="AB68" s="58">
        <v>7135714</v>
      </c>
      <c r="AC68" s="58">
        <v>7135714</v>
      </c>
      <c r="AD68" s="57">
        <v>7135714</v>
      </c>
      <c r="AE68" s="57">
        <v>7135714</v>
      </c>
      <c r="AF68" s="57">
        <v>7135714</v>
      </c>
      <c r="AG68" s="57">
        <v>7135716</v>
      </c>
      <c r="AH68" s="57">
        <v>0</v>
      </c>
      <c r="AI68" s="57">
        <v>0</v>
      </c>
      <c r="AJ68" s="57">
        <v>0</v>
      </c>
      <c r="AK68" s="57">
        <v>0</v>
      </c>
      <c r="AL68" s="57">
        <v>0</v>
      </c>
      <c r="AM68" s="57">
        <v>0</v>
      </c>
      <c r="AN68" s="57">
        <v>0</v>
      </c>
      <c r="AO68" s="57">
        <v>0</v>
      </c>
      <c r="AP68" s="57">
        <v>0</v>
      </c>
      <c r="AQ68" s="57">
        <v>0</v>
      </c>
      <c r="AR68" s="57">
        <v>0</v>
      </c>
      <c r="AS68" s="57">
        <v>0</v>
      </c>
      <c r="AT68" s="57">
        <v>0</v>
      </c>
      <c r="AU68" s="57">
        <v>0</v>
      </c>
      <c r="AV68" s="57">
        <v>0</v>
      </c>
      <c r="AW68" s="57">
        <v>0</v>
      </c>
      <c r="AX68" s="149">
        <v>0</v>
      </c>
      <c r="AY68" s="161">
        <f t="shared" si="2"/>
        <v>49950000</v>
      </c>
      <c r="AZ68" s="277">
        <f t="shared" si="1"/>
        <v>49950000</v>
      </c>
    </row>
    <row r="69" spans="1:52" s="3" customFormat="1" ht="32" customHeight="1" x14ac:dyDescent="0.3">
      <c r="A69" s="49"/>
      <c r="B69" s="439"/>
      <c r="C69" s="469"/>
      <c r="D69" s="454"/>
      <c r="E69" s="470"/>
      <c r="F69" s="470"/>
      <c r="G69" s="462"/>
      <c r="H69" s="462"/>
      <c r="I69" s="56"/>
      <c r="J69" s="465"/>
      <c r="K69" s="147"/>
      <c r="L69" s="59"/>
      <c r="M69" s="59"/>
      <c r="N69" s="59"/>
      <c r="O69" s="59"/>
      <c r="P69" s="59"/>
      <c r="Q69" s="59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>
        <v>14271428</v>
      </c>
      <c r="AC69" s="60"/>
      <c r="AD69" s="59">
        <v>14271428</v>
      </c>
      <c r="AE69" s="59"/>
      <c r="AF69" s="59">
        <v>14271428</v>
      </c>
      <c r="AG69" s="59"/>
      <c r="AH69" s="59"/>
      <c r="AI69" s="59"/>
      <c r="AJ69" s="59"/>
      <c r="AK69" s="59"/>
      <c r="AL69" s="59">
        <v>1297396</v>
      </c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150"/>
      <c r="AY69" s="161">
        <f t="shared" si="2"/>
        <v>44111680</v>
      </c>
      <c r="AZ69" s="277">
        <f t="shared" si="1"/>
        <v>44111680</v>
      </c>
    </row>
    <row r="70" spans="1:52" s="3" customFormat="1" ht="52" customHeight="1" x14ac:dyDescent="0.3">
      <c r="A70" s="49"/>
      <c r="B70" s="439" t="s">
        <v>261</v>
      </c>
      <c r="C70" s="469" t="s">
        <v>252</v>
      </c>
      <c r="D70" s="454" t="s">
        <v>96</v>
      </c>
      <c r="E70" s="470">
        <v>44409</v>
      </c>
      <c r="F70" s="470">
        <v>45351</v>
      </c>
      <c r="G70" s="462">
        <v>14281665.600000001</v>
      </c>
      <c r="H70" s="462">
        <v>14281665.600000001</v>
      </c>
      <c r="I70" s="56"/>
      <c r="J70" s="466" t="s">
        <v>97</v>
      </c>
      <c r="K70" s="146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8">
        <v>0</v>
      </c>
      <c r="S70" s="58">
        <v>0</v>
      </c>
      <c r="T70" s="58">
        <v>1983333</v>
      </c>
      <c r="U70" s="58">
        <v>2933334</v>
      </c>
      <c r="V70" s="58">
        <v>1070000</v>
      </c>
      <c r="W70" s="58">
        <v>1070000</v>
      </c>
      <c r="X70" s="58">
        <v>915000</v>
      </c>
      <c r="Y70" s="58">
        <v>1225000</v>
      </c>
      <c r="Z70" s="58">
        <v>0</v>
      </c>
      <c r="AA70" s="58">
        <v>2140000.4</v>
      </c>
      <c r="AB70" s="58">
        <v>0</v>
      </c>
      <c r="AC70" s="58">
        <v>0</v>
      </c>
      <c r="AD70" s="57">
        <v>0</v>
      </c>
      <c r="AE70" s="57">
        <v>0</v>
      </c>
      <c r="AF70" s="57">
        <v>0</v>
      </c>
      <c r="AG70" s="57"/>
      <c r="AH70" s="57"/>
      <c r="AI70" s="57">
        <v>991997.8</v>
      </c>
      <c r="AJ70" s="57">
        <v>0</v>
      </c>
      <c r="AK70" s="57">
        <v>0</v>
      </c>
      <c r="AL70" s="57">
        <v>0</v>
      </c>
      <c r="AM70" s="57">
        <v>0</v>
      </c>
      <c r="AN70" s="57">
        <v>0</v>
      </c>
      <c r="AO70" s="57">
        <v>0</v>
      </c>
      <c r="AP70" s="57">
        <v>0</v>
      </c>
      <c r="AQ70" s="57">
        <v>0</v>
      </c>
      <c r="AR70" s="57">
        <v>0</v>
      </c>
      <c r="AS70" s="57">
        <v>0</v>
      </c>
      <c r="AT70" s="57">
        <v>0</v>
      </c>
      <c r="AU70" s="57">
        <v>0</v>
      </c>
      <c r="AV70" s="57">
        <v>1953000.4</v>
      </c>
      <c r="AW70" s="57">
        <v>0</v>
      </c>
      <c r="AX70" s="149">
        <v>0</v>
      </c>
      <c r="AY70" s="161">
        <f t="shared" si="2"/>
        <v>14281665.600000001</v>
      </c>
      <c r="AZ70" s="277">
        <f t="shared" si="1"/>
        <v>14281665.600000001</v>
      </c>
    </row>
    <row r="71" spans="1:52" s="3" customFormat="1" ht="13" x14ac:dyDescent="0.3">
      <c r="A71" s="49"/>
      <c r="B71" s="439"/>
      <c r="C71" s="469"/>
      <c r="D71" s="454"/>
      <c r="E71" s="470"/>
      <c r="F71" s="470"/>
      <c r="G71" s="462"/>
      <c r="H71" s="462"/>
      <c r="I71" s="56"/>
      <c r="J71" s="466"/>
      <c r="K71" s="147"/>
      <c r="L71" s="59"/>
      <c r="M71" s="59"/>
      <c r="N71" s="59"/>
      <c r="O71" s="59"/>
      <c r="P71" s="59"/>
      <c r="Q71" s="59"/>
      <c r="R71" s="60"/>
      <c r="S71" s="60"/>
      <c r="T71" s="60">
        <v>1983333</v>
      </c>
      <c r="U71" s="60">
        <v>2933334</v>
      </c>
      <c r="V71" s="60">
        <v>1070000</v>
      </c>
      <c r="W71" s="60">
        <v>1070000</v>
      </c>
      <c r="X71" s="60">
        <v>915000</v>
      </c>
      <c r="Y71" s="60">
        <v>1225000</v>
      </c>
      <c r="Z71" s="60"/>
      <c r="AA71" s="60">
        <v>2140000.4</v>
      </c>
      <c r="AB71" s="60"/>
      <c r="AC71" s="60"/>
      <c r="AD71" s="59"/>
      <c r="AE71" s="59"/>
      <c r="AF71" s="59"/>
      <c r="AG71" s="59"/>
      <c r="AH71" s="59"/>
      <c r="AI71" s="59">
        <v>992000</v>
      </c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150"/>
      <c r="AY71" s="161">
        <f t="shared" si="2"/>
        <v>12328667.4</v>
      </c>
      <c r="AZ71" s="277">
        <f t="shared" si="1"/>
        <v>12328667.4</v>
      </c>
    </row>
    <row r="72" spans="1:52" s="3" customFormat="1" ht="23.5" customHeight="1" x14ac:dyDescent="0.3">
      <c r="A72" s="49"/>
      <c r="B72" s="439"/>
      <c r="C72" s="469" t="s">
        <v>462</v>
      </c>
      <c r="D72" s="454" t="s">
        <v>96</v>
      </c>
      <c r="E72" s="470">
        <v>44409</v>
      </c>
      <c r="F72" s="470">
        <v>45351</v>
      </c>
      <c r="G72" s="467">
        <v>2251140</v>
      </c>
      <c r="H72" s="467">
        <v>2251140</v>
      </c>
      <c r="I72" s="56"/>
      <c r="J72" s="465" t="s">
        <v>135</v>
      </c>
      <c r="K72" s="149">
        <v>0</v>
      </c>
      <c r="L72" s="149">
        <v>0</v>
      </c>
      <c r="M72" s="149">
        <v>0</v>
      </c>
      <c r="N72" s="149">
        <v>0</v>
      </c>
      <c r="O72" s="149">
        <v>0</v>
      </c>
      <c r="P72" s="149">
        <v>0</v>
      </c>
      <c r="Q72" s="149">
        <v>0</v>
      </c>
      <c r="R72" s="149">
        <v>0</v>
      </c>
      <c r="S72" s="149">
        <v>374323</v>
      </c>
      <c r="T72" s="149">
        <v>427799</v>
      </c>
      <c r="U72" s="149">
        <v>265488</v>
      </c>
      <c r="V72" s="149">
        <v>265488</v>
      </c>
      <c r="W72" s="149">
        <v>200543</v>
      </c>
      <c r="X72" s="149">
        <v>200543</v>
      </c>
      <c r="Y72" s="149">
        <v>178260</v>
      </c>
      <c r="Z72" s="149">
        <v>178260</v>
      </c>
      <c r="AA72" s="149">
        <v>160436</v>
      </c>
      <c r="AB72" s="149">
        <v>0</v>
      </c>
      <c r="AC72" s="149">
        <v>0</v>
      </c>
      <c r="AD72" s="149">
        <v>0</v>
      </c>
      <c r="AE72" s="149">
        <v>0</v>
      </c>
      <c r="AF72" s="149">
        <v>0</v>
      </c>
      <c r="AG72" s="149">
        <v>0</v>
      </c>
      <c r="AH72" s="149">
        <v>0</v>
      </c>
      <c r="AI72" s="149">
        <v>0</v>
      </c>
      <c r="AJ72" s="149">
        <v>0</v>
      </c>
      <c r="AK72" s="149">
        <v>0</v>
      </c>
      <c r="AL72" s="149">
        <v>0</v>
      </c>
      <c r="AM72" s="149">
        <v>0</v>
      </c>
      <c r="AN72" s="149">
        <v>0</v>
      </c>
      <c r="AO72" s="149">
        <v>0</v>
      </c>
      <c r="AP72" s="149">
        <v>0</v>
      </c>
      <c r="AQ72" s="149">
        <v>0</v>
      </c>
      <c r="AR72" s="149">
        <v>0</v>
      </c>
      <c r="AS72" s="149">
        <v>0</v>
      </c>
      <c r="AT72" s="149">
        <v>0</v>
      </c>
      <c r="AU72" s="149">
        <v>0</v>
      </c>
      <c r="AV72" s="149">
        <v>0</v>
      </c>
      <c r="AW72" s="149">
        <v>0</v>
      </c>
      <c r="AX72" s="149">
        <v>0</v>
      </c>
      <c r="AY72" s="161">
        <f t="shared" si="2"/>
        <v>2251140</v>
      </c>
      <c r="AZ72" s="277">
        <f t="shared" si="1"/>
        <v>2251140</v>
      </c>
    </row>
    <row r="73" spans="1:52" s="3" customFormat="1" ht="34" customHeight="1" x14ac:dyDescent="0.3">
      <c r="A73" s="49"/>
      <c r="B73" s="439"/>
      <c r="C73" s="469"/>
      <c r="D73" s="454"/>
      <c r="E73" s="470"/>
      <c r="F73" s="470"/>
      <c r="G73" s="468"/>
      <c r="H73" s="468"/>
      <c r="I73" s="56"/>
      <c r="J73" s="465"/>
      <c r="K73" s="147"/>
      <c r="L73" s="59"/>
      <c r="M73" s="59"/>
      <c r="N73" s="59"/>
      <c r="O73" s="59"/>
      <c r="P73" s="59"/>
      <c r="Q73" s="59"/>
      <c r="R73" s="60"/>
      <c r="S73" s="60"/>
      <c r="T73" s="60">
        <v>802122</v>
      </c>
      <c r="U73" s="60"/>
      <c r="V73" s="60">
        <v>530976</v>
      </c>
      <c r="W73" s="60"/>
      <c r="X73" s="60">
        <v>401086</v>
      </c>
      <c r="Y73" s="60"/>
      <c r="Z73" s="60">
        <v>356520</v>
      </c>
      <c r="AA73" s="60"/>
      <c r="AB73" s="60">
        <v>160436</v>
      </c>
      <c r="AC73" s="60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150"/>
      <c r="AY73" s="161">
        <f t="shared" si="2"/>
        <v>2251140</v>
      </c>
      <c r="AZ73" s="277">
        <f t="shared" si="1"/>
        <v>2251140</v>
      </c>
    </row>
    <row r="74" spans="1:52" s="3" customFormat="1" ht="52" customHeight="1" x14ac:dyDescent="0.3">
      <c r="A74" s="49"/>
      <c r="B74" s="439"/>
      <c r="C74" s="469" t="s">
        <v>253</v>
      </c>
      <c r="D74" s="454" t="s">
        <v>96</v>
      </c>
      <c r="E74" s="470">
        <v>44593</v>
      </c>
      <c r="F74" s="470">
        <v>45351</v>
      </c>
      <c r="G74" s="462">
        <v>52834680</v>
      </c>
      <c r="H74" s="462">
        <v>52834680</v>
      </c>
      <c r="I74" s="56"/>
      <c r="J74" s="466" t="s">
        <v>97</v>
      </c>
      <c r="K74" s="146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58">
        <v>0</v>
      </c>
      <c r="X74" s="58">
        <v>0</v>
      </c>
      <c r="Y74" s="58">
        <v>0</v>
      </c>
      <c r="Z74" s="58">
        <v>930000</v>
      </c>
      <c r="AA74" s="58">
        <v>0</v>
      </c>
      <c r="AB74" s="58">
        <v>0</v>
      </c>
      <c r="AC74" s="58">
        <v>0</v>
      </c>
      <c r="AD74" s="57">
        <v>0</v>
      </c>
      <c r="AE74" s="57">
        <v>0</v>
      </c>
      <c r="AF74" s="57">
        <v>0</v>
      </c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>
        <v>0</v>
      </c>
      <c r="AR74" s="57"/>
      <c r="AS74" s="57"/>
      <c r="AT74" s="57"/>
      <c r="AU74" s="57"/>
      <c r="AV74" s="57">
        <v>51904680</v>
      </c>
      <c r="AW74" s="57"/>
      <c r="AX74" s="149"/>
      <c r="AY74" s="161">
        <f t="shared" si="2"/>
        <v>52834680</v>
      </c>
      <c r="AZ74" s="277">
        <f t="shared" si="1"/>
        <v>52834680</v>
      </c>
    </row>
    <row r="75" spans="1:52" s="3" customFormat="1" ht="13" x14ac:dyDescent="0.3">
      <c r="A75" s="49"/>
      <c r="B75" s="439"/>
      <c r="C75" s="469"/>
      <c r="D75" s="454"/>
      <c r="E75" s="470"/>
      <c r="F75" s="470"/>
      <c r="G75" s="462"/>
      <c r="H75" s="462"/>
      <c r="I75" s="56"/>
      <c r="J75" s="466"/>
      <c r="K75" s="147"/>
      <c r="L75" s="59"/>
      <c r="M75" s="59"/>
      <c r="N75" s="59"/>
      <c r="O75" s="59"/>
      <c r="P75" s="59"/>
      <c r="Q75" s="59"/>
      <c r="R75" s="60"/>
      <c r="S75" s="60"/>
      <c r="T75" s="60"/>
      <c r="U75" s="60"/>
      <c r="V75" s="60"/>
      <c r="W75" s="60"/>
      <c r="X75" s="60"/>
      <c r="Y75" s="60"/>
      <c r="Z75" s="60">
        <v>930000</v>
      </c>
      <c r="AA75" s="60"/>
      <c r="AB75" s="60"/>
      <c r="AC75" s="60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150"/>
      <c r="AY75" s="161">
        <f t="shared" si="2"/>
        <v>930000</v>
      </c>
      <c r="AZ75" s="277">
        <f t="shared" si="1"/>
        <v>930000</v>
      </c>
    </row>
    <row r="76" spans="1:52" s="3" customFormat="1" ht="23.5" customHeight="1" x14ac:dyDescent="0.3">
      <c r="A76" s="49"/>
      <c r="B76" s="439"/>
      <c r="C76" s="469" t="s">
        <v>463</v>
      </c>
      <c r="D76" s="454" t="s">
        <v>96</v>
      </c>
      <c r="E76" s="470">
        <v>44593</v>
      </c>
      <c r="F76" s="470">
        <v>45351</v>
      </c>
      <c r="G76" s="467">
        <v>200543</v>
      </c>
      <c r="H76" s="467">
        <v>200543</v>
      </c>
      <c r="I76" s="56"/>
      <c r="J76" s="465" t="s">
        <v>135</v>
      </c>
      <c r="K76" s="149">
        <v>0</v>
      </c>
      <c r="L76" s="149">
        <v>0</v>
      </c>
      <c r="M76" s="149">
        <v>0</v>
      </c>
      <c r="N76" s="149">
        <v>0</v>
      </c>
      <c r="O76" s="149">
        <v>0</v>
      </c>
      <c r="P76" s="149">
        <v>0</v>
      </c>
      <c r="Q76" s="149">
        <v>0</v>
      </c>
      <c r="R76" s="149">
        <v>0</v>
      </c>
      <c r="S76" s="149">
        <v>0</v>
      </c>
      <c r="T76" s="149">
        <v>0</v>
      </c>
      <c r="U76" s="149">
        <v>0</v>
      </c>
      <c r="V76" s="149">
        <v>0</v>
      </c>
      <c r="W76" s="149">
        <v>0</v>
      </c>
      <c r="X76" s="149">
        <v>0</v>
      </c>
      <c r="Y76" s="149">
        <v>0</v>
      </c>
      <c r="Z76" s="149">
        <v>0</v>
      </c>
      <c r="AA76" s="149">
        <v>0</v>
      </c>
      <c r="AB76" s="149">
        <v>0</v>
      </c>
      <c r="AC76" s="149">
        <v>200543</v>
      </c>
      <c r="AD76" s="149">
        <v>0</v>
      </c>
      <c r="AE76" s="149">
        <v>0</v>
      </c>
      <c r="AF76" s="149">
        <v>0</v>
      </c>
      <c r="AG76" s="149">
        <v>0</v>
      </c>
      <c r="AH76" s="149">
        <v>0</v>
      </c>
      <c r="AI76" s="149">
        <v>0</v>
      </c>
      <c r="AJ76" s="149">
        <v>0</v>
      </c>
      <c r="AK76" s="149">
        <v>0</v>
      </c>
      <c r="AL76" s="149">
        <v>0</v>
      </c>
      <c r="AM76" s="149">
        <v>0</v>
      </c>
      <c r="AN76" s="149">
        <v>0</v>
      </c>
      <c r="AO76" s="149">
        <v>0</v>
      </c>
      <c r="AP76" s="149">
        <v>0</v>
      </c>
      <c r="AQ76" s="149">
        <v>0</v>
      </c>
      <c r="AR76" s="149">
        <v>0</v>
      </c>
      <c r="AS76" s="149">
        <v>0</v>
      </c>
      <c r="AT76" s="149">
        <v>0</v>
      </c>
      <c r="AU76" s="149">
        <v>0</v>
      </c>
      <c r="AV76" s="149">
        <v>0</v>
      </c>
      <c r="AW76" s="149">
        <v>0</v>
      </c>
      <c r="AX76" s="149">
        <v>0</v>
      </c>
      <c r="AY76" s="161">
        <f t="shared" si="2"/>
        <v>200543</v>
      </c>
      <c r="AZ76" s="277">
        <f t="shared" si="1"/>
        <v>200543</v>
      </c>
    </row>
    <row r="77" spans="1:52" s="3" customFormat="1" ht="40.5" customHeight="1" x14ac:dyDescent="0.3">
      <c r="A77" s="49"/>
      <c r="B77" s="439"/>
      <c r="C77" s="469"/>
      <c r="D77" s="454"/>
      <c r="E77" s="470"/>
      <c r="F77" s="470"/>
      <c r="G77" s="468"/>
      <c r="H77" s="468"/>
      <c r="I77" s="56"/>
      <c r="J77" s="465"/>
      <c r="K77" s="147"/>
      <c r="L77" s="59"/>
      <c r="M77" s="59"/>
      <c r="N77" s="59"/>
      <c r="O77" s="59"/>
      <c r="P77" s="59"/>
      <c r="Q77" s="59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59">
        <v>200543</v>
      </c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150"/>
      <c r="AY77" s="161">
        <f t="shared" si="2"/>
        <v>200543</v>
      </c>
      <c r="AZ77" s="277">
        <f t="shared" si="1"/>
        <v>200543</v>
      </c>
    </row>
    <row r="78" spans="1:52" s="3" customFormat="1" ht="52" customHeight="1" x14ac:dyDescent="0.3">
      <c r="A78" s="49"/>
      <c r="B78" s="475" t="s">
        <v>262</v>
      </c>
      <c r="C78" s="469" t="s">
        <v>254</v>
      </c>
      <c r="D78" s="454" t="s">
        <v>96</v>
      </c>
      <c r="E78" s="470">
        <v>44409</v>
      </c>
      <c r="F78" s="470">
        <v>45351</v>
      </c>
      <c r="G78" s="462">
        <v>5758333.3300000001</v>
      </c>
      <c r="H78" s="462">
        <v>5758333.3300000001</v>
      </c>
      <c r="I78" s="56"/>
      <c r="J78" s="466" t="s">
        <v>97</v>
      </c>
      <c r="K78" s="146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58">
        <v>0</v>
      </c>
      <c r="S78" s="58">
        <v>0</v>
      </c>
      <c r="T78" s="58">
        <v>1983333.33</v>
      </c>
      <c r="U78" s="58">
        <v>0</v>
      </c>
      <c r="V78" s="58">
        <v>310000</v>
      </c>
      <c r="W78" s="58">
        <v>310000</v>
      </c>
      <c r="X78" s="58">
        <v>535000</v>
      </c>
      <c r="Y78" s="58">
        <v>1225000</v>
      </c>
      <c r="Z78" s="58">
        <v>620000</v>
      </c>
      <c r="AA78" s="58">
        <v>0</v>
      </c>
      <c r="AB78" s="58">
        <v>0</v>
      </c>
      <c r="AC78" s="58">
        <v>0</v>
      </c>
      <c r="AD78" s="57">
        <v>0</v>
      </c>
      <c r="AE78" s="57">
        <v>0</v>
      </c>
      <c r="AF78" s="57">
        <v>0</v>
      </c>
      <c r="AG78" s="57">
        <v>0</v>
      </c>
      <c r="AH78" s="57">
        <v>0</v>
      </c>
      <c r="AI78" s="57">
        <v>0</v>
      </c>
      <c r="AJ78" s="57">
        <v>0</v>
      </c>
      <c r="AK78" s="57">
        <v>0</v>
      </c>
      <c r="AL78" s="57">
        <v>0</v>
      </c>
      <c r="AM78" s="57">
        <v>0</v>
      </c>
      <c r="AN78" s="57">
        <v>775000</v>
      </c>
      <c r="AO78" s="149">
        <v>0</v>
      </c>
      <c r="AP78" s="149">
        <v>0</v>
      </c>
      <c r="AQ78" s="149">
        <v>0</v>
      </c>
      <c r="AR78" s="149">
        <v>0</v>
      </c>
      <c r="AS78" s="149">
        <v>0</v>
      </c>
      <c r="AT78" s="149">
        <v>0</v>
      </c>
      <c r="AU78" s="149">
        <v>0</v>
      </c>
      <c r="AV78" s="149">
        <v>0</v>
      </c>
      <c r="AW78" s="149">
        <v>0</v>
      </c>
      <c r="AX78" s="149">
        <v>0</v>
      </c>
      <c r="AY78" s="161">
        <f t="shared" ref="AY78:AY89" si="3">SUM(K78:AX78)</f>
        <v>5758333.3300000001</v>
      </c>
      <c r="AZ78" s="277">
        <f t="shared" si="1"/>
        <v>5758333.3300000001</v>
      </c>
    </row>
    <row r="79" spans="1:52" s="3" customFormat="1" ht="13" x14ac:dyDescent="0.3">
      <c r="A79" s="49"/>
      <c r="B79" s="475"/>
      <c r="C79" s="469"/>
      <c r="D79" s="454"/>
      <c r="E79" s="470"/>
      <c r="F79" s="470"/>
      <c r="G79" s="462"/>
      <c r="H79" s="462"/>
      <c r="I79" s="56"/>
      <c r="J79" s="466"/>
      <c r="K79" s="147"/>
      <c r="L79" s="59"/>
      <c r="M79" s="59"/>
      <c r="N79" s="59"/>
      <c r="O79" s="59"/>
      <c r="P79" s="59"/>
      <c r="Q79" s="59"/>
      <c r="R79" s="60"/>
      <c r="S79" s="60"/>
      <c r="T79" s="60">
        <v>1983333</v>
      </c>
      <c r="U79" s="60"/>
      <c r="V79" s="60">
        <v>310000</v>
      </c>
      <c r="W79" s="60">
        <v>310000</v>
      </c>
      <c r="X79" s="60">
        <v>535000</v>
      </c>
      <c r="Y79" s="60">
        <v>1225000</v>
      </c>
      <c r="Z79" s="60">
        <v>620000</v>
      </c>
      <c r="AA79" s="60"/>
      <c r="AB79" s="60"/>
      <c r="AC79" s="60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>
        <v>775000</v>
      </c>
      <c r="AO79" s="59"/>
      <c r="AP79" s="59"/>
      <c r="AQ79" s="59"/>
      <c r="AR79" s="59"/>
      <c r="AS79" s="59"/>
      <c r="AT79" s="59"/>
      <c r="AU79" s="59"/>
      <c r="AV79" s="59"/>
      <c r="AW79" s="59"/>
      <c r="AX79" s="150"/>
      <c r="AY79" s="161">
        <f t="shared" si="3"/>
        <v>5758333</v>
      </c>
      <c r="AZ79" s="277">
        <f t="shared" ref="AZ79:AZ89" si="4">SUM(K79:AX79)</f>
        <v>5758333</v>
      </c>
    </row>
    <row r="80" spans="1:52" s="3" customFormat="1" ht="22.5" customHeight="1" x14ac:dyDescent="0.3">
      <c r="A80" s="49"/>
      <c r="B80" s="475"/>
      <c r="C80" s="469" t="s">
        <v>464</v>
      </c>
      <c r="D80" s="454" t="s">
        <v>96</v>
      </c>
      <c r="E80" s="470">
        <v>44409</v>
      </c>
      <c r="F80" s="470">
        <v>45351</v>
      </c>
      <c r="G80" s="467">
        <v>1662905</v>
      </c>
      <c r="H80" s="467">
        <v>1662905</v>
      </c>
      <c r="I80" s="56"/>
      <c r="J80" s="465" t="s">
        <v>135</v>
      </c>
      <c r="K80" s="146">
        <v>0</v>
      </c>
      <c r="L80" s="146">
        <v>0</v>
      </c>
      <c r="M80" s="146">
        <v>0</v>
      </c>
      <c r="N80" s="146">
        <v>0</v>
      </c>
      <c r="O80" s="146">
        <v>0</v>
      </c>
      <c r="P80" s="146">
        <v>0</v>
      </c>
      <c r="Q80" s="146">
        <v>0</v>
      </c>
      <c r="R80" s="146">
        <v>0</v>
      </c>
      <c r="S80" s="146">
        <v>374324</v>
      </c>
      <c r="T80" s="146">
        <v>0</v>
      </c>
      <c r="U80" s="146">
        <v>265487</v>
      </c>
      <c r="V80" s="146">
        <v>265488</v>
      </c>
      <c r="W80" s="146">
        <v>200543</v>
      </c>
      <c r="X80" s="146">
        <v>200543</v>
      </c>
      <c r="Y80" s="146">
        <v>178260</v>
      </c>
      <c r="Z80" s="146">
        <v>178260</v>
      </c>
      <c r="AA80" s="146">
        <v>0</v>
      </c>
      <c r="AB80" s="146">
        <v>0</v>
      </c>
      <c r="AC80" s="146">
        <v>0</v>
      </c>
      <c r="AD80" s="146">
        <v>0</v>
      </c>
      <c r="AE80" s="146">
        <v>0</v>
      </c>
      <c r="AF80" s="146">
        <v>0</v>
      </c>
      <c r="AG80" s="146">
        <v>0</v>
      </c>
      <c r="AH80" s="146">
        <v>0</v>
      </c>
      <c r="AI80" s="146">
        <v>0</v>
      </c>
      <c r="AJ80" s="146">
        <v>0</v>
      </c>
      <c r="AK80" s="146">
        <v>0</v>
      </c>
      <c r="AL80" s="146">
        <v>0</v>
      </c>
      <c r="AM80" s="146">
        <v>0</v>
      </c>
      <c r="AN80" s="146">
        <v>0</v>
      </c>
      <c r="AO80" s="146">
        <v>0</v>
      </c>
      <c r="AP80" s="146">
        <v>0</v>
      </c>
      <c r="AQ80" s="146">
        <v>0</v>
      </c>
      <c r="AR80" s="146">
        <v>0</v>
      </c>
      <c r="AS80" s="146">
        <v>0</v>
      </c>
      <c r="AT80" s="146">
        <v>0</v>
      </c>
      <c r="AU80" s="146">
        <v>0</v>
      </c>
      <c r="AV80" s="146">
        <v>0</v>
      </c>
      <c r="AW80" s="146">
        <v>0</v>
      </c>
      <c r="AX80" s="146">
        <v>0</v>
      </c>
      <c r="AY80" s="161">
        <f t="shared" si="3"/>
        <v>1662905</v>
      </c>
      <c r="AZ80" s="277">
        <f t="shared" si="4"/>
        <v>1662905</v>
      </c>
    </row>
    <row r="81" spans="1:52" s="3" customFormat="1" ht="36.5" customHeight="1" x14ac:dyDescent="0.3">
      <c r="A81" s="49"/>
      <c r="B81" s="475"/>
      <c r="C81" s="469"/>
      <c r="D81" s="454"/>
      <c r="E81" s="470"/>
      <c r="F81" s="470"/>
      <c r="G81" s="468"/>
      <c r="H81" s="468"/>
      <c r="I81" s="56"/>
      <c r="J81" s="465"/>
      <c r="K81" s="147"/>
      <c r="L81" s="59"/>
      <c r="M81" s="59"/>
      <c r="N81" s="59"/>
      <c r="O81" s="59"/>
      <c r="P81" s="59"/>
      <c r="Q81" s="59"/>
      <c r="R81" s="60"/>
      <c r="S81" s="60"/>
      <c r="T81" s="60">
        <v>374324</v>
      </c>
      <c r="U81" s="60"/>
      <c r="V81" s="60">
        <v>530975</v>
      </c>
      <c r="W81" s="60"/>
      <c r="X81" s="60">
        <v>401086</v>
      </c>
      <c r="Y81" s="60"/>
      <c r="Z81" s="60">
        <v>356520</v>
      </c>
      <c r="AA81" s="60"/>
      <c r="AB81" s="60"/>
      <c r="AC81" s="60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150"/>
      <c r="AY81" s="161">
        <f t="shared" si="3"/>
        <v>1662905</v>
      </c>
      <c r="AZ81" s="277">
        <f t="shared" si="4"/>
        <v>1662905</v>
      </c>
    </row>
    <row r="82" spans="1:52" s="3" customFormat="1" ht="39" customHeight="1" x14ac:dyDescent="0.3">
      <c r="A82" s="49"/>
      <c r="B82" s="475"/>
      <c r="C82" s="469" t="s">
        <v>255</v>
      </c>
      <c r="D82" s="454" t="s">
        <v>96</v>
      </c>
      <c r="E82" s="470">
        <v>44409</v>
      </c>
      <c r="F82" s="470">
        <v>45351</v>
      </c>
      <c r="G82" s="462">
        <v>161855883</v>
      </c>
      <c r="H82" s="462">
        <v>161855883</v>
      </c>
      <c r="I82" s="56"/>
      <c r="J82" s="466" t="s">
        <v>97</v>
      </c>
      <c r="K82" s="146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8">
        <v>0</v>
      </c>
      <c r="S82" s="58">
        <v>0</v>
      </c>
      <c r="T82" s="58">
        <v>0</v>
      </c>
      <c r="U82" s="58">
        <v>1033333</v>
      </c>
      <c r="V82" s="58">
        <v>0</v>
      </c>
      <c r="W82" s="58">
        <v>0</v>
      </c>
      <c r="X82" s="58">
        <v>0</v>
      </c>
      <c r="Y82" s="58">
        <v>0</v>
      </c>
      <c r="Z82" s="58">
        <v>0</v>
      </c>
      <c r="AA82" s="58">
        <v>0</v>
      </c>
      <c r="AB82" s="58">
        <v>0</v>
      </c>
      <c r="AC82" s="58"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0</v>
      </c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7">
        <v>0</v>
      </c>
      <c r="AO82" s="57">
        <v>0</v>
      </c>
      <c r="AP82" s="57">
        <v>0</v>
      </c>
      <c r="AQ82" s="57">
        <v>0</v>
      </c>
      <c r="AR82" s="57">
        <v>0</v>
      </c>
      <c r="AS82" s="57">
        <v>0</v>
      </c>
      <c r="AT82" s="57">
        <v>0</v>
      </c>
      <c r="AU82" s="57">
        <v>0</v>
      </c>
      <c r="AV82" s="57">
        <v>160822550</v>
      </c>
      <c r="AW82" s="57">
        <v>0</v>
      </c>
      <c r="AX82" s="149">
        <v>0</v>
      </c>
      <c r="AY82" s="161">
        <f t="shared" si="3"/>
        <v>161855883</v>
      </c>
      <c r="AZ82" s="277">
        <f t="shared" si="4"/>
        <v>161855883</v>
      </c>
    </row>
    <row r="83" spans="1:52" s="3" customFormat="1" ht="13" x14ac:dyDescent="0.3">
      <c r="A83" s="49"/>
      <c r="B83" s="475"/>
      <c r="C83" s="469"/>
      <c r="D83" s="454"/>
      <c r="E83" s="470"/>
      <c r="F83" s="470"/>
      <c r="G83" s="462"/>
      <c r="H83" s="462"/>
      <c r="I83" s="56"/>
      <c r="J83" s="466"/>
      <c r="K83" s="147"/>
      <c r="L83" s="59"/>
      <c r="M83" s="59"/>
      <c r="N83" s="59"/>
      <c r="O83" s="59"/>
      <c r="P83" s="59"/>
      <c r="Q83" s="59"/>
      <c r="R83" s="60"/>
      <c r="S83" s="60"/>
      <c r="T83" s="60"/>
      <c r="U83" s="60">
        <v>1033332</v>
      </c>
      <c r="V83" s="60"/>
      <c r="W83" s="60"/>
      <c r="X83" s="60"/>
      <c r="Y83" s="60"/>
      <c r="Z83" s="60"/>
      <c r="AA83" s="60"/>
      <c r="AB83" s="60"/>
      <c r="AC83" s="60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150"/>
      <c r="AY83" s="161">
        <f t="shared" si="3"/>
        <v>1033332</v>
      </c>
      <c r="AZ83" s="277">
        <f t="shared" si="4"/>
        <v>1033332</v>
      </c>
    </row>
    <row r="84" spans="1:52" s="3" customFormat="1" ht="13" x14ac:dyDescent="0.3">
      <c r="A84" s="49"/>
      <c r="B84" s="475"/>
      <c r="C84" s="469" t="s">
        <v>465</v>
      </c>
      <c r="D84" s="454" t="s">
        <v>96</v>
      </c>
      <c r="E84" s="470">
        <v>44409</v>
      </c>
      <c r="F84" s="470">
        <v>45351</v>
      </c>
      <c r="G84" s="467">
        <v>573648</v>
      </c>
      <c r="H84" s="467">
        <v>573648</v>
      </c>
      <c r="I84" s="56"/>
      <c r="J84" s="465" t="s">
        <v>135</v>
      </c>
      <c r="K84" s="146">
        <v>0</v>
      </c>
      <c r="L84" s="146">
        <v>0</v>
      </c>
      <c r="M84" s="146">
        <v>0</v>
      </c>
      <c r="N84" s="146">
        <v>0</v>
      </c>
      <c r="O84" s="146">
        <v>0</v>
      </c>
      <c r="P84" s="146">
        <v>0</v>
      </c>
      <c r="Q84" s="146">
        <v>0</v>
      </c>
      <c r="R84" s="146">
        <v>0</v>
      </c>
      <c r="S84" s="146">
        <v>0</v>
      </c>
      <c r="T84" s="146">
        <v>427798</v>
      </c>
      <c r="U84" s="146">
        <v>0</v>
      </c>
      <c r="V84" s="146">
        <v>0</v>
      </c>
      <c r="W84" s="146">
        <v>0</v>
      </c>
      <c r="X84" s="146">
        <v>0</v>
      </c>
      <c r="Y84" s="146">
        <v>0</v>
      </c>
      <c r="Z84" s="146">
        <v>0</v>
      </c>
      <c r="AA84" s="146">
        <v>0</v>
      </c>
      <c r="AB84" s="146">
        <v>145850</v>
      </c>
      <c r="AC84" s="146">
        <v>0</v>
      </c>
      <c r="AD84" s="146">
        <v>0</v>
      </c>
      <c r="AE84" s="146">
        <v>0</v>
      </c>
      <c r="AF84" s="146">
        <v>0</v>
      </c>
      <c r="AG84" s="146">
        <v>0</v>
      </c>
      <c r="AH84" s="146">
        <v>0</v>
      </c>
      <c r="AI84" s="146">
        <v>0</v>
      </c>
      <c r="AJ84" s="146">
        <v>0</v>
      </c>
      <c r="AK84" s="146">
        <v>0</v>
      </c>
      <c r="AL84" s="146">
        <v>0</v>
      </c>
      <c r="AM84" s="146">
        <v>0</v>
      </c>
      <c r="AN84" s="146">
        <v>0</v>
      </c>
      <c r="AO84" s="146">
        <v>0</v>
      </c>
      <c r="AP84" s="146">
        <v>0</v>
      </c>
      <c r="AQ84" s="146">
        <v>0</v>
      </c>
      <c r="AR84" s="146">
        <v>0</v>
      </c>
      <c r="AS84" s="146">
        <v>0</v>
      </c>
      <c r="AT84" s="146">
        <v>0</v>
      </c>
      <c r="AU84" s="146">
        <v>0</v>
      </c>
      <c r="AV84" s="146">
        <v>0</v>
      </c>
      <c r="AW84" s="146">
        <v>0</v>
      </c>
      <c r="AX84" s="146">
        <v>0</v>
      </c>
      <c r="AY84" s="161">
        <f t="shared" si="3"/>
        <v>573648</v>
      </c>
      <c r="AZ84" s="277">
        <f t="shared" si="4"/>
        <v>573648</v>
      </c>
    </row>
    <row r="85" spans="1:52" s="3" customFormat="1" ht="37" customHeight="1" x14ac:dyDescent="0.3">
      <c r="A85" s="49"/>
      <c r="B85" s="475"/>
      <c r="C85" s="469"/>
      <c r="D85" s="454"/>
      <c r="E85" s="470"/>
      <c r="F85" s="470"/>
      <c r="G85" s="468"/>
      <c r="H85" s="468"/>
      <c r="I85" s="56"/>
      <c r="J85" s="465"/>
      <c r="K85" s="147"/>
      <c r="L85" s="59"/>
      <c r="M85" s="59"/>
      <c r="N85" s="59"/>
      <c r="O85" s="59"/>
      <c r="P85" s="59"/>
      <c r="Q85" s="59"/>
      <c r="R85" s="60"/>
      <c r="S85" s="60"/>
      <c r="T85" s="60">
        <v>427798</v>
      </c>
      <c r="U85" s="60"/>
      <c r="V85" s="60"/>
      <c r="W85" s="60"/>
      <c r="X85" s="60"/>
      <c r="Y85" s="60"/>
      <c r="Z85" s="60"/>
      <c r="AA85" s="60"/>
      <c r="AB85" s="60">
        <v>145850</v>
      </c>
      <c r="AC85" s="60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150"/>
      <c r="AY85" s="161">
        <f t="shared" si="3"/>
        <v>573648</v>
      </c>
      <c r="AZ85" s="277">
        <f t="shared" si="4"/>
        <v>573648</v>
      </c>
    </row>
    <row r="86" spans="1:52" s="3" customFormat="1" ht="37" customHeight="1" x14ac:dyDescent="0.3">
      <c r="A86" s="49"/>
      <c r="B86" s="439" t="s">
        <v>466</v>
      </c>
      <c r="C86" s="477" t="s">
        <v>256</v>
      </c>
      <c r="D86" s="454" t="s">
        <v>96</v>
      </c>
      <c r="E86" s="480">
        <v>44256</v>
      </c>
      <c r="F86" s="470">
        <v>45351</v>
      </c>
      <c r="G86" s="486">
        <v>27900000</v>
      </c>
      <c r="H86" s="486">
        <v>27900000</v>
      </c>
      <c r="I86" s="56"/>
      <c r="J86" s="466" t="s">
        <v>97</v>
      </c>
      <c r="K86" s="146">
        <v>0</v>
      </c>
      <c r="L86" s="57">
        <v>0</v>
      </c>
      <c r="M86" s="57">
        <v>0</v>
      </c>
      <c r="N86" s="57">
        <v>0</v>
      </c>
      <c r="O86" s="57">
        <v>1550000</v>
      </c>
      <c r="P86" s="57">
        <v>1550000</v>
      </c>
      <c r="Q86" s="57">
        <v>1550000</v>
      </c>
      <c r="R86" s="58">
        <v>1550000</v>
      </c>
      <c r="S86" s="58">
        <v>1550000</v>
      </c>
      <c r="T86" s="58">
        <v>1550000</v>
      </c>
      <c r="U86" s="58">
        <v>1550000</v>
      </c>
      <c r="V86" s="58">
        <v>1550000</v>
      </c>
      <c r="W86" s="58">
        <v>1550000</v>
      </c>
      <c r="X86" s="58">
        <v>1550000</v>
      </c>
      <c r="Y86" s="58">
        <v>1550000</v>
      </c>
      <c r="Z86" s="58">
        <v>1447000</v>
      </c>
      <c r="AA86" s="58">
        <v>1292500</v>
      </c>
      <c r="AB86" s="58">
        <v>1550000</v>
      </c>
      <c r="AC86" s="58">
        <v>1550000</v>
      </c>
      <c r="AD86" s="57">
        <v>1550000</v>
      </c>
      <c r="AE86" s="57">
        <v>1550000</v>
      </c>
      <c r="AF86" s="57">
        <v>1910500</v>
      </c>
      <c r="AG86" s="57">
        <v>0</v>
      </c>
      <c r="AH86" s="57">
        <v>0</v>
      </c>
      <c r="AI86" s="57">
        <v>0</v>
      </c>
      <c r="AJ86" s="57">
        <v>0</v>
      </c>
      <c r="AK86" s="57">
        <v>0</v>
      </c>
      <c r="AL86" s="57">
        <v>0</v>
      </c>
      <c r="AM86" s="57">
        <v>0</v>
      </c>
      <c r="AN86" s="57">
        <v>0</v>
      </c>
      <c r="AO86" s="57">
        <v>0</v>
      </c>
      <c r="AP86" s="57">
        <v>0</v>
      </c>
      <c r="AQ86" s="57">
        <v>0</v>
      </c>
      <c r="AR86" s="57">
        <v>0</v>
      </c>
      <c r="AS86" s="57">
        <v>0</v>
      </c>
      <c r="AT86" s="57">
        <v>0</v>
      </c>
      <c r="AU86" s="57">
        <v>0</v>
      </c>
      <c r="AV86" s="57">
        <v>0</v>
      </c>
      <c r="AW86" s="57">
        <v>0</v>
      </c>
      <c r="AX86" s="57">
        <v>0</v>
      </c>
      <c r="AY86" s="161">
        <f t="shared" si="3"/>
        <v>27900000</v>
      </c>
      <c r="AZ86" s="277">
        <f t="shared" si="4"/>
        <v>27900000</v>
      </c>
    </row>
    <row r="87" spans="1:52" x14ac:dyDescent="0.35">
      <c r="A87" s="1"/>
      <c r="B87" s="439"/>
      <c r="C87" s="477"/>
      <c r="D87" s="454"/>
      <c r="E87" s="480"/>
      <c r="F87" s="470"/>
      <c r="G87" s="486"/>
      <c r="H87" s="486"/>
      <c r="I87" s="8"/>
      <c r="J87" s="466"/>
      <c r="K87" s="147"/>
      <c r="L87" s="59"/>
      <c r="M87" s="59"/>
      <c r="N87" s="59"/>
      <c r="O87" s="59">
        <v>1550000</v>
      </c>
      <c r="P87" s="59">
        <v>1550000</v>
      </c>
      <c r="Q87" s="59">
        <v>1550000</v>
      </c>
      <c r="R87" s="60">
        <v>1550000</v>
      </c>
      <c r="S87" s="60">
        <v>1550000</v>
      </c>
      <c r="T87" s="60">
        <v>1550000</v>
      </c>
      <c r="U87" s="60">
        <v>1550000</v>
      </c>
      <c r="V87" s="60">
        <v>1550000</v>
      </c>
      <c r="W87" s="60">
        <v>1550000</v>
      </c>
      <c r="X87" s="60">
        <v>1550000</v>
      </c>
      <c r="Y87" s="60">
        <v>1550000</v>
      </c>
      <c r="Z87" s="60">
        <v>1447000</v>
      </c>
      <c r="AA87" s="60">
        <v>1292500</v>
      </c>
      <c r="AB87" s="60">
        <v>1550000</v>
      </c>
      <c r="AC87" s="60">
        <v>1550000</v>
      </c>
      <c r="AD87" s="60">
        <v>1550000</v>
      </c>
      <c r="AE87" s="60">
        <v>1550000</v>
      </c>
      <c r="AF87" s="59">
        <v>1910500</v>
      </c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150"/>
      <c r="AY87" s="161">
        <f t="shared" si="3"/>
        <v>27900000</v>
      </c>
      <c r="AZ87" s="277">
        <f t="shared" si="4"/>
        <v>27900000</v>
      </c>
    </row>
    <row r="88" spans="1:52" x14ac:dyDescent="0.35">
      <c r="A88" s="1"/>
      <c r="B88" s="439" t="s">
        <v>467</v>
      </c>
      <c r="C88" s="477" t="s">
        <v>468</v>
      </c>
      <c r="D88" s="454" t="s">
        <v>96</v>
      </c>
      <c r="E88" s="480">
        <v>44256</v>
      </c>
      <c r="F88" s="470">
        <v>45351</v>
      </c>
      <c r="G88" s="484">
        <v>2418192</v>
      </c>
      <c r="H88" s="484">
        <v>2418192</v>
      </c>
      <c r="I88" s="8"/>
      <c r="J88" s="465" t="s">
        <v>135</v>
      </c>
      <c r="K88" s="149">
        <v>172728</v>
      </c>
      <c r="L88" s="149">
        <v>172728</v>
      </c>
      <c r="M88" s="149">
        <v>172728</v>
      </c>
      <c r="N88" s="149">
        <v>172728</v>
      </c>
      <c r="O88" s="149">
        <v>172728</v>
      </c>
      <c r="P88" s="149">
        <v>155455</v>
      </c>
      <c r="Q88" s="149">
        <v>155455</v>
      </c>
      <c r="R88" s="149">
        <v>113058</v>
      </c>
      <c r="S88" s="149">
        <v>113058</v>
      </c>
      <c r="T88" s="149">
        <v>113057</v>
      </c>
      <c r="U88" s="149">
        <v>82225</v>
      </c>
      <c r="V88" s="149">
        <v>82225</v>
      </c>
      <c r="W88" s="149">
        <v>61669</v>
      </c>
      <c r="X88" s="149">
        <v>61669</v>
      </c>
      <c r="Y88" s="149">
        <v>61669</v>
      </c>
      <c r="Z88" s="149">
        <v>61669</v>
      </c>
      <c r="AA88" s="149">
        <v>61669</v>
      </c>
      <c r="AB88" s="149">
        <v>61669</v>
      </c>
      <c r="AC88" s="149">
        <v>61668</v>
      </c>
      <c r="AD88" s="149">
        <v>61668</v>
      </c>
      <c r="AE88" s="149">
        <v>61668</v>
      </c>
      <c r="AF88" s="149">
        <v>61668</v>
      </c>
      <c r="AG88" s="149">
        <v>61668</v>
      </c>
      <c r="AH88" s="149">
        <v>61665</v>
      </c>
      <c r="AI88" s="149">
        <v>0</v>
      </c>
      <c r="AJ88" s="149">
        <v>0</v>
      </c>
      <c r="AK88" s="149">
        <v>0</v>
      </c>
      <c r="AL88" s="149">
        <v>0</v>
      </c>
      <c r="AM88" s="149">
        <v>0</v>
      </c>
      <c r="AN88" s="149">
        <v>0</v>
      </c>
      <c r="AO88" s="149">
        <v>0</v>
      </c>
      <c r="AP88" s="149">
        <v>0</v>
      </c>
      <c r="AQ88" s="149">
        <v>0</v>
      </c>
      <c r="AR88" s="149">
        <v>0</v>
      </c>
      <c r="AS88" s="149">
        <v>0</v>
      </c>
      <c r="AT88" s="149">
        <v>0</v>
      </c>
      <c r="AU88" s="149">
        <v>0</v>
      </c>
      <c r="AV88" s="149">
        <v>0</v>
      </c>
      <c r="AW88" s="149">
        <v>0</v>
      </c>
      <c r="AX88" s="149">
        <v>0</v>
      </c>
      <c r="AY88" s="161">
        <f t="shared" si="3"/>
        <v>2418192</v>
      </c>
      <c r="AZ88" s="277">
        <f t="shared" si="4"/>
        <v>2418192</v>
      </c>
    </row>
    <row r="89" spans="1:52" ht="15" thickBot="1" x14ac:dyDescent="0.4">
      <c r="A89" s="1"/>
      <c r="B89" s="476"/>
      <c r="C89" s="478"/>
      <c r="D89" s="479"/>
      <c r="E89" s="481"/>
      <c r="F89" s="482"/>
      <c r="G89" s="485"/>
      <c r="H89" s="485"/>
      <c r="I89" s="148"/>
      <c r="J89" s="483"/>
      <c r="K89" s="160"/>
      <c r="L89" s="151">
        <v>345456</v>
      </c>
      <c r="M89" s="151"/>
      <c r="N89" s="151">
        <v>345456</v>
      </c>
      <c r="O89" s="151"/>
      <c r="P89" s="151">
        <v>328183</v>
      </c>
      <c r="Q89" s="151"/>
      <c r="R89" s="152">
        <v>268513</v>
      </c>
      <c r="S89" s="152"/>
      <c r="T89" s="152">
        <v>226115</v>
      </c>
      <c r="U89" s="152"/>
      <c r="V89" s="152">
        <v>164450</v>
      </c>
      <c r="W89" s="152"/>
      <c r="X89" s="152">
        <v>123338</v>
      </c>
      <c r="Y89" s="152"/>
      <c r="Z89" s="152">
        <v>123338</v>
      </c>
      <c r="AA89" s="152"/>
      <c r="AB89" s="152">
        <v>123338</v>
      </c>
      <c r="AC89" s="152"/>
      <c r="AD89" s="152">
        <v>123336</v>
      </c>
      <c r="AE89" s="152"/>
      <c r="AF89" s="151">
        <v>123336</v>
      </c>
      <c r="AG89" s="151"/>
      <c r="AH89" s="151">
        <v>123333</v>
      </c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3"/>
      <c r="AY89" s="161">
        <f t="shared" si="3"/>
        <v>2418192</v>
      </c>
      <c r="AZ89" s="278">
        <f t="shared" si="4"/>
        <v>2418192</v>
      </c>
    </row>
    <row r="90" spans="1:52" s="36" customFormat="1" ht="13.5" thickBot="1" x14ac:dyDescent="0.35">
      <c r="A90" s="3"/>
      <c r="B90" s="145" t="s">
        <v>438</v>
      </c>
      <c r="C90" s="3"/>
      <c r="D90" s="3"/>
      <c r="E90" s="3"/>
      <c r="F90" s="3"/>
      <c r="G90" s="9"/>
      <c r="H90" s="9"/>
      <c r="I90" s="3"/>
      <c r="J90" s="3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2">
        <f>+AY88+AY86+AY84+AY82+AY80+AY78+AY76+AY74+AY72+AY70+AY68+AY66+AY64+AY62+AY60+AY58+AY56+AY54+AY52+AY50+AY48+AY46+AY44+AY42+AY40+AY38+AY36+AY34+AY32+AY30+AY28+AY26+AY24+AY22+AY20+AY18+AY16+AY14</f>
        <v>3144936286.4966664</v>
      </c>
      <c r="AZ90" s="275"/>
    </row>
    <row r="91" spans="1:52" x14ac:dyDescent="0.35">
      <c r="A91" s="1"/>
      <c r="B91" s="14" t="s">
        <v>101</v>
      </c>
      <c r="C91" s="1"/>
      <c r="D91" s="1"/>
      <c r="E91" s="1"/>
      <c r="F91" s="1"/>
      <c r="G91" s="1"/>
      <c r="H91" s="1"/>
      <c r="I91" s="1"/>
      <c r="J91" s="1"/>
      <c r="AY91" s="164">
        <f>+AY89+AY87+AY85+AY83+AY81+AY79+AY77+AY75+AY73+AY71+AY69+AY67+AY65+AY63+AY61+AY59+AY57+AY55+AY53+AY51+AY49+AY47+AY45+AY43+AY41+AY39+AY37+AY35+AY33+AY31+AY29+AY27+AY25+AY23+AY21+AY19+AY17+AY15</f>
        <v>743081312.39999998</v>
      </c>
    </row>
    <row r="92" spans="1:52" ht="15" thickBot="1" x14ac:dyDescent="0.4">
      <c r="A92" s="1"/>
      <c r="B92" s="15" t="s">
        <v>100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42"/>
    </row>
    <row r="93" spans="1:52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2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2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2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</sheetData>
  <sheetProtection algorithmName="SHA-512" hashValue="U7hR/h7s3EX1ygLLHAdxa1pnD0AO+IxqjZsp+bfR0QecYX+5KLZ8mf3WvNZDTQsY+vYQQcVZXi9bBQ1oGjpfiQ==" saltValue="qUMrPI6+7NhHxkL6VGTYWg==" spinCount="100000" sheet="1" objects="1" scenarios="1"/>
  <mergeCells count="302">
    <mergeCell ref="F84:F85"/>
    <mergeCell ref="J84:J85"/>
    <mergeCell ref="B78:B85"/>
    <mergeCell ref="B88:B89"/>
    <mergeCell ref="C88:C89"/>
    <mergeCell ref="D88:D89"/>
    <mergeCell ref="E88:E89"/>
    <mergeCell ref="F88:F89"/>
    <mergeCell ref="J88:J89"/>
    <mergeCell ref="G80:G81"/>
    <mergeCell ref="H80:H81"/>
    <mergeCell ref="G84:G85"/>
    <mergeCell ref="H84:H85"/>
    <mergeCell ref="G88:G89"/>
    <mergeCell ref="H88:H89"/>
    <mergeCell ref="H86:H87"/>
    <mergeCell ref="J86:J87"/>
    <mergeCell ref="J82:J83"/>
    <mergeCell ref="C86:C87"/>
    <mergeCell ref="D86:D87"/>
    <mergeCell ref="E86:E87"/>
    <mergeCell ref="F86:F87"/>
    <mergeCell ref="G86:G87"/>
    <mergeCell ref="C82:C83"/>
    <mergeCell ref="C76:C77"/>
    <mergeCell ref="B70:B77"/>
    <mergeCell ref="D76:D77"/>
    <mergeCell ref="E76:E77"/>
    <mergeCell ref="F76:F77"/>
    <mergeCell ref="J76:J77"/>
    <mergeCell ref="C80:C81"/>
    <mergeCell ref="D80:D81"/>
    <mergeCell ref="E80:E81"/>
    <mergeCell ref="F80:F81"/>
    <mergeCell ref="J80:J81"/>
    <mergeCell ref="G72:G73"/>
    <mergeCell ref="H72:H73"/>
    <mergeCell ref="G76:G77"/>
    <mergeCell ref="H76:H77"/>
    <mergeCell ref="H78:H79"/>
    <mergeCell ref="J78:J79"/>
    <mergeCell ref="J70:J71"/>
    <mergeCell ref="J60:J61"/>
    <mergeCell ref="C72:C73"/>
    <mergeCell ref="D72:D73"/>
    <mergeCell ref="E72:E73"/>
    <mergeCell ref="F72:F73"/>
    <mergeCell ref="J72:J73"/>
    <mergeCell ref="G40:G41"/>
    <mergeCell ref="H40:H41"/>
    <mergeCell ref="G44:G45"/>
    <mergeCell ref="H44:H45"/>
    <mergeCell ref="G48:G49"/>
    <mergeCell ref="H48:H49"/>
    <mergeCell ref="G52:G53"/>
    <mergeCell ref="H52:H53"/>
    <mergeCell ref="G56:G57"/>
    <mergeCell ref="H56:H57"/>
    <mergeCell ref="G60:G61"/>
    <mergeCell ref="C50:C51"/>
    <mergeCell ref="C54:C55"/>
    <mergeCell ref="D54:D55"/>
    <mergeCell ref="E54:E55"/>
    <mergeCell ref="F50:F51"/>
    <mergeCell ref="E50:E51"/>
    <mergeCell ref="D64:D65"/>
    <mergeCell ref="B38:B57"/>
    <mergeCell ref="C60:C61"/>
    <mergeCell ref="B60:B61"/>
    <mergeCell ref="D60:D61"/>
    <mergeCell ref="E60:E61"/>
    <mergeCell ref="F60:F61"/>
    <mergeCell ref="J64:J65"/>
    <mergeCell ref="J68:J69"/>
    <mergeCell ref="G64:G65"/>
    <mergeCell ref="H64:H65"/>
    <mergeCell ref="G68:G69"/>
    <mergeCell ref="H68:H69"/>
    <mergeCell ref="C44:C45"/>
    <mergeCell ref="D44:D45"/>
    <mergeCell ref="E44:E45"/>
    <mergeCell ref="F44:F45"/>
    <mergeCell ref="C48:C49"/>
    <mergeCell ref="D48:D49"/>
    <mergeCell ref="E48:E49"/>
    <mergeCell ref="F48:F49"/>
    <mergeCell ref="C52:C53"/>
    <mergeCell ref="B62:B69"/>
    <mergeCell ref="C64:C65"/>
    <mergeCell ref="J56:J57"/>
    <mergeCell ref="E64:E65"/>
    <mergeCell ref="F64:F65"/>
    <mergeCell ref="C68:C69"/>
    <mergeCell ref="D68:D69"/>
    <mergeCell ref="E68:E69"/>
    <mergeCell ref="F68:F69"/>
    <mergeCell ref="C28:C29"/>
    <mergeCell ref="B22:B29"/>
    <mergeCell ref="D28:D29"/>
    <mergeCell ref="E28:E29"/>
    <mergeCell ref="F28:F29"/>
    <mergeCell ref="D24:D25"/>
    <mergeCell ref="E24:E25"/>
    <mergeCell ref="F24:F25"/>
    <mergeCell ref="B36:B37"/>
    <mergeCell ref="C36:C37"/>
    <mergeCell ref="D36:D37"/>
    <mergeCell ref="E36:E37"/>
    <mergeCell ref="F36:F37"/>
    <mergeCell ref="C40:C41"/>
    <mergeCell ref="D40:D41"/>
    <mergeCell ref="E40:E41"/>
    <mergeCell ref="F40:F41"/>
    <mergeCell ref="B32:B33"/>
    <mergeCell ref="D32:D33"/>
    <mergeCell ref="E32:E33"/>
    <mergeCell ref="F32:F33"/>
    <mergeCell ref="G32:G33"/>
    <mergeCell ref="H32:H33"/>
    <mergeCell ref="C20:C21"/>
    <mergeCell ref="D20:D21"/>
    <mergeCell ref="E20:E21"/>
    <mergeCell ref="F20:F21"/>
    <mergeCell ref="G20:G21"/>
    <mergeCell ref="H20:H21"/>
    <mergeCell ref="D30:D31"/>
    <mergeCell ref="C32:C33"/>
    <mergeCell ref="E22:E23"/>
    <mergeCell ref="D22:D23"/>
    <mergeCell ref="C22:C23"/>
    <mergeCell ref="C26:C27"/>
    <mergeCell ref="D26:D27"/>
    <mergeCell ref="E26:E27"/>
    <mergeCell ref="F26:F27"/>
    <mergeCell ref="C24:C25"/>
    <mergeCell ref="B20:B21"/>
    <mergeCell ref="B16:B17"/>
    <mergeCell ref="C16:C17"/>
    <mergeCell ref="D16:D17"/>
    <mergeCell ref="F16:F17"/>
    <mergeCell ref="E16:E17"/>
    <mergeCell ref="G16:G17"/>
    <mergeCell ref="H16:H17"/>
    <mergeCell ref="J16:J17"/>
    <mergeCell ref="D82:D83"/>
    <mergeCell ref="E82:E83"/>
    <mergeCell ref="F82:F83"/>
    <mergeCell ref="G82:G83"/>
    <mergeCell ref="H82:H83"/>
    <mergeCell ref="C78:C79"/>
    <mergeCell ref="D78:D79"/>
    <mergeCell ref="E78:E79"/>
    <mergeCell ref="F78:F79"/>
    <mergeCell ref="G78:G79"/>
    <mergeCell ref="H50:H51"/>
    <mergeCell ref="G50:G51"/>
    <mergeCell ref="F66:F67"/>
    <mergeCell ref="G66:G67"/>
    <mergeCell ref="H58:H59"/>
    <mergeCell ref="C62:C63"/>
    <mergeCell ref="C84:C85"/>
    <mergeCell ref="D84:D85"/>
    <mergeCell ref="E84:E85"/>
    <mergeCell ref="H62:H63"/>
    <mergeCell ref="C58:C59"/>
    <mergeCell ref="D58:D59"/>
    <mergeCell ref="E58:E59"/>
    <mergeCell ref="F58:F59"/>
    <mergeCell ref="G58:G59"/>
    <mergeCell ref="H60:H61"/>
    <mergeCell ref="E52:E53"/>
    <mergeCell ref="F52:F53"/>
    <mergeCell ref="C56:C57"/>
    <mergeCell ref="D56:D57"/>
    <mergeCell ref="E56:E57"/>
    <mergeCell ref="F56:F57"/>
    <mergeCell ref="D50:D51"/>
    <mergeCell ref="H54:H55"/>
    <mergeCell ref="J66:J67"/>
    <mergeCell ref="J62:J63"/>
    <mergeCell ref="J58:J59"/>
    <mergeCell ref="C74:C75"/>
    <mergeCell ref="D74:D75"/>
    <mergeCell ref="E74:E75"/>
    <mergeCell ref="F74:F75"/>
    <mergeCell ref="G74:G75"/>
    <mergeCell ref="H74:H75"/>
    <mergeCell ref="J74:J75"/>
    <mergeCell ref="H66:H67"/>
    <mergeCell ref="C70:C71"/>
    <mergeCell ref="D70:D71"/>
    <mergeCell ref="E70:E71"/>
    <mergeCell ref="F70:F71"/>
    <mergeCell ref="G70:G71"/>
    <mergeCell ref="H70:H71"/>
    <mergeCell ref="C66:C67"/>
    <mergeCell ref="D66:D67"/>
    <mergeCell ref="E66:E67"/>
    <mergeCell ref="D62:D63"/>
    <mergeCell ref="E62:E63"/>
    <mergeCell ref="F62:F63"/>
    <mergeCell ref="G62:G63"/>
    <mergeCell ref="J46:J47"/>
    <mergeCell ref="J24:J25"/>
    <mergeCell ref="J50:J51"/>
    <mergeCell ref="J54:J55"/>
    <mergeCell ref="H38:H39"/>
    <mergeCell ref="H42:H43"/>
    <mergeCell ref="G42:G43"/>
    <mergeCell ref="G46:G47"/>
    <mergeCell ref="H46:H47"/>
    <mergeCell ref="H26:H27"/>
    <mergeCell ref="G26:G27"/>
    <mergeCell ref="G30:G31"/>
    <mergeCell ref="H30:H31"/>
    <mergeCell ref="H34:H35"/>
    <mergeCell ref="G34:G35"/>
    <mergeCell ref="J28:J29"/>
    <mergeCell ref="J36:J37"/>
    <mergeCell ref="J40:J41"/>
    <mergeCell ref="J44:J45"/>
    <mergeCell ref="J48:J49"/>
    <mergeCell ref="J52:J53"/>
    <mergeCell ref="G36:G37"/>
    <mergeCell ref="H36:H37"/>
    <mergeCell ref="G54:G55"/>
    <mergeCell ref="J14:J15"/>
    <mergeCell ref="J18:J19"/>
    <mergeCell ref="J22:J23"/>
    <mergeCell ref="J26:J27"/>
    <mergeCell ref="J30:J31"/>
    <mergeCell ref="J34:J35"/>
    <mergeCell ref="J38:J39"/>
    <mergeCell ref="J42:J43"/>
    <mergeCell ref="G24:G25"/>
    <mergeCell ref="H24:H25"/>
    <mergeCell ref="J32:J33"/>
    <mergeCell ref="J20:J21"/>
    <mergeCell ref="G28:G29"/>
    <mergeCell ref="H28:H29"/>
    <mergeCell ref="F54:F55"/>
    <mergeCell ref="H14:H15"/>
    <mergeCell ref="H18:H19"/>
    <mergeCell ref="G18:G19"/>
    <mergeCell ref="G22:G23"/>
    <mergeCell ref="H22:H23"/>
    <mergeCell ref="C46:C47"/>
    <mergeCell ref="D46:D47"/>
    <mergeCell ref="E46:E47"/>
    <mergeCell ref="F46:F47"/>
    <mergeCell ref="G14:G15"/>
    <mergeCell ref="G38:G39"/>
    <mergeCell ref="F38:F39"/>
    <mergeCell ref="E38:E39"/>
    <mergeCell ref="D38:D39"/>
    <mergeCell ref="C38:C39"/>
    <mergeCell ref="C42:C43"/>
    <mergeCell ref="D42:D43"/>
    <mergeCell ref="E42:E43"/>
    <mergeCell ref="F42:F43"/>
    <mergeCell ref="F30:F31"/>
    <mergeCell ref="E30:E31"/>
    <mergeCell ref="F22:F23"/>
    <mergeCell ref="D52:D53"/>
    <mergeCell ref="B86:B87"/>
    <mergeCell ref="C6:F6"/>
    <mergeCell ref="K12:AX12"/>
    <mergeCell ref="D10:F10"/>
    <mergeCell ref="G10:J10"/>
    <mergeCell ref="B12:J12"/>
    <mergeCell ref="B14:B15"/>
    <mergeCell ref="B18:B19"/>
    <mergeCell ref="B30:B31"/>
    <mergeCell ref="B34:B35"/>
    <mergeCell ref="B58:B59"/>
    <mergeCell ref="C14:C15"/>
    <mergeCell ref="D14:D15"/>
    <mergeCell ref="E14:E15"/>
    <mergeCell ref="F14:F15"/>
    <mergeCell ref="C18:C19"/>
    <mergeCell ref="D18:D19"/>
    <mergeCell ref="E18:E19"/>
    <mergeCell ref="F18:F19"/>
    <mergeCell ref="C30:C31"/>
    <mergeCell ref="C34:C35"/>
    <mergeCell ref="D34:D35"/>
    <mergeCell ref="E34:E35"/>
    <mergeCell ref="F34:F35"/>
    <mergeCell ref="C2:K2"/>
    <mergeCell ref="C3:K3"/>
    <mergeCell ref="C4:F4"/>
    <mergeCell ref="B7:B9"/>
    <mergeCell ref="G7:K7"/>
    <mergeCell ref="G8:K8"/>
    <mergeCell ref="G9:K9"/>
    <mergeCell ref="C7:F7"/>
    <mergeCell ref="C8:F8"/>
    <mergeCell ref="C9:F9"/>
    <mergeCell ref="H6:K6"/>
    <mergeCell ref="H4:K4"/>
    <mergeCell ref="H5:K5"/>
    <mergeCell ref="C5:F5"/>
  </mergeCells>
  <pageMargins left="0.75" right="0.75" top="1" bottom="1" header="0.5" footer="0.5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B26"/>
  <sheetViews>
    <sheetView showGridLines="0" topLeftCell="B1" workbookViewId="0">
      <pane xSplit="2" topLeftCell="D1" activePane="topRight" state="frozen"/>
      <selection activeCell="C10" sqref="C10"/>
      <selection pane="topRight" activeCell="DB22" sqref="DB22"/>
    </sheetView>
  </sheetViews>
  <sheetFormatPr baseColWidth="10" defaultRowHeight="14.5" x14ac:dyDescent="0.35"/>
  <cols>
    <col min="1" max="1" width="43.6328125" hidden="1" customWidth="1"/>
    <col min="2" max="2" width="35.453125" customWidth="1"/>
    <col min="3" max="3" width="25.1796875" bestFit="1" customWidth="1"/>
    <col min="4" max="4" width="7.26953125" bestFit="1" customWidth="1"/>
    <col min="5" max="5" width="10.54296875" customWidth="1"/>
    <col min="6" max="6" width="13.81640625" customWidth="1"/>
    <col min="7" max="7" width="20.54296875" customWidth="1"/>
    <col min="8" max="8" width="16.26953125" customWidth="1"/>
    <col min="9" max="9" width="10.08984375" customWidth="1"/>
    <col min="10" max="10" width="7.26953125" bestFit="1" customWidth="1"/>
    <col min="11" max="11" width="11.90625" bestFit="1" customWidth="1"/>
    <col min="12" max="12" width="12.81640625" bestFit="1" customWidth="1"/>
    <col min="13" max="13" width="13.7265625" bestFit="1" customWidth="1"/>
    <col min="14" max="16" width="11.81640625" bestFit="1" customWidth="1"/>
    <col min="17" max="17" width="13.7265625" bestFit="1" customWidth="1"/>
    <col min="18" max="20" width="11.81640625" bestFit="1" customWidth="1"/>
    <col min="21" max="21" width="13.54296875" bestFit="1" customWidth="1"/>
    <col min="22" max="22" width="13.7265625" bestFit="1" customWidth="1"/>
    <col min="23" max="25" width="11.81640625" bestFit="1" customWidth="1"/>
    <col min="26" max="26" width="13.54296875" bestFit="1" customWidth="1"/>
    <col min="27" max="28" width="11.81640625" bestFit="1" customWidth="1"/>
    <col min="29" max="29" width="13.7265625" bestFit="1" customWidth="1"/>
    <col min="30" max="31" width="11.81640625" bestFit="1" customWidth="1"/>
    <col min="32" max="32" width="11.7265625" customWidth="1"/>
    <col min="33" max="33" width="11.81640625" bestFit="1" customWidth="1"/>
    <col min="34" max="34" width="12.6328125" bestFit="1" customWidth="1"/>
    <col min="35" max="36" width="11.81640625" bestFit="1" customWidth="1"/>
    <col min="37" max="38" width="11.7265625" customWidth="1"/>
    <col min="39" max="40" width="11.81640625" bestFit="1" customWidth="1"/>
    <col min="41" max="42" width="12.6328125" bestFit="1" customWidth="1"/>
    <col min="43" max="45" width="11.7265625" customWidth="1"/>
    <col min="46" max="47" width="12.6328125" bestFit="1" customWidth="1"/>
    <col min="48" max="52" width="11.7265625" customWidth="1"/>
    <col min="53" max="53" width="12.6328125" bestFit="1" customWidth="1"/>
    <col min="54" max="94" width="11.7265625" customWidth="1"/>
    <col min="95" max="105" width="11.81640625" bestFit="1" customWidth="1"/>
    <col min="106" max="106" width="17.7265625" bestFit="1" customWidth="1"/>
  </cols>
  <sheetData>
    <row r="2" spans="1:106" x14ac:dyDescent="0.35">
      <c r="B2" s="26" t="s">
        <v>102</v>
      </c>
      <c r="C2" s="418">
        <v>2021000100001</v>
      </c>
      <c r="D2" s="419"/>
      <c r="E2" s="419"/>
      <c r="F2" s="419"/>
      <c r="G2" s="419"/>
      <c r="H2" s="419"/>
      <c r="I2" s="420"/>
    </row>
    <row r="3" spans="1:106" ht="36" customHeight="1" x14ac:dyDescent="0.35">
      <c r="B3" s="42" t="s">
        <v>103</v>
      </c>
      <c r="C3" s="503" t="s">
        <v>263</v>
      </c>
      <c r="D3" s="504"/>
      <c r="E3" s="504"/>
      <c r="F3" s="504"/>
      <c r="G3" s="504"/>
      <c r="H3" s="504"/>
      <c r="I3" s="505"/>
    </row>
    <row r="4" spans="1:106" x14ac:dyDescent="0.35">
      <c r="B4" s="42" t="s">
        <v>106</v>
      </c>
      <c r="C4" s="506">
        <v>1031822720</v>
      </c>
      <c r="D4" s="507"/>
      <c r="E4" s="508"/>
      <c r="F4" s="27" t="s">
        <v>107</v>
      </c>
      <c r="G4" s="506">
        <v>854000000</v>
      </c>
      <c r="H4" s="507"/>
      <c r="I4" s="508"/>
    </row>
    <row r="5" spans="1:106" x14ac:dyDescent="0.35">
      <c r="B5" s="42" t="s">
        <v>109</v>
      </c>
      <c r="C5" s="436" t="s">
        <v>118</v>
      </c>
      <c r="D5" s="437"/>
      <c r="E5" s="438"/>
      <c r="F5" s="27" t="s">
        <v>108</v>
      </c>
      <c r="G5" s="436" t="s">
        <v>119</v>
      </c>
      <c r="H5" s="437"/>
      <c r="I5" s="438"/>
    </row>
    <row r="6" spans="1:106" ht="28.5" x14ac:dyDescent="0.35">
      <c r="B6" s="42" t="s">
        <v>110</v>
      </c>
      <c r="C6" s="516">
        <v>0.4</v>
      </c>
      <c r="D6" s="517"/>
      <c r="E6" s="518"/>
      <c r="F6" s="114" t="s">
        <v>111</v>
      </c>
      <c r="G6" s="516">
        <v>0.4</v>
      </c>
      <c r="H6" s="517"/>
      <c r="I6" s="518"/>
    </row>
    <row r="7" spans="1:106" ht="61" customHeight="1" x14ac:dyDescent="0.35">
      <c r="B7" s="414" t="s">
        <v>117</v>
      </c>
      <c r="C7" s="519" t="s">
        <v>113</v>
      </c>
      <c r="D7" s="520"/>
      <c r="E7" s="521"/>
      <c r="F7" s="427" t="s">
        <v>264</v>
      </c>
      <c r="G7" s="428"/>
      <c r="H7" s="428"/>
      <c r="I7" s="429"/>
    </row>
    <row r="8" spans="1:106" ht="145" customHeight="1" x14ac:dyDescent="0.35">
      <c r="B8" s="415"/>
      <c r="C8" s="497" t="s">
        <v>125</v>
      </c>
      <c r="D8" s="498"/>
      <c r="E8" s="499"/>
      <c r="F8" s="427" t="s">
        <v>265</v>
      </c>
      <c r="G8" s="428"/>
      <c r="H8" s="428"/>
      <c r="I8" s="429"/>
    </row>
    <row r="9" spans="1:106" ht="83.5" customHeight="1" x14ac:dyDescent="0.35">
      <c r="B9" s="416"/>
      <c r="C9" s="500" t="s">
        <v>121</v>
      </c>
      <c r="D9" s="501"/>
      <c r="E9" s="502"/>
      <c r="F9" s="427" t="s">
        <v>266</v>
      </c>
      <c r="G9" s="428"/>
      <c r="H9" s="428"/>
      <c r="I9" s="429"/>
    </row>
    <row r="10" spans="1:106" x14ac:dyDescent="0.35">
      <c r="B10" s="1"/>
      <c r="C10" s="1"/>
      <c r="D10" s="319"/>
      <c r="E10" s="319"/>
      <c r="F10" s="319"/>
      <c r="G10" s="319"/>
      <c r="H10" s="319"/>
      <c r="I10" s="319"/>
    </row>
    <row r="11" spans="1:106" ht="15" thickBot="1" x14ac:dyDescent="0.4"/>
    <row r="12" spans="1:106" ht="14.5" customHeight="1" thickBot="1" x14ac:dyDescent="0.4">
      <c r="B12" s="320" t="s">
        <v>382</v>
      </c>
      <c r="C12" s="321"/>
      <c r="D12" s="321"/>
      <c r="E12" s="321"/>
      <c r="F12" s="321"/>
      <c r="G12" s="321"/>
      <c r="H12" s="321"/>
      <c r="I12" s="322"/>
      <c r="J12" s="377" t="s">
        <v>105</v>
      </c>
      <c r="K12" s="378"/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8"/>
      <c r="Y12" s="378"/>
      <c r="Z12" s="378"/>
      <c r="AA12" s="378"/>
      <c r="AB12" s="378"/>
      <c r="AC12" s="378"/>
      <c r="AD12" s="378"/>
      <c r="AE12" s="378"/>
      <c r="AF12" s="378"/>
      <c r="AG12" s="378"/>
      <c r="AH12" s="378"/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8"/>
      <c r="AW12" s="378"/>
      <c r="AX12" s="378"/>
      <c r="AY12" s="378"/>
      <c r="AZ12" s="378"/>
      <c r="BA12" s="378"/>
      <c r="BB12" s="378"/>
      <c r="BC12" s="378"/>
      <c r="BD12" s="378"/>
      <c r="BE12" s="378"/>
      <c r="BF12" s="378"/>
      <c r="BG12" s="378"/>
      <c r="BH12" s="378"/>
      <c r="BI12" s="378"/>
      <c r="BJ12" s="378"/>
      <c r="BK12" s="378"/>
      <c r="BL12" s="378"/>
      <c r="BM12" s="378"/>
      <c r="BN12" s="378"/>
      <c r="BO12" s="378"/>
      <c r="BP12" s="378"/>
      <c r="BQ12" s="378"/>
      <c r="BR12" s="378"/>
      <c r="BS12" s="378"/>
      <c r="BT12" s="378"/>
      <c r="BU12" s="378"/>
      <c r="BV12" s="378"/>
      <c r="BW12" s="378"/>
      <c r="BX12" s="378"/>
      <c r="BY12" s="378"/>
      <c r="BZ12" s="378"/>
      <c r="CA12" s="378"/>
      <c r="CB12" s="378"/>
      <c r="CC12" s="378"/>
      <c r="CD12" s="378"/>
      <c r="CE12" s="378"/>
      <c r="CF12" s="378"/>
      <c r="CG12" s="378"/>
      <c r="CH12" s="378"/>
      <c r="CI12" s="378"/>
      <c r="CJ12" s="378"/>
      <c r="CK12" s="378"/>
      <c r="CL12" s="378"/>
      <c r="CM12" s="378"/>
      <c r="CN12" s="378"/>
      <c r="CO12" s="378"/>
      <c r="CP12" s="378"/>
      <c r="CQ12" s="378"/>
      <c r="CR12" s="378"/>
      <c r="CS12" s="378"/>
      <c r="CT12" s="378"/>
      <c r="CU12" s="378"/>
      <c r="CV12" s="378"/>
      <c r="CW12" s="378"/>
      <c r="CX12" s="378"/>
      <c r="CY12" s="378"/>
      <c r="CZ12" s="378"/>
      <c r="DA12" s="379"/>
    </row>
    <row r="13" spans="1:106" s="3" customFormat="1" ht="26.5" thickBot="1" x14ac:dyDescent="0.35">
      <c r="A13" s="2" t="s">
        <v>0</v>
      </c>
      <c r="B13" s="21" t="s">
        <v>1</v>
      </c>
      <c r="C13" s="22" t="s">
        <v>2</v>
      </c>
      <c r="D13" s="22" t="s">
        <v>3</v>
      </c>
      <c r="E13" s="22" t="s">
        <v>4</v>
      </c>
      <c r="F13" s="22" t="s">
        <v>5</v>
      </c>
      <c r="G13" s="22" t="s">
        <v>6</v>
      </c>
      <c r="H13" s="22" t="s">
        <v>7</v>
      </c>
      <c r="I13" s="23" t="s">
        <v>9</v>
      </c>
      <c r="J13" s="43">
        <v>44409</v>
      </c>
      <c r="K13" s="43">
        <v>44440</v>
      </c>
      <c r="L13" s="43">
        <v>44470</v>
      </c>
      <c r="M13" s="43">
        <v>44501</v>
      </c>
      <c r="N13" s="43">
        <v>44531</v>
      </c>
      <c r="O13" s="43">
        <v>44562</v>
      </c>
      <c r="P13" s="43">
        <v>44593</v>
      </c>
      <c r="Q13" s="43">
        <v>44621</v>
      </c>
      <c r="R13" s="43">
        <v>44652</v>
      </c>
      <c r="S13" s="43">
        <v>44682</v>
      </c>
      <c r="T13" s="43">
        <v>44713</v>
      </c>
      <c r="U13" s="43">
        <v>44743</v>
      </c>
      <c r="V13" s="43">
        <v>44774</v>
      </c>
      <c r="W13" s="43">
        <v>44805</v>
      </c>
      <c r="X13" s="43">
        <v>44835</v>
      </c>
      <c r="Y13" s="43">
        <v>44866</v>
      </c>
      <c r="Z13" s="43">
        <v>44896</v>
      </c>
      <c r="AA13" s="43">
        <v>44927</v>
      </c>
      <c r="AB13" s="43">
        <v>44958</v>
      </c>
      <c r="AC13" s="43">
        <v>44986</v>
      </c>
      <c r="AD13" s="43">
        <v>45017</v>
      </c>
      <c r="AE13" s="43">
        <v>45047</v>
      </c>
      <c r="AF13" s="43">
        <v>45078</v>
      </c>
      <c r="AG13" s="43">
        <v>45108</v>
      </c>
      <c r="AH13" s="43">
        <v>45139</v>
      </c>
      <c r="AI13" s="43">
        <v>45170</v>
      </c>
      <c r="AJ13" s="43">
        <v>45200</v>
      </c>
      <c r="AK13" s="43">
        <v>45231</v>
      </c>
      <c r="AL13" s="43">
        <v>45261</v>
      </c>
      <c r="AM13" s="43">
        <v>45292</v>
      </c>
      <c r="AN13" s="43">
        <v>45323</v>
      </c>
      <c r="AO13" s="43">
        <v>45352</v>
      </c>
      <c r="AP13" s="43">
        <v>45383</v>
      </c>
      <c r="AQ13" s="43">
        <v>45413</v>
      </c>
      <c r="AR13" s="43">
        <v>45444</v>
      </c>
      <c r="AS13" s="43">
        <v>45474</v>
      </c>
      <c r="AT13" s="43">
        <v>45505</v>
      </c>
      <c r="AU13" s="43">
        <v>45536</v>
      </c>
      <c r="AV13" s="43">
        <v>45566</v>
      </c>
      <c r="AW13" s="43">
        <v>45597</v>
      </c>
      <c r="AX13" s="43">
        <v>45627</v>
      </c>
      <c r="AY13" s="43">
        <v>45658</v>
      </c>
      <c r="AZ13" s="43">
        <v>45689</v>
      </c>
      <c r="BA13" s="43">
        <v>45717</v>
      </c>
      <c r="BB13" s="43">
        <v>45748</v>
      </c>
      <c r="BC13" s="43">
        <v>45778</v>
      </c>
      <c r="BD13" s="43">
        <v>45809</v>
      </c>
      <c r="BE13" s="43">
        <v>45839</v>
      </c>
      <c r="BF13" s="43">
        <v>45870</v>
      </c>
      <c r="BG13" s="43">
        <v>45901</v>
      </c>
      <c r="BH13" s="43">
        <v>45931</v>
      </c>
      <c r="BI13" s="43">
        <v>45962</v>
      </c>
      <c r="BJ13" s="43">
        <v>45992</v>
      </c>
      <c r="BK13" s="43">
        <v>46023</v>
      </c>
      <c r="BL13" s="43">
        <v>46054</v>
      </c>
      <c r="BM13" s="43">
        <v>46082</v>
      </c>
      <c r="BN13" s="43">
        <v>46113</v>
      </c>
      <c r="BO13" s="43">
        <v>46143</v>
      </c>
      <c r="BP13" s="43">
        <v>46174</v>
      </c>
      <c r="BQ13" s="43">
        <v>46204</v>
      </c>
      <c r="BR13" s="43">
        <v>46235</v>
      </c>
      <c r="BS13" s="43">
        <v>46266</v>
      </c>
      <c r="BT13" s="43">
        <v>46296</v>
      </c>
      <c r="BU13" s="43">
        <v>46327</v>
      </c>
      <c r="BV13" s="43">
        <v>46357</v>
      </c>
      <c r="BW13" s="43">
        <v>46388</v>
      </c>
      <c r="BX13" s="43">
        <v>46419</v>
      </c>
      <c r="BY13" s="43">
        <v>46447</v>
      </c>
      <c r="BZ13" s="43">
        <v>46478</v>
      </c>
      <c r="CA13" s="43">
        <v>46508</v>
      </c>
      <c r="CB13" s="43">
        <v>46539</v>
      </c>
      <c r="CC13" s="43">
        <v>46569</v>
      </c>
      <c r="CD13" s="43">
        <v>46600</v>
      </c>
      <c r="CE13" s="43">
        <v>46631</v>
      </c>
      <c r="CF13" s="43">
        <v>46661</v>
      </c>
      <c r="CG13" s="43">
        <v>46692</v>
      </c>
      <c r="CH13" s="43">
        <v>46722</v>
      </c>
      <c r="CI13" s="43">
        <v>46753</v>
      </c>
      <c r="CJ13" s="43">
        <v>46784</v>
      </c>
      <c r="CK13" s="43">
        <v>46813</v>
      </c>
      <c r="CL13" s="43">
        <v>46844</v>
      </c>
      <c r="CM13" s="43">
        <v>46874</v>
      </c>
      <c r="CN13" s="43">
        <v>46905</v>
      </c>
      <c r="CO13" s="43">
        <v>46935</v>
      </c>
      <c r="CP13" s="43">
        <v>46966</v>
      </c>
      <c r="CQ13" s="43">
        <v>46997</v>
      </c>
      <c r="CR13" s="43">
        <v>47027</v>
      </c>
      <c r="CS13" s="43">
        <v>47058</v>
      </c>
      <c r="CT13" s="43">
        <v>47088</v>
      </c>
      <c r="CU13" s="43">
        <v>47119</v>
      </c>
      <c r="CV13" s="43">
        <v>47150</v>
      </c>
      <c r="CW13" s="43">
        <v>47178</v>
      </c>
      <c r="CX13" s="43">
        <v>47209</v>
      </c>
      <c r="CY13" s="43">
        <v>47239</v>
      </c>
      <c r="CZ13" s="43">
        <v>47270</v>
      </c>
      <c r="DA13" s="44">
        <v>47300</v>
      </c>
      <c r="DB13" s="195" t="s">
        <v>7</v>
      </c>
    </row>
    <row r="14" spans="1:106" s="62" customFormat="1" ht="27" customHeight="1" x14ac:dyDescent="0.3">
      <c r="A14" s="61"/>
      <c r="B14" s="490" t="s">
        <v>269</v>
      </c>
      <c r="C14" s="491" t="s">
        <v>98</v>
      </c>
      <c r="D14" s="491" t="s">
        <v>96</v>
      </c>
      <c r="E14" s="495">
        <v>44426</v>
      </c>
      <c r="F14" s="495">
        <v>47348</v>
      </c>
      <c r="G14" s="509">
        <v>804000000</v>
      </c>
      <c r="H14" s="509">
        <v>804000000</v>
      </c>
      <c r="I14" s="511" t="s">
        <v>97</v>
      </c>
      <c r="J14" s="106">
        <v>0</v>
      </c>
      <c r="K14" s="107">
        <v>0</v>
      </c>
      <c r="L14" s="107">
        <v>0</v>
      </c>
      <c r="M14" s="107">
        <v>96000000</v>
      </c>
      <c r="N14" s="107">
        <v>0</v>
      </c>
      <c r="O14" s="107">
        <v>0</v>
      </c>
      <c r="P14" s="107">
        <v>0</v>
      </c>
      <c r="Q14" s="107">
        <v>92400000</v>
      </c>
      <c r="R14" s="107">
        <v>0</v>
      </c>
      <c r="S14" s="107">
        <v>0</v>
      </c>
      <c r="T14" s="107">
        <v>0</v>
      </c>
      <c r="U14" s="107">
        <v>0</v>
      </c>
      <c r="V14" s="107">
        <v>92400000</v>
      </c>
      <c r="W14" s="107">
        <v>0</v>
      </c>
      <c r="X14" s="107">
        <v>0</v>
      </c>
      <c r="Y14" s="107">
        <v>0</v>
      </c>
      <c r="Z14" s="107">
        <v>0</v>
      </c>
      <c r="AA14" s="107">
        <v>0</v>
      </c>
      <c r="AB14" s="107">
        <v>0</v>
      </c>
      <c r="AC14" s="107">
        <v>94500000</v>
      </c>
      <c r="AD14" s="107">
        <v>0</v>
      </c>
      <c r="AE14" s="107">
        <v>0</v>
      </c>
      <c r="AF14" s="107">
        <v>0</v>
      </c>
      <c r="AG14" s="107">
        <v>0</v>
      </c>
      <c r="AH14" s="107">
        <v>94500000</v>
      </c>
      <c r="AI14" s="107">
        <v>0</v>
      </c>
      <c r="AJ14" s="107">
        <v>0</v>
      </c>
      <c r="AK14" s="107">
        <v>0</v>
      </c>
      <c r="AL14" s="107">
        <v>0</v>
      </c>
      <c r="AM14" s="107">
        <v>0</v>
      </c>
      <c r="AN14" s="107">
        <v>0</v>
      </c>
      <c r="AO14" s="107">
        <v>94500000</v>
      </c>
      <c r="AP14" s="107">
        <v>24000000</v>
      </c>
      <c r="AQ14" s="107">
        <v>0</v>
      </c>
      <c r="AR14" s="107">
        <v>0</v>
      </c>
      <c r="AS14" s="107">
        <v>0</v>
      </c>
      <c r="AT14" s="107">
        <v>94500000</v>
      </c>
      <c r="AU14" s="107">
        <v>24000000</v>
      </c>
      <c r="AV14" s="107">
        <v>0</v>
      </c>
      <c r="AW14" s="107">
        <v>0</v>
      </c>
      <c r="AX14" s="107">
        <v>0</v>
      </c>
      <c r="AY14" s="107">
        <v>0</v>
      </c>
      <c r="AZ14" s="107">
        <v>0</v>
      </c>
      <c r="BA14" s="107">
        <v>97200000</v>
      </c>
      <c r="BB14" s="107">
        <v>0</v>
      </c>
      <c r="BC14" s="107">
        <v>0</v>
      </c>
      <c r="BD14" s="107">
        <v>0</v>
      </c>
      <c r="BE14" s="107">
        <v>0</v>
      </c>
      <c r="BF14" s="107">
        <v>0</v>
      </c>
      <c r="BG14" s="107">
        <v>0</v>
      </c>
      <c r="BH14" s="107">
        <v>0</v>
      </c>
      <c r="BI14" s="107">
        <v>0</v>
      </c>
      <c r="BJ14" s="107">
        <v>0</v>
      </c>
      <c r="BK14" s="107">
        <v>0</v>
      </c>
      <c r="BL14" s="107">
        <v>0</v>
      </c>
      <c r="BM14" s="107">
        <v>0</v>
      </c>
      <c r="BN14" s="107">
        <v>0</v>
      </c>
      <c r="BO14" s="107">
        <v>0</v>
      </c>
      <c r="BP14" s="107">
        <v>0</v>
      </c>
      <c r="BQ14" s="107">
        <v>0</v>
      </c>
      <c r="BR14" s="107">
        <v>0</v>
      </c>
      <c r="BS14" s="107">
        <v>0</v>
      </c>
      <c r="BT14" s="107">
        <v>0</v>
      </c>
      <c r="BU14" s="107">
        <v>0</v>
      </c>
      <c r="BV14" s="107">
        <v>0</v>
      </c>
      <c r="BW14" s="107">
        <v>0</v>
      </c>
      <c r="BX14" s="107">
        <v>0</v>
      </c>
      <c r="BY14" s="107">
        <v>0</v>
      </c>
      <c r="BZ14" s="107">
        <v>0</v>
      </c>
      <c r="CA14" s="107">
        <v>0</v>
      </c>
      <c r="CB14" s="107">
        <v>0</v>
      </c>
      <c r="CC14" s="107">
        <v>0</v>
      </c>
      <c r="CD14" s="107">
        <v>0</v>
      </c>
      <c r="CE14" s="107">
        <v>0</v>
      </c>
      <c r="CF14" s="107">
        <v>0</v>
      </c>
      <c r="CG14" s="107">
        <v>0</v>
      </c>
      <c r="CH14" s="107">
        <v>0</v>
      </c>
      <c r="CI14" s="107">
        <v>0</v>
      </c>
      <c r="CJ14" s="107">
        <v>0</v>
      </c>
      <c r="CK14" s="107">
        <v>0</v>
      </c>
      <c r="CL14" s="107">
        <v>0</v>
      </c>
      <c r="CM14" s="107">
        <v>0</v>
      </c>
      <c r="CN14" s="107">
        <v>0</v>
      </c>
      <c r="CO14" s="107">
        <v>0</v>
      </c>
      <c r="CP14" s="117">
        <v>0</v>
      </c>
      <c r="CQ14" s="117">
        <v>0</v>
      </c>
      <c r="CR14" s="117">
        <v>0</v>
      </c>
      <c r="CS14" s="117">
        <v>0</v>
      </c>
      <c r="CT14" s="117">
        <v>0</v>
      </c>
      <c r="CU14" s="117">
        <v>0</v>
      </c>
      <c r="CV14" s="117">
        <v>0</v>
      </c>
      <c r="CW14" s="117">
        <v>0</v>
      </c>
      <c r="CX14" s="117">
        <v>0</v>
      </c>
      <c r="CY14" s="117">
        <v>0</v>
      </c>
      <c r="CZ14" s="117">
        <v>0</v>
      </c>
      <c r="DA14" s="282">
        <v>0</v>
      </c>
      <c r="DB14" s="286">
        <f>SUM(J14:DA14)</f>
        <v>804000000</v>
      </c>
    </row>
    <row r="15" spans="1:106" s="62" customFormat="1" ht="27" customHeight="1" x14ac:dyDescent="0.3">
      <c r="A15" s="61"/>
      <c r="B15" s="489"/>
      <c r="C15" s="492"/>
      <c r="D15" s="492"/>
      <c r="E15" s="496"/>
      <c r="F15" s="496"/>
      <c r="G15" s="510"/>
      <c r="H15" s="510"/>
      <c r="I15" s="512"/>
      <c r="J15" s="173"/>
      <c r="K15" s="170"/>
      <c r="L15" s="170"/>
      <c r="M15" s="170">
        <v>95827604</v>
      </c>
      <c r="N15" s="170"/>
      <c r="O15" s="170"/>
      <c r="P15" s="170"/>
      <c r="Q15" s="170">
        <v>92893636</v>
      </c>
      <c r="R15" s="170"/>
      <c r="S15" s="170"/>
      <c r="T15" s="170"/>
      <c r="U15" s="170"/>
      <c r="V15" s="170">
        <v>92026960</v>
      </c>
      <c r="W15" s="170"/>
      <c r="X15" s="170"/>
      <c r="Y15" s="170"/>
      <c r="Z15" s="170"/>
      <c r="AA15" s="170"/>
      <c r="AB15" s="170"/>
      <c r="AC15" s="170">
        <v>95230932</v>
      </c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3"/>
      <c r="DB15" s="287">
        <f t="shared" ref="DB15:DB21" si="0">SUM(J15:DA15)</f>
        <v>375979132</v>
      </c>
    </row>
    <row r="16" spans="1:106" s="62" customFormat="1" ht="39" customHeight="1" x14ac:dyDescent="0.3">
      <c r="A16" s="61" t="s">
        <v>94</v>
      </c>
      <c r="B16" s="487" t="s">
        <v>270</v>
      </c>
      <c r="C16" s="493" t="s">
        <v>267</v>
      </c>
      <c r="D16" s="493" t="s">
        <v>96</v>
      </c>
      <c r="E16" s="513">
        <v>44426</v>
      </c>
      <c r="F16" s="513">
        <v>47348</v>
      </c>
      <c r="G16" s="514">
        <v>40000000</v>
      </c>
      <c r="H16" s="514">
        <v>40000000</v>
      </c>
      <c r="I16" s="515" t="s">
        <v>97</v>
      </c>
      <c r="J16" s="218">
        <v>0</v>
      </c>
      <c r="K16" s="217">
        <v>0</v>
      </c>
      <c r="L16" s="217">
        <v>2162292</v>
      </c>
      <c r="M16" s="217">
        <v>394000</v>
      </c>
      <c r="N16" s="217">
        <v>394000</v>
      </c>
      <c r="O16" s="217">
        <v>394000</v>
      </c>
      <c r="P16" s="217">
        <v>394000</v>
      </c>
      <c r="Q16" s="217">
        <v>394000</v>
      </c>
      <c r="R16" s="217">
        <v>394000</v>
      </c>
      <c r="S16" s="217">
        <v>394000</v>
      </c>
      <c r="T16" s="217">
        <v>394000</v>
      </c>
      <c r="U16" s="217">
        <v>394000</v>
      </c>
      <c r="V16" s="217">
        <v>394000</v>
      </c>
      <c r="W16" s="217">
        <v>394000</v>
      </c>
      <c r="X16" s="217">
        <v>394000</v>
      </c>
      <c r="Y16" s="217">
        <v>394000</v>
      </c>
      <c r="Z16" s="217">
        <v>394000</v>
      </c>
      <c r="AA16" s="217">
        <v>394000</v>
      </c>
      <c r="AB16" s="217">
        <v>394000</v>
      </c>
      <c r="AC16" s="217">
        <v>394000</v>
      </c>
      <c r="AD16" s="217">
        <v>394000</v>
      </c>
      <c r="AE16" s="217">
        <v>394000</v>
      </c>
      <c r="AF16" s="217">
        <v>394000</v>
      </c>
      <c r="AG16" s="217">
        <v>394000</v>
      </c>
      <c r="AH16" s="217">
        <v>394000</v>
      </c>
      <c r="AI16" s="217">
        <v>394000</v>
      </c>
      <c r="AJ16" s="217">
        <v>394000</v>
      </c>
      <c r="AK16" s="217">
        <v>394000</v>
      </c>
      <c r="AL16" s="217">
        <v>394000</v>
      </c>
      <c r="AM16" s="217">
        <v>394000</v>
      </c>
      <c r="AN16" s="217">
        <v>394000</v>
      </c>
      <c r="AO16" s="217">
        <v>394000</v>
      </c>
      <c r="AP16" s="217">
        <v>394000</v>
      </c>
      <c r="AQ16" s="217">
        <v>394000</v>
      </c>
      <c r="AR16" s="217">
        <v>394000</v>
      </c>
      <c r="AS16" s="217">
        <v>394000</v>
      </c>
      <c r="AT16" s="217">
        <v>394000</v>
      </c>
      <c r="AU16" s="217">
        <v>394000</v>
      </c>
      <c r="AV16" s="217">
        <v>394000</v>
      </c>
      <c r="AW16" s="217">
        <v>394000</v>
      </c>
      <c r="AX16" s="217">
        <v>394000</v>
      </c>
      <c r="AY16" s="217">
        <v>394000</v>
      </c>
      <c r="AZ16" s="217">
        <v>394000</v>
      </c>
      <c r="BA16" s="217">
        <v>394000</v>
      </c>
      <c r="BB16" s="217">
        <v>394000</v>
      </c>
      <c r="BC16" s="217">
        <v>394000</v>
      </c>
      <c r="BD16" s="217">
        <v>394000</v>
      </c>
      <c r="BE16" s="217">
        <v>394000</v>
      </c>
      <c r="BF16" s="217">
        <v>394000</v>
      </c>
      <c r="BG16" s="217">
        <v>394000</v>
      </c>
      <c r="BH16" s="217">
        <v>394000</v>
      </c>
      <c r="BI16" s="217">
        <v>394000</v>
      </c>
      <c r="BJ16" s="217">
        <v>394000</v>
      </c>
      <c r="BK16" s="217">
        <v>394000</v>
      </c>
      <c r="BL16" s="217">
        <v>394000</v>
      </c>
      <c r="BM16" s="217">
        <v>394000</v>
      </c>
      <c r="BN16" s="217">
        <v>394000</v>
      </c>
      <c r="BO16" s="217">
        <v>394000</v>
      </c>
      <c r="BP16" s="217">
        <v>394000</v>
      </c>
      <c r="BQ16" s="217">
        <v>394000</v>
      </c>
      <c r="BR16" s="217">
        <v>394000</v>
      </c>
      <c r="BS16" s="217">
        <v>394000</v>
      </c>
      <c r="BT16" s="217">
        <v>394000</v>
      </c>
      <c r="BU16" s="217">
        <v>394000</v>
      </c>
      <c r="BV16" s="217">
        <v>444000</v>
      </c>
      <c r="BW16" s="217">
        <v>444000</v>
      </c>
      <c r="BX16" s="217">
        <v>444000</v>
      </c>
      <c r="BY16" s="217">
        <v>444000</v>
      </c>
      <c r="BZ16" s="217">
        <v>444000</v>
      </c>
      <c r="CA16" s="217">
        <v>444000</v>
      </c>
      <c r="CB16" s="217">
        <v>444000</v>
      </c>
      <c r="CC16" s="217">
        <v>444000</v>
      </c>
      <c r="CD16" s="217">
        <v>444000</v>
      </c>
      <c r="CE16" s="217">
        <v>444000</v>
      </c>
      <c r="CF16" s="217">
        <v>444000</v>
      </c>
      <c r="CG16" s="217">
        <v>448000</v>
      </c>
      <c r="CH16" s="217">
        <v>448000</v>
      </c>
      <c r="CI16" s="217">
        <v>438000</v>
      </c>
      <c r="CJ16" s="217">
        <v>438000</v>
      </c>
      <c r="CK16" s="217">
        <v>438000</v>
      </c>
      <c r="CL16" s="217">
        <v>438000</v>
      </c>
      <c r="CM16" s="217">
        <v>438000</v>
      </c>
      <c r="CN16" s="217">
        <v>438000</v>
      </c>
      <c r="CO16" s="217">
        <v>438000</v>
      </c>
      <c r="CP16" s="279">
        <v>388000</v>
      </c>
      <c r="CQ16" s="279">
        <v>388000</v>
      </c>
      <c r="CR16" s="279">
        <v>388000</v>
      </c>
      <c r="CS16" s="279">
        <v>388000</v>
      </c>
      <c r="CT16" s="279">
        <v>388000</v>
      </c>
      <c r="CU16" s="279">
        <v>388000</v>
      </c>
      <c r="CV16" s="279">
        <v>388000</v>
      </c>
      <c r="CW16" s="279">
        <v>388000</v>
      </c>
      <c r="CX16" s="279">
        <v>388000</v>
      </c>
      <c r="CY16" s="279">
        <v>388000</v>
      </c>
      <c r="CZ16" s="279">
        <v>388000</v>
      </c>
      <c r="DA16" s="284">
        <v>689708</v>
      </c>
      <c r="DB16" s="287">
        <f t="shared" si="0"/>
        <v>40000000</v>
      </c>
    </row>
    <row r="17" spans="1:106" s="62" customFormat="1" ht="13" x14ac:dyDescent="0.3">
      <c r="A17" s="61"/>
      <c r="B17" s="489"/>
      <c r="C17" s="492"/>
      <c r="D17" s="492"/>
      <c r="E17" s="496"/>
      <c r="F17" s="496"/>
      <c r="G17" s="510"/>
      <c r="H17" s="510"/>
      <c r="I17" s="512"/>
      <c r="J17" s="173"/>
      <c r="K17" s="170"/>
      <c r="L17" s="170">
        <v>2162292</v>
      </c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3"/>
      <c r="DB17" s="287">
        <f t="shared" si="0"/>
        <v>2162292</v>
      </c>
    </row>
    <row r="18" spans="1:106" s="62" customFormat="1" ht="26" customHeight="1" x14ac:dyDescent="0.3">
      <c r="A18" s="61"/>
      <c r="B18" s="487" t="s">
        <v>271</v>
      </c>
      <c r="C18" s="493" t="s">
        <v>268</v>
      </c>
      <c r="D18" s="493" t="s">
        <v>96</v>
      </c>
      <c r="E18" s="513">
        <v>44426</v>
      </c>
      <c r="F18" s="513">
        <v>47348</v>
      </c>
      <c r="G18" s="514">
        <v>177822720</v>
      </c>
      <c r="H18" s="514">
        <v>177822720</v>
      </c>
      <c r="I18" s="515" t="s">
        <v>135</v>
      </c>
      <c r="J18" s="218">
        <v>0</v>
      </c>
      <c r="K18" s="217">
        <v>2654992</v>
      </c>
      <c r="L18" s="217">
        <v>1852320</v>
      </c>
      <c r="M18" s="217">
        <v>1852320</v>
      </c>
      <c r="N18" s="217">
        <v>1852320</v>
      </c>
      <c r="O18" s="217">
        <v>1852320</v>
      </c>
      <c r="P18" s="217">
        <v>1852320</v>
      </c>
      <c r="Q18" s="217">
        <v>1852320</v>
      </c>
      <c r="R18" s="217">
        <v>1852320</v>
      </c>
      <c r="S18" s="217">
        <v>1852320</v>
      </c>
      <c r="T18" s="217">
        <v>1852320</v>
      </c>
      <c r="U18" s="217">
        <v>1852320</v>
      </c>
      <c r="V18" s="217">
        <v>1852320</v>
      </c>
      <c r="W18" s="217">
        <v>1852320</v>
      </c>
      <c r="X18" s="217">
        <v>1852320</v>
      </c>
      <c r="Y18" s="217">
        <v>1852320</v>
      </c>
      <c r="Z18" s="217">
        <v>1852320</v>
      </c>
      <c r="AA18" s="217">
        <v>1852320</v>
      </c>
      <c r="AB18" s="217">
        <v>1852320</v>
      </c>
      <c r="AC18" s="217">
        <v>1852320</v>
      </c>
      <c r="AD18" s="217">
        <v>1852320</v>
      </c>
      <c r="AE18" s="217">
        <v>1852320</v>
      </c>
      <c r="AF18" s="217">
        <v>1852320</v>
      </c>
      <c r="AG18" s="217">
        <v>1852320</v>
      </c>
      <c r="AH18" s="217">
        <v>1852320</v>
      </c>
      <c r="AI18" s="217">
        <v>1852320</v>
      </c>
      <c r="AJ18" s="217">
        <v>1852320</v>
      </c>
      <c r="AK18" s="217">
        <v>1852320</v>
      </c>
      <c r="AL18" s="217">
        <v>1852320</v>
      </c>
      <c r="AM18" s="217">
        <v>1852320</v>
      </c>
      <c r="AN18" s="217">
        <v>1852320</v>
      </c>
      <c r="AO18" s="217">
        <v>1852320</v>
      </c>
      <c r="AP18" s="217">
        <v>1852320</v>
      </c>
      <c r="AQ18" s="217">
        <v>1852320</v>
      </c>
      <c r="AR18" s="217">
        <v>1852320</v>
      </c>
      <c r="AS18" s="217">
        <v>1852320</v>
      </c>
      <c r="AT18" s="217">
        <v>1852320</v>
      </c>
      <c r="AU18" s="217">
        <v>1852320</v>
      </c>
      <c r="AV18" s="217">
        <v>1852320</v>
      </c>
      <c r="AW18" s="217">
        <v>1852320</v>
      </c>
      <c r="AX18" s="217">
        <v>1852320</v>
      </c>
      <c r="AY18" s="217">
        <v>1852320</v>
      </c>
      <c r="AZ18" s="217">
        <v>1852320</v>
      </c>
      <c r="BA18" s="217">
        <v>1852320</v>
      </c>
      <c r="BB18" s="217">
        <v>1852320</v>
      </c>
      <c r="BC18" s="217">
        <v>1852320</v>
      </c>
      <c r="BD18" s="217">
        <v>1852320</v>
      </c>
      <c r="BE18" s="217">
        <v>1852320</v>
      </c>
      <c r="BF18" s="217">
        <v>1852320</v>
      </c>
      <c r="BG18" s="217">
        <v>1852320</v>
      </c>
      <c r="BH18" s="217">
        <v>1852320</v>
      </c>
      <c r="BI18" s="217">
        <v>1852320</v>
      </c>
      <c r="BJ18" s="217">
        <v>1852320</v>
      </c>
      <c r="BK18" s="217">
        <v>1852320</v>
      </c>
      <c r="BL18" s="217">
        <v>1852320</v>
      </c>
      <c r="BM18" s="217">
        <v>1852320</v>
      </c>
      <c r="BN18" s="217">
        <v>1852320</v>
      </c>
      <c r="BO18" s="217">
        <v>1852320</v>
      </c>
      <c r="BP18" s="217">
        <v>1852320</v>
      </c>
      <c r="BQ18" s="217">
        <v>1852320</v>
      </c>
      <c r="BR18" s="217">
        <v>1852320</v>
      </c>
      <c r="BS18" s="217">
        <v>1852320</v>
      </c>
      <c r="BT18" s="217">
        <v>1852320</v>
      </c>
      <c r="BU18" s="217">
        <v>1852320</v>
      </c>
      <c r="BV18" s="217">
        <v>1852320</v>
      </c>
      <c r="BW18" s="217">
        <v>1852320</v>
      </c>
      <c r="BX18" s="217">
        <v>1852320</v>
      </c>
      <c r="BY18" s="217">
        <v>1852320</v>
      </c>
      <c r="BZ18" s="217">
        <v>1852320</v>
      </c>
      <c r="CA18" s="217">
        <v>1852320</v>
      </c>
      <c r="CB18" s="217">
        <v>1852320</v>
      </c>
      <c r="CC18" s="217">
        <v>1852320</v>
      </c>
      <c r="CD18" s="217">
        <v>1852320</v>
      </c>
      <c r="CE18" s="217">
        <v>1852320</v>
      </c>
      <c r="CF18" s="217">
        <v>1852320</v>
      </c>
      <c r="CG18" s="217">
        <v>1852320</v>
      </c>
      <c r="CH18" s="217">
        <v>1852320</v>
      </c>
      <c r="CI18" s="217">
        <v>1852320</v>
      </c>
      <c r="CJ18" s="217">
        <v>1852320</v>
      </c>
      <c r="CK18" s="217">
        <v>1852320</v>
      </c>
      <c r="CL18" s="217">
        <v>1852320</v>
      </c>
      <c r="CM18" s="217">
        <v>1852320</v>
      </c>
      <c r="CN18" s="217">
        <v>1852320</v>
      </c>
      <c r="CO18" s="217">
        <v>1852320</v>
      </c>
      <c r="CP18" s="279">
        <v>1852320</v>
      </c>
      <c r="CQ18" s="279">
        <v>1852320</v>
      </c>
      <c r="CR18" s="279">
        <v>1852320</v>
      </c>
      <c r="CS18" s="279">
        <v>1852320</v>
      </c>
      <c r="CT18" s="279">
        <v>1852320</v>
      </c>
      <c r="CU18" s="279">
        <v>1852320</v>
      </c>
      <c r="CV18" s="279">
        <v>1852320</v>
      </c>
      <c r="CW18" s="279">
        <v>1852320</v>
      </c>
      <c r="CX18" s="279">
        <v>1852320</v>
      </c>
      <c r="CY18" s="279">
        <v>1852320</v>
      </c>
      <c r="CZ18" s="279">
        <v>1852320</v>
      </c>
      <c r="DA18" s="284">
        <v>2901968</v>
      </c>
      <c r="DB18" s="287">
        <f t="shared" si="0"/>
        <v>177822720</v>
      </c>
    </row>
    <row r="19" spans="1:106" s="62" customFormat="1" ht="26" customHeight="1" x14ac:dyDescent="0.3">
      <c r="A19" s="61"/>
      <c r="B19" s="489"/>
      <c r="C19" s="492"/>
      <c r="D19" s="492"/>
      <c r="E19" s="496"/>
      <c r="F19" s="496"/>
      <c r="G19" s="510"/>
      <c r="H19" s="510"/>
      <c r="I19" s="512"/>
      <c r="J19" s="173"/>
      <c r="K19" s="170">
        <v>2654992</v>
      </c>
      <c r="L19" s="170">
        <v>1852320</v>
      </c>
      <c r="M19" s="170">
        <v>1852320</v>
      </c>
      <c r="N19" s="170">
        <v>1852320</v>
      </c>
      <c r="O19" s="170">
        <v>1852320</v>
      </c>
      <c r="P19" s="170">
        <v>1852320</v>
      </c>
      <c r="Q19" s="170">
        <v>1852320</v>
      </c>
      <c r="R19" s="170">
        <v>1852320</v>
      </c>
      <c r="S19" s="170">
        <v>1852320</v>
      </c>
      <c r="T19" s="170">
        <v>1852320</v>
      </c>
      <c r="U19" s="170">
        <v>1852320</v>
      </c>
      <c r="V19" s="170">
        <v>1852320</v>
      </c>
      <c r="W19" s="170">
        <v>1852320</v>
      </c>
      <c r="X19" s="170">
        <v>1852320</v>
      </c>
      <c r="Y19" s="170">
        <v>1852320</v>
      </c>
      <c r="Z19" s="170">
        <v>1852320</v>
      </c>
      <c r="AA19" s="170">
        <v>1852320</v>
      </c>
      <c r="AB19" s="170">
        <v>1852320</v>
      </c>
      <c r="AC19" s="170">
        <v>1852320</v>
      </c>
      <c r="AD19" s="170">
        <v>1852320</v>
      </c>
      <c r="AE19" s="170">
        <v>1852320</v>
      </c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3"/>
      <c r="DB19" s="287">
        <f>SUM(J19:DA19)</f>
        <v>39701392</v>
      </c>
    </row>
    <row r="20" spans="1:106" s="62" customFormat="1" ht="26" customHeight="1" x14ac:dyDescent="0.3">
      <c r="A20" s="61" t="s">
        <v>94</v>
      </c>
      <c r="B20" s="487" t="s">
        <v>272</v>
      </c>
      <c r="C20" s="493" t="s">
        <v>95</v>
      </c>
      <c r="D20" s="493" t="s">
        <v>96</v>
      </c>
      <c r="E20" s="513">
        <v>44426</v>
      </c>
      <c r="F20" s="513">
        <v>47348</v>
      </c>
      <c r="G20" s="514">
        <v>10000000</v>
      </c>
      <c r="H20" s="514">
        <v>10000000</v>
      </c>
      <c r="I20" s="515" t="s">
        <v>97</v>
      </c>
      <c r="J20" s="218">
        <v>0</v>
      </c>
      <c r="K20" s="217">
        <v>0</v>
      </c>
      <c r="L20" s="217">
        <v>0</v>
      </c>
      <c r="M20" s="217">
        <v>120000</v>
      </c>
      <c r="N20" s="217">
        <v>120000</v>
      </c>
      <c r="O20" s="217">
        <v>120000</v>
      </c>
      <c r="P20" s="217">
        <v>120000</v>
      </c>
      <c r="Q20" s="217">
        <v>120000</v>
      </c>
      <c r="R20" s="217">
        <v>120000</v>
      </c>
      <c r="S20" s="217">
        <v>120000</v>
      </c>
      <c r="T20" s="217">
        <v>105000</v>
      </c>
      <c r="U20" s="217">
        <v>105000</v>
      </c>
      <c r="V20" s="217">
        <v>105000</v>
      </c>
      <c r="W20" s="217">
        <v>105000</v>
      </c>
      <c r="X20" s="217">
        <v>105000</v>
      </c>
      <c r="Y20" s="217">
        <v>105000</v>
      </c>
      <c r="Z20" s="217">
        <v>105000</v>
      </c>
      <c r="AA20" s="217">
        <v>105000</v>
      </c>
      <c r="AB20" s="217">
        <v>105000</v>
      </c>
      <c r="AC20" s="217">
        <v>105000</v>
      </c>
      <c r="AD20" s="217">
        <v>105000</v>
      </c>
      <c r="AE20" s="217">
        <v>105000</v>
      </c>
      <c r="AF20" s="217">
        <v>105000</v>
      </c>
      <c r="AG20" s="217">
        <v>105000</v>
      </c>
      <c r="AH20" s="217">
        <v>105000</v>
      </c>
      <c r="AI20" s="217">
        <v>105000</v>
      </c>
      <c r="AJ20" s="217">
        <v>105000</v>
      </c>
      <c r="AK20" s="217">
        <v>105000</v>
      </c>
      <c r="AL20" s="217">
        <v>105000</v>
      </c>
      <c r="AM20" s="217">
        <v>105000</v>
      </c>
      <c r="AN20" s="217">
        <v>105000</v>
      </c>
      <c r="AO20" s="217">
        <v>105000</v>
      </c>
      <c r="AP20" s="217">
        <v>105000</v>
      </c>
      <c r="AQ20" s="217">
        <v>105000</v>
      </c>
      <c r="AR20" s="217">
        <v>105000</v>
      </c>
      <c r="AS20" s="217">
        <v>105000</v>
      </c>
      <c r="AT20" s="217">
        <v>105000</v>
      </c>
      <c r="AU20" s="217">
        <v>105000</v>
      </c>
      <c r="AV20" s="217">
        <v>105000</v>
      </c>
      <c r="AW20" s="217">
        <v>105000</v>
      </c>
      <c r="AX20" s="217">
        <v>105000</v>
      </c>
      <c r="AY20" s="217">
        <v>105000</v>
      </c>
      <c r="AZ20" s="217">
        <v>105000</v>
      </c>
      <c r="BA20" s="217">
        <v>105000</v>
      </c>
      <c r="BB20" s="217">
        <v>105000</v>
      </c>
      <c r="BC20" s="217">
        <v>105000</v>
      </c>
      <c r="BD20" s="217">
        <v>105000</v>
      </c>
      <c r="BE20" s="217">
        <v>105000</v>
      </c>
      <c r="BF20" s="217">
        <v>105000</v>
      </c>
      <c r="BG20" s="217">
        <v>105000</v>
      </c>
      <c r="BH20" s="217">
        <v>105000</v>
      </c>
      <c r="BI20" s="217">
        <v>105000</v>
      </c>
      <c r="BJ20" s="217">
        <v>105000</v>
      </c>
      <c r="BK20" s="217">
        <v>105000</v>
      </c>
      <c r="BL20" s="217">
        <v>105000</v>
      </c>
      <c r="BM20" s="217">
        <v>105000</v>
      </c>
      <c r="BN20" s="217">
        <v>105000</v>
      </c>
      <c r="BO20" s="217">
        <v>105000</v>
      </c>
      <c r="BP20" s="217">
        <v>105000</v>
      </c>
      <c r="BQ20" s="217">
        <v>105000</v>
      </c>
      <c r="BR20" s="217">
        <v>105000</v>
      </c>
      <c r="BS20" s="217">
        <v>105000</v>
      </c>
      <c r="BT20" s="217">
        <v>105000</v>
      </c>
      <c r="BU20" s="217">
        <v>105000</v>
      </c>
      <c r="BV20" s="217">
        <v>105000</v>
      </c>
      <c r="BW20" s="217">
        <v>105000</v>
      </c>
      <c r="BX20" s="217">
        <v>105000</v>
      </c>
      <c r="BY20" s="217">
        <v>105000</v>
      </c>
      <c r="BZ20" s="217">
        <v>105000</v>
      </c>
      <c r="CA20" s="217">
        <v>105000</v>
      </c>
      <c r="CB20" s="217">
        <v>105000</v>
      </c>
      <c r="CC20" s="217">
        <v>105000</v>
      </c>
      <c r="CD20" s="217">
        <v>105000</v>
      </c>
      <c r="CE20" s="217">
        <v>105000</v>
      </c>
      <c r="CF20" s="217">
        <v>100000</v>
      </c>
      <c r="CG20" s="217">
        <v>100000</v>
      </c>
      <c r="CH20" s="217">
        <v>100000</v>
      </c>
      <c r="CI20" s="217">
        <v>100000</v>
      </c>
      <c r="CJ20" s="217">
        <v>100000</v>
      </c>
      <c r="CK20" s="217">
        <v>100000</v>
      </c>
      <c r="CL20" s="217">
        <v>100000</v>
      </c>
      <c r="CM20" s="217">
        <v>100000</v>
      </c>
      <c r="CN20" s="217">
        <v>100000</v>
      </c>
      <c r="CO20" s="217">
        <v>100000</v>
      </c>
      <c r="CP20" s="279">
        <v>100000</v>
      </c>
      <c r="CQ20" s="279">
        <v>100000</v>
      </c>
      <c r="CR20" s="279">
        <v>100000</v>
      </c>
      <c r="CS20" s="279">
        <v>100000</v>
      </c>
      <c r="CT20" s="279">
        <v>100000</v>
      </c>
      <c r="CU20" s="279">
        <v>100000</v>
      </c>
      <c r="CV20" s="279">
        <v>100000</v>
      </c>
      <c r="CW20" s="279">
        <v>100000</v>
      </c>
      <c r="CX20" s="279">
        <v>100000</v>
      </c>
      <c r="CY20" s="279">
        <v>100000</v>
      </c>
      <c r="CZ20" s="279">
        <v>220000</v>
      </c>
      <c r="DA20" s="284">
        <v>220000</v>
      </c>
      <c r="DB20" s="287">
        <f t="shared" si="0"/>
        <v>10000000</v>
      </c>
    </row>
    <row r="21" spans="1:106" s="62" customFormat="1" ht="30.5" customHeight="1" thickBot="1" x14ac:dyDescent="0.35">
      <c r="A21" s="61" t="s">
        <v>94</v>
      </c>
      <c r="B21" s="488"/>
      <c r="C21" s="494"/>
      <c r="D21" s="494"/>
      <c r="E21" s="522"/>
      <c r="F21" s="522"/>
      <c r="G21" s="523"/>
      <c r="H21" s="523"/>
      <c r="I21" s="524"/>
      <c r="J21" s="174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281">
        <f>SUM(J21:CO21)</f>
        <v>0</v>
      </c>
      <c r="CQ21" s="281"/>
      <c r="CR21" s="281"/>
      <c r="CS21" s="281"/>
      <c r="CT21" s="281"/>
      <c r="CU21" s="281"/>
      <c r="CV21" s="281"/>
      <c r="CW21" s="281"/>
      <c r="CX21" s="281"/>
      <c r="CY21" s="281"/>
      <c r="CZ21" s="281"/>
      <c r="DA21" s="285"/>
      <c r="DB21" s="288">
        <f t="shared" si="0"/>
        <v>0</v>
      </c>
    </row>
    <row r="22" spans="1:106" ht="26.5" x14ac:dyDescent="0.35">
      <c r="B22" s="145" t="s">
        <v>383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128"/>
    </row>
    <row r="24" spans="1:106" ht="15" thickBot="1" x14ac:dyDescent="0.4"/>
    <row r="25" spans="1:106" ht="15" thickBot="1" x14ac:dyDescent="0.4">
      <c r="B25" s="119" t="s">
        <v>101</v>
      </c>
    </row>
    <row r="26" spans="1:106" ht="15" thickBot="1" x14ac:dyDescent="0.4">
      <c r="B26" s="118" t="s">
        <v>100</v>
      </c>
    </row>
  </sheetData>
  <sheetProtection algorithmName="SHA-512" hashValue="U4tIFtCqO2rImb+UwB7vMcxbZdabYWIsJlH5hZXyXbgaJsOUt2urLdxDFtdVXlYuwLm+KgoAW0aS27rJnvT3Tg==" saltValue="1aMrv8L0yeTp/81tHezXsQ==" spinCount="100000" sheet="1" objects="1" scenarios="1"/>
  <sortState ref="A14:DB18">
    <sortCondition ref="B14"/>
  </sortState>
  <mergeCells count="51">
    <mergeCell ref="C6:E6"/>
    <mergeCell ref="G6:I6"/>
    <mergeCell ref="C7:E7"/>
    <mergeCell ref="F7:I7"/>
    <mergeCell ref="E20:E21"/>
    <mergeCell ref="F20:F21"/>
    <mergeCell ref="G20:G21"/>
    <mergeCell ref="H20:H21"/>
    <mergeCell ref="I20:I21"/>
    <mergeCell ref="E18:E19"/>
    <mergeCell ref="F18:F19"/>
    <mergeCell ref="G18:G19"/>
    <mergeCell ref="H18:H19"/>
    <mergeCell ref="I18:I19"/>
    <mergeCell ref="F14:F15"/>
    <mergeCell ref="G14:G15"/>
    <mergeCell ref="H14:H15"/>
    <mergeCell ref="I14:I15"/>
    <mergeCell ref="E16:E17"/>
    <mergeCell ref="F16:F17"/>
    <mergeCell ref="G16:G17"/>
    <mergeCell ref="H16:H17"/>
    <mergeCell ref="I16:I17"/>
    <mergeCell ref="C2:I2"/>
    <mergeCell ref="C3:I3"/>
    <mergeCell ref="C4:E4"/>
    <mergeCell ref="G4:I4"/>
    <mergeCell ref="C5:E5"/>
    <mergeCell ref="G5:I5"/>
    <mergeCell ref="J12:DA12"/>
    <mergeCell ref="B7:B9"/>
    <mergeCell ref="C8:E8"/>
    <mergeCell ref="F8:I8"/>
    <mergeCell ref="C9:E9"/>
    <mergeCell ref="F9:I9"/>
    <mergeCell ref="B20:B21"/>
    <mergeCell ref="B18:B19"/>
    <mergeCell ref="D10:F10"/>
    <mergeCell ref="G10:I10"/>
    <mergeCell ref="B12:I12"/>
    <mergeCell ref="B14:B15"/>
    <mergeCell ref="B16:B17"/>
    <mergeCell ref="C14:C15"/>
    <mergeCell ref="C16:C17"/>
    <mergeCell ref="C18:C19"/>
    <mergeCell ref="C20:C21"/>
    <mergeCell ref="D14:D15"/>
    <mergeCell ref="D16:D17"/>
    <mergeCell ref="D18:D19"/>
    <mergeCell ref="D20:D21"/>
    <mergeCell ref="E14:E15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B35"/>
  <sheetViews>
    <sheetView showGridLines="0" topLeftCell="B7" workbookViewId="0">
      <pane xSplit="1" topLeftCell="C1" activePane="topRight" state="frozen"/>
      <selection activeCell="B9" sqref="B9"/>
      <selection pane="topRight" activeCell="C6" sqref="C6:E6"/>
    </sheetView>
  </sheetViews>
  <sheetFormatPr baseColWidth="10" defaultRowHeight="14.5" x14ac:dyDescent="0.35"/>
  <cols>
    <col min="1" max="1" width="43.6328125" hidden="1" customWidth="1"/>
    <col min="2" max="2" width="35.453125" customWidth="1"/>
    <col min="3" max="3" width="42.1796875" bestFit="1" customWidth="1"/>
    <col min="4" max="4" width="7.26953125" bestFit="1" customWidth="1"/>
    <col min="5" max="5" width="10.54296875" customWidth="1"/>
    <col min="6" max="6" width="13.81640625" customWidth="1"/>
    <col min="7" max="7" width="20.54296875" customWidth="1"/>
    <col min="8" max="8" width="16.26953125" customWidth="1"/>
    <col min="9" max="9" width="9.08984375" hidden="1" customWidth="1"/>
    <col min="10" max="10" width="10.08984375" customWidth="1"/>
    <col min="11" max="11" width="10.54296875" bestFit="1" customWidth="1"/>
    <col min="12" max="12" width="11.7265625" customWidth="1"/>
    <col min="13" max="13" width="5.6328125" bestFit="1" customWidth="1"/>
    <col min="14" max="14" width="12.54296875" customWidth="1"/>
    <col min="15" max="15" width="13.7265625" bestFit="1" customWidth="1"/>
    <col min="16" max="16" width="12.6328125" bestFit="1" customWidth="1"/>
    <col min="17" max="17" width="5.08984375" customWidth="1"/>
    <col min="18" max="18" width="13.7265625" bestFit="1" customWidth="1"/>
    <col min="19" max="19" width="12.81640625" bestFit="1" customWidth="1"/>
    <col min="20" max="20" width="11.81640625" bestFit="1" customWidth="1"/>
    <col min="21" max="21" width="5.08984375" customWidth="1"/>
    <col min="22" max="22" width="12.54296875" customWidth="1"/>
    <col min="23" max="23" width="13.7265625" bestFit="1" customWidth="1"/>
    <col min="24" max="24" width="11.81640625" bestFit="1" customWidth="1"/>
    <col min="25" max="25" width="5.08984375" customWidth="1"/>
    <col min="26" max="26" width="11.81640625" bestFit="1" customWidth="1"/>
    <col min="27" max="27" width="12.54296875" customWidth="1"/>
    <col min="28" max="28" width="11.81640625" bestFit="1" customWidth="1"/>
    <col min="29" max="29" width="5.08984375" customWidth="1"/>
    <col min="30" max="30" width="11.81640625" bestFit="1" customWidth="1"/>
    <col min="31" max="31" width="5.08984375" customWidth="1"/>
    <col min="32" max="32" width="11.81640625" bestFit="1" customWidth="1"/>
    <col min="33" max="33" width="5.08984375" customWidth="1"/>
    <col min="34" max="34" width="12.6328125" bestFit="1" customWidth="1"/>
    <col min="35" max="35" width="5.08984375" customWidth="1"/>
    <col min="36" max="36" width="11.81640625" bestFit="1" customWidth="1"/>
    <col min="37" max="37" width="5.08984375" customWidth="1"/>
    <col min="38" max="38" width="11.7265625" customWidth="1"/>
    <col min="39" max="39" width="12.54296875" customWidth="1"/>
    <col min="40" max="40" width="11.81640625" bestFit="1" customWidth="1"/>
    <col min="41" max="41" width="5.08984375" customWidth="1"/>
    <col min="42" max="42" width="11.81640625" bestFit="1" customWidth="1"/>
    <col min="43" max="43" width="5.08984375" customWidth="1"/>
    <col min="44" max="44" width="11.81640625" bestFit="1" customWidth="1"/>
    <col min="45" max="45" width="5.08984375" customWidth="1"/>
    <col min="46" max="46" width="12.54296875" customWidth="1"/>
    <col min="47" max="47" width="12.6328125" bestFit="1" customWidth="1"/>
    <col min="48" max="48" width="11.81640625" bestFit="1" customWidth="1"/>
    <col min="49" max="49" width="5.08984375" customWidth="1"/>
    <col min="50" max="50" width="11.7265625" customWidth="1"/>
    <col min="51" max="52" width="12.6328125" bestFit="1" customWidth="1"/>
    <col min="53" max="53" width="5.08984375" customWidth="1"/>
    <col min="54" max="54" width="11.7265625" customWidth="1"/>
    <col min="55" max="55" width="5.08984375" customWidth="1"/>
    <col min="56" max="56" width="11.7265625" customWidth="1"/>
    <col min="57" max="57" width="5.08984375" customWidth="1"/>
    <col min="58" max="58" width="12.6328125" bestFit="1" customWidth="1"/>
    <col min="59" max="59" width="5.08984375" customWidth="1"/>
    <col min="60" max="60" width="11.7265625" customWidth="1"/>
    <col min="61" max="61" width="5.08984375" customWidth="1"/>
    <col min="62" max="62" width="11.7265625" customWidth="1"/>
    <col min="63" max="63" width="5.08984375" customWidth="1"/>
    <col min="64" max="64" width="11.7265625" customWidth="1"/>
    <col min="65" max="65" width="5.08984375" customWidth="1"/>
    <col min="66" max="66" width="11.7265625" customWidth="1"/>
    <col min="67" max="67" width="5.08984375" customWidth="1"/>
    <col min="68" max="68" width="11.7265625" customWidth="1"/>
    <col min="69" max="69" width="5.08984375" customWidth="1"/>
    <col min="70" max="70" width="11.7265625" customWidth="1"/>
    <col min="71" max="71" width="5.08984375" customWidth="1"/>
    <col min="72" max="72" width="11.7265625" customWidth="1"/>
    <col min="73" max="73" width="5.08984375" customWidth="1"/>
    <col min="74" max="74" width="11.7265625" customWidth="1"/>
    <col min="75" max="75" width="5.08984375" customWidth="1"/>
    <col min="76" max="76" width="11.7265625" customWidth="1"/>
    <col min="77" max="77" width="5.08984375" customWidth="1"/>
    <col min="78" max="78" width="11.7265625" customWidth="1"/>
    <col min="79" max="79" width="5.08984375" customWidth="1"/>
    <col min="80" max="80" width="11.7265625" customWidth="1"/>
    <col min="81" max="81" width="5.08984375" customWidth="1"/>
    <col min="82" max="82" width="11.7265625" customWidth="1"/>
    <col min="83" max="83" width="5.08984375" customWidth="1"/>
    <col min="84" max="84" width="11.7265625" customWidth="1"/>
    <col min="85" max="85" width="5.08984375" customWidth="1"/>
    <col min="86" max="86" width="11.7265625" customWidth="1"/>
    <col min="87" max="87" width="5.54296875" bestFit="1" customWidth="1"/>
    <col min="88" max="88" width="11.7265625" customWidth="1"/>
    <col min="89" max="89" width="5.08984375" customWidth="1"/>
    <col min="90" max="90" width="11.7265625" customWidth="1"/>
    <col min="91" max="91" width="5.08984375" customWidth="1"/>
    <col min="92" max="92" width="11.7265625" customWidth="1"/>
    <col min="93" max="93" width="5.08984375" customWidth="1"/>
    <col min="94" max="94" width="11.7265625" customWidth="1"/>
    <col min="95" max="95" width="5.08984375" customWidth="1"/>
    <col min="96" max="96" width="10.54296875" bestFit="1" customWidth="1"/>
    <col min="97" max="106" width="5.6328125" bestFit="1" customWidth="1"/>
    <col min="107" max="107" width="16.1796875" style="67" customWidth="1"/>
    <col min="108" max="184" width="10.90625" style="67"/>
  </cols>
  <sheetData>
    <row r="2" spans="1:184" x14ac:dyDescent="0.35">
      <c r="B2" s="42" t="s">
        <v>102</v>
      </c>
      <c r="C2" s="418">
        <v>2021000100100</v>
      </c>
      <c r="D2" s="419"/>
      <c r="E2" s="419"/>
      <c r="F2" s="419"/>
      <c r="G2" s="419"/>
      <c r="H2" s="419"/>
      <c r="I2" s="419"/>
      <c r="J2" s="420"/>
    </row>
    <row r="3" spans="1:184" ht="31.5" customHeight="1" x14ac:dyDescent="0.35">
      <c r="B3" s="42" t="s">
        <v>103</v>
      </c>
      <c r="C3" s="421" t="s">
        <v>273</v>
      </c>
      <c r="D3" s="422"/>
      <c r="E3" s="422"/>
      <c r="F3" s="422"/>
      <c r="G3" s="422"/>
      <c r="H3" s="422"/>
      <c r="I3" s="422"/>
      <c r="J3" s="423"/>
    </row>
    <row r="4" spans="1:184" x14ac:dyDescent="0.35">
      <c r="B4" s="42" t="s">
        <v>106</v>
      </c>
      <c r="C4" s="525">
        <v>1304675376</v>
      </c>
      <c r="D4" s="526"/>
      <c r="E4" s="527"/>
      <c r="F4" s="27" t="s">
        <v>107</v>
      </c>
      <c r="G4" s="506">
        <v>1143150000</v>
      </c>
      <c r="H4" s="507"/>
      <c r="I4" s="507"/>
      <c r="J4" s="508"/>
    </row>
    <row r="5" spans="1:184" x14ac:dyDescent="0.35">
      <c r="B5" s="42" t="s">
        <v>109</v>
      </c>
      <c r="C5" s="436" t="s">
        <v>118</v>
      </c>
      <c r="D5" s="437"/>
      <c r="E5" s="438"/>
      <c r="F5" s="27" t="s">
        <v>108</v>
      </c>
      <c r="G5" s="436" t="s">
        <v>119</v>
      </c>
      <c r="H5" s="437"/>
      <c r="I5" s="437"/>
      <c r="J5" s="438"/>
    </row>
    <row r="6" spans="1:184" ht="28.5" x14ac:dyDescent="0.35">
      <c r="B6" s="42" t="s">
        <v>110</v>
      </c>
      <c r="C6" s="516">
        <v>0.3</v>
      </c>
      <c r="D6" s="517"/>
      <c r="E6" s="518"/>
      <c r="F6" s="114" t="s">
        <v>111</v>
      </c>
      <c r="G6" s="516">
        <v>0.3</v>
      </c>
      <c r="H6" s="517"/>
      <c r="I6" s="517"/>
      <c r="J6" s="518"/>
    </row>
    <row r="7" spans="1:184" ht="37.5" customHeight="1" x14ac:dyDescent="0.35">
      <c r="B7" s="414" t="s">
        <v>117</v>
      </c>
      <c r="C7" s="427" t="s">
        <v>113</v>
      </c>
      <c r="D7" s="428"/>
      <c r="E7" s="429"/>
      <c r="F7" s="427" t="s">
        <v>274</v>
      </c>
      <c r="G7" s="428"/>
      <c r="H7" s="428"/>
      <c r="I7" s="428"/>
      <c r="J7" s="429"/>
    </row>
    <row r="8" spans="1:184" ht="97" customHeight="1" x14ac:dyDescent="0.35">
      <c r="B8" s="415"/>
      <c r="C8" s="427" t="s">
        <v>125</v>
      </c>
      <c r="D8" s="428"/>
      <c r="E8" s="429"/>
      <c r="F8" s="427" t="s">
        <v>275</v>
      </c>
      <c r="G8" s="428"/>
      <c r="H8" s="428"/>
      <c r="I8" s="428"/>
      <c r="J8" s="429"/>
    </row>
    <row r="9" spans="1:184" ht="54" customHeight="1" x14ac:dyDescent="0.35">
      <c r="B9" s="416"/>
      <c r="C9" s="430" t="s">
        <v>236</v>
      </c>
      <c r="D9" s="431"/>
      <c r="E9" s="432"/>
      <c r="F9" s="427" t="s">
        <v>276</v>
      </c>
      <c r="G9" s="428"/>
      <c r="H9" s="428"/>
      <c r="I9" s="428"/>
      <c r="J9" s="429"/>
    </row>
    <row r="10" spans="1:184" x14ac:dyDescent="0.35">
      <c r="B10" s="1"/>
      <c r="C10" s="1"/>
      <c r="D10" s="319"/>
      <c r="E10" s="319"/>
      <c r="F10" s="319"/>
      <c r="G10" s="319"/>
      <c r="H10" s="319"/>
      <c r="I10" s="319"/>
      <c r="J10" s="319"/>
    </row>
    <row r="11" spans="1:184" ht="15" thickBot="1" x14ac:dyDescent="0.4"/>
    <row r="12" spans="1:184" ht="14.5" customHeight="1" thickBot="1" x14ac:dyDescent="0.4">
      <c r="B12" s="320" t="s">
        <v>112</v>
      </c>
      <c r="C12" s="321"/>
      <c r="D12" s="321"/>
      <c r="E12" s="321"/>
      <c r="F12" s="321"/>
      <c r="G12" s="321"/>
      <c r="H12" s="321"/>
      <c r="I12" s="321"/>
      <c r="J12" s="322"/>
      <c r="K12" s="377" t="s">
        <v>105</v>
      </c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8"/>
      <c r="Y12" s="378"/>
      <c r="Z12" s="378"/>
      <c r="AA12" s="378"/>
      <c r="AB12" s="378"/>
      <c r="AC12" s="378"/>
      <c r="AD12" s="378"/>
      <c r="AE12" s="378"/>
      <c r="AF12" s="378"/>
      <c r="AG12" s="378"/>
      <c r="AH12" s="378"/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8"/>
      <c r="AW12" s="378"/>
      <c r="AX12" s="378"/>
      <c r="AY12" s="378"/>
      <c r="AZ12" s="378"/>
      <c r="BA12" s="378"/>
      <c r="BB12" s="378"/>
      <c r="BC12" s="378"/>
      <c r="BD12" s="378"/>
      <c r="BE12" s="378"/>
      <c r="BF12" s="378"/>
      <c r="BG12" s="378"/>
      <c r="BH12" s="378"/>
      <c r="BI12" s="378"/>
      <c r="BJ12" s="378"/>
      <c r="BK12" s="378"/>
      <c r="BL12" s="378"/>
      <c r="BM12" s="378"/>
      <c r="BN12" s="378"/>
      <c r="BO12" s="378"/>
      <c r="BP12" s="378"/>
      <c r="BQ12" s="378"/>
      <c r="BR12" s="378"/>
      <c r="BS12" s="378"/>
      <c r="BT12" s="378"/>
      <c r="BU12" s="378"/>
      <c r="BV12" s="378"/>
      <c r="BW12" s="378"/>
      <c r="BX12" s="378"/>
      <c r="BY12" s="378"/>
      <c r="BZ12" s="378"/>
      <c r="CA12" s="378"/>
      <c r="CB12" s="378"/>
      <c r="CC12" s="378"/>
      <c r="CD12" s="378"/>
      <c r="CE12" s="378"/>
      <c r="CF12" s="378"/>
      <c r="CG12" s="378"/>
      <c r="CH12" s="378"/>
      <c r="CI12" s="378"/>
      <c r="CJ12" s="378"/>
      <c r="CK12" s="378"/>
      <c r="CL12" s="378"/>
      <c r="CM12" s="378"/>
      <c r="CN12" s="378"/>
      <c r="CO12" s="378"/>
      <c r="CP12" s="378"/>
      <c r="CQ12" s="378"/>
      <c r="CR12" s="378"/>
      <c r="CS12" s="378"/>
      <c r="CT12" s="378"/>
      <c r="CU12" s="378"/>
      <c r="CV12" s="378"/>
      <c r="CW12" s="378"/>
      <c r="CX12" s="378"/>
      <c r="CY12" s="378"/>
      <c r="CZ12" s="378"/>
      <c r="DA12" s="378"/>
      <c r="DB12" s="379"/>
    </row>
    <row r="13" spans="1:184" s="3" customFormat="1" ht="39.5" thickBot="1" x14ac:dyDescent="0.35">
      <c r="A13" s="2" t="s">
        <v>0</v>
      </c>
      <c r="B13" s="21" t="s">
        <v>1</v>
      </c>
      <c r="C13" s="22" t="s">
        <v>2</v>
      </c>
      <c r="D13" s="22" t="s">
        <v>3</v>
      </c>
      <c r="E13" s="166" t="s">
        <v>4</v>
      </c>
      <c r="F13" s="22" t="s">
        <v>5</v>
      </c>
      <c r="G13" s="22" t="s">
        <v>6</v>
      </c>
      <c r="H13" s="22" t="s">
        <v>7</v>
      </c>
      <c r="I13" s="22" t="s">
        <v>8</v>
      </c>
      <c r="J13" s="24" t="s">
        <v>9</v>
      </c>
      <c r="K13" s="43">
        <v>44652</v>
      </c>
      <c r="L13" s="43">
        <v>44682</v>
      </c>
      <c r="M13" s="43">
        <v>44713</v>
      </c>
      <c r="N13" s="43">
        <v>44743</v>
      </c>
      <c r="O13" s="43">
        <v>44774</v>
      </c>
      <c r="P13" s="43">
        <v>44805</v>
      </c>
      <c r="Q13" s="43">
        <v>44835</v>
      </c>
      <c r="R13" s="43">
        <v>44866</v>
      </c>
      <c r="S13" s="43">
        <v>44896</v>
      </c>
      <c r="T13" s="43">
        <v>44927</v>
      </c>
      <c r="U13" s="43">
        <v>44958</v>
      </c>
      <c r="V13" s="43">
        <v>44986</v>
      </c>
      <c r="W13" s="43">
        <v>45017</v>
      </c>
      <c r="X13" s="43">
        <v>45047</v>
      </c>
      <c r="Y13" s="43">
        <v>45078</v>
      </c>
      <c r="Z13" s="43">
        <v>45108</v>
      </c>
      <c r="AA13" s="43">
        <v>45139</v>
      </c>
      <c r="AB13" s="43">
        <v>45170</v>
      </c>
      <c r="AC13" s="43">
        <v>45200</v>
      </c>
      <c r="AD13" s="43">
        <v>45231</v>
      </c>
      <c r="AE13" s="43">
        <v>45261</v>
      </c>
      <c r="AF13" s="43">
        <v>45292</v>
      </c>
      <c r="AG13" s="43">
        <v>45323</v>
      </c>
      <c r="AH13" s="43">
        <v>45352</v>
      </c>
      <c r="AI13" s="43">
        <v>45383</v>
      </c>
      <c r="AJ13" s="43">
        <v>45413</v>
      </c>
      <c r="AK13" s="43">
        <v>45444</v>
      </c>
      <c r="AL13" s="43">
        <v>45474</v>
      </c>
      <c r="AM13" s="43">
        <v>45505</v>
      </c>
      <c r="AN13" s="43">
        <v>45536</v>
      </c>
      <c r="AO13" s="43">
        <v>45566</v>
      </c>
      <c r="AP13" s="43">
        <v>45597</v>
      </c>
      <c r="AQ13" s="43">
        <v>45627</v>
      </c>
      <c r="AR13" s="43">
        <v>45658</v>
      </c>
      <c r="AS13" s="43">
        <v>45689</v>
      </c>
      <c r="AT13" s="43">
        <v>45717</v>
      </c>
      <c r="AU13" s="43">
        <v>45748</v>
      </c>
      <c r="AV13" s="43">
        <v>45778</v>
      </c>
      <c r="AW13" s="43">
        <v>45809</v>
      </c>
      <c r="AX13" s="43">
        <v>45839</v>
      </c>
      <c r="AY13" s="43">
        <v>45870</v>
      </c>
      <c r="AZ13" s="43">
        <v>45901</v>
      </c>
      <c r="BA13" s="43">
        <v>45931</v>
      </c>
      <c r="BB13" s="43">
        <v>45962</v>
      </c>
      <c r="BC13" s="43">
        <v>45992</v>
      </c>
      <c r="BD13" s="43">
        <v>46023</v>
      </c>
      <c r="BE13" s="43">
        <v>46054</v>
      </c>
      <c r="BF13" s="43">
        <v>46082</v>
      </c>
      <c r="BG13" s="43">
        <v>46113</v>
      </c>
      <c r="BH13" s="43">
        <v>46143</v>
      </c>
      <c r="BI13" s="43">
        <v>46174</v>
      </c>
      <c r="BJ13" s="43">
        <v>46204</v>
      </c>
      <c r="BK13" s="43">
        <v>46235</v>
      </c>
      <c r="BL13" s="43">
        <v>46266</v>
      </c>
      <c r="BM13" s="43">
        <v>46296</v>
      </c>
      <c r="BN13" s="43">
        <v>46327</v>
      </c>
      <c r="BO13" s="43">
        <v>46357</v>
      </c>
      <c r="BP13" s="43">
        <v>46388</v>
      </c>
      <c r="BQ13" s="43">
        <v>46419</v>
      </c>
      <c r="BR13" s="43">
        <v>46447</v>
      </c>
      <c r="BS13" s="43">
        <v>46478</v>
      </c>
      <c r="BT13" s="43">
        <v>46508</v>
      </c>
      <c r="BU13" s="43">
        <v>46539</v>
      </c>
      <c r="BV13" s="43">
        <v>46569</v>
      </c>
      <c r="BW13" s="43">
        <v>46600</v>
      </c>
      <c r="BX13" s="43">
        <v>46631</v>
      </c>
      <c r="BY13" s="43">
        <v>46661</v>
      </c>
      <c r="BZ13" s="43">
        <v>46692</v>
      </c>
      <c r="CA13" s="43">
        <v>46722</v>
      </c>
      <c r="CB13" s="43">
        <v>46753</v>
      </c>
      <c r="CC13" s="43">
        <v>46784</v>
      </c>
      <c r="CD13" s="43">
        <v>46813</v>
      </c>
      <c r="CE13" s="43">
        <v>46844</v>
      </c>
      <c r="CF13" s="43">
        <v>46874</v>
      </c>
      <c r="CG13" s="43">
        <v>46905</v>
      </c>
      <c r="CH13" s="43">
        <v>46935</v>
      </c>
      <c r="CI13" s="43">
        <v>46966</v>
      </c>
      <c r="CJ13" s="43">
        <v>46997</v>
      </c>
      <c r="CK13" s="43">
        <v>47027</v>
      </c>
      <c r="CL13" s="43">
        <v>47058</v>
      </c>
      <c r="CM13" s="43">
        <v>47088</v>
      </c>
      <c r="CN13" s="43">
        <v>47119</v>
      </c>
      <c r="CO13" s="43">
        <v>47150</v>
      </c>
      <c r="CP13" s="43">
        <v>47178</v>
      </c>
      <c r="CQ13" s="43">
        <v>47209</v>
      </c>
      <c r="CR13" s="43">
        <v>47239</v>
      </c>
      <c r="CS13" s="43">
        <v>47270</v>
      </c>
      <c r="CT13" s="43">
        <v>47300</v>
      </c>
      <c r="CU13" s="43">
        <v>47331</v>
      </c>
      <c r="CV13" s="43">
        <v>47362</v>
      </c>
      <c r="CW13" s="43">
        <v>47392</v>
      </c>
      <c r="CX13" s="43">
        <v>47423</v>
      </c>
      <c r="CY13" s="43">
        <v>47453</v>
      </c>
      <c r="CZ13" s="43">
        <v>47484</v>
      </c>
      <c r="DA13" s="43">
        <v>47515</v>
      </c>
      <c r="DB13" s="44">
        <v>47543</v>
      </c>
      <c r="DC13" s="185" t="s">
        <v>471</v>
      </c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</row>
    <row r="14" spans="1:184" s="56" customFormat="1" ht="13" x14ac:dyDescent="0.3">
      <c r="A14" s="66" t="s">
        <v>94</v>
      </c>
      <c r="B14" s="362" t="s">
        <v>285</v>
      </c>
      <c r="C14" s="533" t="s">
        <v>281</v>
      </c>
      <c r="D14" s="534" t="s">
        <v>96</v>
      </c>
      <c r="E14" s="535">
        <v>44669</v>
      </c>
      <c r="F14" s="535">
        <v>47590</v>
      </c>
      <c r="G14" s="528">
        <v>13672000</v>
      </c>
      <c r="H14" s="528">
        <v>13672000</v>
      </c>
      <c r="I14" s="193">
        <v>0</v>
      </c>
      <c r="J14" s="464" t="s">
        <v>97</v>
      </c>
      <c r="K14" s="289">
        <v>0</v>
      </c>
      <c r="L14" s="75">
        <v>0</v>
      </c>
      <c r="M14" s="75">
        <v>0</v>
      </c>
      <c r="N14" s="75">
        <v>13672000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D14" s="75">
        <v>0</v>
      </c>
      <c r="AE14" s="75">
        <v>0</v>
      </c>
      <c r="AF14" s="75">
        <v>0</v>
      </c>
      <c r="AG14" s="75">
        <v>0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5">
        <v>0</v>
      </c>
      <c r="AN14" s="75">
        <v>0</v>
      </c>
      <c r="AO14" s="75">
        <v>0</v>
      </c>
      <c r="AP14" s="75">
        <v>0</v>
      </c>
      <c r="AQ14" s="75">
        <v>0</v>
      </c>
      <c r="AR14" s="75">
        <v>0</v>
      </c>
      <c r="AS14" s="75">
        <v>0</v>
      </c>
      <c r="AT14" s="75">
        <v>0</v>
      </c>
      <c r="AU14" s="75">
        <v>0</v>
      </c>
      <c r="AV14" s="75">
        <v>0</v>
      </c>
      <c r="AW14" s="75">
        <v>0</v>
      </c>
      <c r="AX14" s="75">
        <v>0</v>
      </c>
      <c r="AY14" s="75">
        <v>0</v>
      </c>
      <c r="AZ14" s="75">
        <v>0</v>
      </c>
      <c r="BA14" s="75">
        <v>0</v>
      </c>
      <c r="BB14" s="75">
        <v>0</v>
      </c>
      <c r="BC14" s="75">
        <v>0</v>
      </c>
      <c r="BD14" s="75">
        <v>0</v>
      </c>
      <c r="BE14" s="75">
        <v>0</v>
      </c>
      <c r="BF14" s="75">
        <v>0</v>
      </c>
      <c r="BG14" s="75">
        <v>0</v>
      </c>
      <c r="BH14" s="75">
        <v>0</v>
      </c>
      <c r="BI14" s="75">
        <v>0</v>
      </c>
      <c r="BJ14" s="75">
        <v>0</v>
      </c>
      <c r="BK14" s="75">
        <v>0</v>
      </c>
      <c r="BL14" s="75">
        <v>0</v>
      </c>
      <c r="BM14" s="75">
        <v>0</v>
      </c>
      <c r="BN14" s="75">
        <v>0</v>
      </c>
      <c r="BO14" s="75">
        <v>0</v>
      </c>
      <c r="BP14" s="75">
        <v>0</v>
      </c>
      <c r="BQ14" s="75">
        <v>0</v>
      </c>
      <c r="BR14" s="75">
        <v>0</v>
      </c>
      <c r="BS14" s="75">
        <v>0</v>
      </c>
      <c r="BT14" s="75">
        <v>0</v>
      </c>
      <c r="BU14" s="75">
        <v>0</v>
      </c>
      <c r="BV14" s="75">
        <v>0</v>
      </c>
      <c r="BW14" s="75">
        <v>0</v>
      </c>
      <c r="BX14" s="75">
        <v>0</v>
      </c>
      <c r="BY14" s="75">
        <v>0</v>
      </c>
      <c r="BZ14" s="75">
        <v>0</v>
      </c>
      <c r="CA14" s="75">
        <v>0</v>
      </c>
      <c r="CB14" s="75">
        <v>0</v>
      </c>
      <c r="CC14" s="75">
        <v>0</v>
      </c>
      <c r="CD14" s="75">
        <v>0</v>
      </c>
      <c r="CE14" s="75">
        <v>0</v>
      </c>
      <c r="CF14" s="75">
        <v>0</v>
      </c>
      <c r="CG14" s="75">
        <v>0</v>
      </c>
      <c r="CH14" s="75">
        <v>0</v>
      </c>
      <c r="CI14" s="75">
        <v>0</v>
      </c>
      <c r="CJ14" s="75">
        <v>0</v>
      </c>
      <c r="CK14" s="75">
        <v>0</v>
      </c>
      <c r="CL14" s="75">
        <v>0</v>
      </c>
      <c r="CM14" s="75">
        <v>0</v>
      </c>
      <c r="CN14" s="75">
        <v>0</v>
      </c>
      <c r="CO14" s="75">
        <v>0</v>
      </c>
      <c r="CP14" s="75">
        <v>0</v>
      </c>
      <c r="CQ14" s="76">
        <v>0</v>
      </c>
      <c r="CR14" s="77">
        <v>0</v>
      </c>
      <c r="CS14" s="77">
        <v>0</v>
      </c>
      <c r="CT14" s="77">
        <v>0</v>
      </c>
      <c r="CU14" s="77">
        <v>0</v>
      </c>
      <c r="CV14" s="77">
        <v>0</v>
      </c>
      <c r="CW14" s="77">
        <v>0</v>
      </c>
      <c r="CX14" s="77">
        <v>0</v>
      </c>
      <c r="CY14" s="77">
        <v>0</v>
      </c>
      <c r="CZ14" s="77">
        <v>0</v>
      </c>
      <c r="DA14" s="77">
        <v>0</v>
      </c>
      <c r="DB14" s="178">
        <v>0</v>
      </c>
      <c r="DC14" s="182">
        <f>SUM(K14:DB14)</f>
        <v>13672000</v>
      </c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</row>
    <row r="15" spans="1:184" s="56" customFormat="1" ht="13" x14ac:dyDescent="0.3">
      <c r="A15" s="66"/>
      <c r="B15" s="363"/>
      <c r="C15" s="530"/>
      <c r="D15" s="531"/>
      <c r="E15" s="532"/>
      <c r="F15" s="532"/>
      <c r="G15" s="529"/>
      <c r="H15" s="529"/>
      <c r="I15" s="190"/>
      <c r="J15" s="465"/>
      <c r="K15" s="290"/>
      <c r="L15" s="170"/>
      <c r="M15" s="170"/>
      <c r="N15" s="170"/>
      <c r="O15" s="170"/>
      <c r="P15" s="170"/>
      <c r="Q15" s="170"/>
      <c r="R15" s="170"/>
      <c r="S15" s="170">
        <v>8124625</v>
      </c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1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9"/>
      <c r="DC15" s="183">
        <f t="shared" ref="DC15:DC29" si="0">SUM(K15:DB15)</f>
        <v>8124625</v>
      </c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</row>
    <row r="16" spans="1:184" s="56" customFormat="1" ht="13" x14ac:dyDescent="0.3">
      <c r="A16" s="66" t="s">
        <v>94</v>
      </c>
      <c r="B16" s="363" t="s">
        <v>286</v>
      </c>
      <c r="C16" s="530" t="s">
        <v>277</v>
      </c>
      <c r="D16" s="531" t="s">
        <v>96</v>
      </c>
      <c r="E16" s="532">
        <v>44669</v>
      </c>
      <c r="F16" s="532">
        <v>47590</v>
      </c>
      <c r="G16" s="529">
        <v>798000000</v>
      </c>
      <c r="H16" s="529">
        <v>798000000</v>
      </c>
      <c r="I16" s="190">
        <v>0</v>
      </c>
      <c r="J16" s="465" t="s">
        <v>97</v>
      </c>
      <c r="K16" s="291">
        <v>0</v>
      </c>
      <c r="L16" s="167">
        <v>0</v>
      </c>
      <c r="M16" s="167">
        <v>0</v>
      </c>
      <c r="N16" s="167">
        <v>0</v>
      </c>
      <c r="O16" s="167">
        <v>0</v>
      </c>
      <c r="P16" s="167">
        <v>91269216</v>
      </c>
      <c r="Q16" s="167">
        <v>0</v>
      </c>
      <c r="R16" s="167">
        <v>0</v>
      </c>
      <c r="S16" s="167">
        <v>0</v>
      </c>
      <c r="T16" s="167">
        <v>0</v>
      </c>
      <c r="U16" s="167">
        <v>0</v>
      </c>
      <c r="V16" s="167">
        <v>92200000</v>
      </c>
      <c r="W16" s="167">
        <v>0</v>
      </c>
      <c r="X16" s="167">
        <v>0</v>
      </c>
      <c r="Y16" s="167">
        <v>0</v>
      </c>
      <c r="Z16" s="167">
        <v>0</v>
      </c>
      <c r="AA16" s="167">
        <v>97400800</v>
      </c>
      <c r="AB16" s="167">
        <v>0</v>
      </c>
      <c r="AC16" s="167">
        <v>0</v>
      </c>
      <c r="AD16" s="167">
        <v>0</v>
      </c>
      <c r="AE16" s="167">
        <v>0</v>
      </c>
      <c r="AF16" s="167">
        <v>0</v>
      </c>
      <c r="AG16" s="167">
        <v>0</v>
      </c>
      <c r="AH16" s="167">
        <v>92800000</v>
      </c>
      <c r="AI16" s="167">
        <v>0</v>
      </c>
      <c r="AJ16" s="167">
        <v>0</v>
      </c>
      <c r="AK16" s="167">
        <v>0</v>
      </c>
      <c r="AL16" s="167">
        <v>0</v>
      </c>
      <c r="AM16" s="167">
        <v>92800000</v>
      </c>
      <c r="AN16" s="167">
        <v>0</v>
      </c>
      <c r="AO16" s="167">
        <v>0</v>
      </c>
      <c r="AP16" s="167">
        <v>0</v>
      </c>
      <c r="AQ16" s="167">
        <v>0</v>
      </c>
      <c r="AR16" s="167">
        <v>0</v>
      </c>
      <c r="AS16" s="167">
        <v>0</v>
      </c>
      <c r="AT16" s="167">
        <v>94000000</v>
      </c>
      <c r="AU16" s="167">
        <v>24000000</v>
      </c>
      <c r="AV16" s="167">
        <v>0</v>
      </c>
      <c r="AW16" s="167">
        <v>0</v>
      </c>
      <c r="AX16" s="167">
        <v>0</v>
      </c>
      <c r="AY16" s="167">
        <v>92800000</v>
      </c>
      <c r="AZ16" s="167">
        <v>24000000</v>
      </c>
      <c r="BA16" s="167">
        <v>0</v>
      </c>
      <c r="BB16" s="167">
        <v>0</v>
      </c>
      <c r="BC16" s="167">
        <v>0</v>
      </c>
      <c r="BD16" s="167">
        <v>0</v>
      </c>
      <c r="BE16" s="167">
        <v>0</v>
      </c>
      <c r="BF16" s="167">
        <v>96729984</v>
      </c>
      <c r="BG16" s="167">
        <v>0</v>
      </c>
      <c r="BH16" s="167">
        <v>0</v>
      </c>
      <c r="BI16" s="167">
        <v>0</v>
      </c>
      <c r="BJ16" s="167">
        <v>0</v>
      </c>
      <c r="BK16" s="167">
        <v>0</v>
      </c>
      <c r="BL16" s="167">
        <v>0</v>
      </c>
      <c r="BM16" s="167">
        <v>0</v>
      </c>
      <c r="BN16" s="167">
        <v>0</v>
      </c>
      <c r="BO16" s="167">
        <v>0</v>
      </c>
      <c r="BP16" s="167">
        <v>0</v>
      </c>
      <c r="BQ16" s="167">
        <v>0</v>
      </c>
      <c r="BR16" s="167">
        <v>0</v>
      </c>
      <c r="BS16" s="167">
        <v>0</v>
      </c>
      <c r="BT16" s="167">
        <v>0</v>
      </c>
      <c r="BU16" s="167">
        <v>0</v>
      </c>
      <c r="BV16" s="167">
        <v>0</v>
      </c>
      <c r="BW16" s="167">
        <v>0</v>
      </c>
      <c r="BX16" s="167">
        <v>0</v>
      </c>
      <c r="BY16" s="167">
        <v>0</v>
      </c>
      <c r="BZ16" s="167">
        <v>0</v>
      </c>
      <c r="CA16" s="167">
        <v>0</v>
      </c>
      <c r="CB16" s="167">
        <v>0</v>
      </c>
      <c r="CC16" s="167">
        <v>0</v>
      </c>
      <c r="CD16" s="167">
        <v>0</v>
      </c>
      <c r="CE16" s="167">
        <v>0</v>
      </c>
      <c r="CF16" s="167">
        <v>0</v>
      </c>
      <c r="CG16" s="167">
        <v>0</v>
      </c>
      <c r="CH16" s="167">
        <v>0</v>
      </c>
      <c r="CI16" s="167">
        <v>0</v>
      </c>
      <c r="CJ16" s="167">
        <v>0</v>
      </c>
      <c r="CK16" s="167">
        <v>0</v>
      </c>
      <c r="CL16" s="167">
        <v>0</v>
      </c>
      <c r="CM16" s="167">
        <v>0</v>
      </c>
      <c r="CN16" s="167">
        <v>0</v>
      </c>
      <c r="CO16" s="167">
        <v>0</v>
      </c>
      <c r="CP16" s="167">
        <v>0</v>
      </c>
      <c r="CQ16" s="168">
        <v>0</v>
      </c>
      <c r="CR16" s="169">
        <v>0</v>
      </c>
      <c r="CS16" s="169">
        <v>0</v>
      </c>
      <c r="CT16" s="169">
        <v>0</v>
      </c>
      <c r="CU16" s="169">
        <v>0</v>
      </c>
      <c r="CV16" s="169">
        <v>0</v>
      </c>
      <c r="CW16" s="169">
        <v>0</v>
      </c>
      <c r="CX16" s="169">
        <v>0</v>
      </c>
      <c r="CY16" s="169">
        <v>0</v>
      </c>
      <c r="CZ16" s="169">
        <v>0</v>
      </c>
      <c r="DA16" s="169">
        <v>0</v>
      </c>
      <c r="DB16" s="180">
        <v>0</v>
      </c>
      <c r="DC16" s="183">
        <f t="shared" si="0"/>
        <v>798000000</v>
      </c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</row>
    <row r="17" spans="1:184" s="56" customFormat="1" ht="13" x14ac:dyDescent="0.3">
      <c r="A17" s="66"/>
      <c r="B17" s="363"/>
      <c r="C17" s="530"/>
      <c r="D17" s="531"/>
      <c r="E17" s="532"/>
      <c r="F17" s="532"/>
      <c r="G17" s="529"/>
      <c r="H17" s="529"/>
      <c r="I17" s="190"/>
      <c r="J17" s="465"/>
      <c r="K17" s="290"/>
      <c r="L17" s="170"/>
      <c r="M17" s="170"/>
      <c r="N17" s="170"/>
      <c r="O17" s="170"/>
      <c r="P17" s="170"/>
      <c r="Q17" s="170"/>
      <c r="R17" s="170">
        <v>91293140</v>
      </c>
      <c r="S17" s="170"/>
      <c r="T17" s="170"/>
      <c r="U17" s="170"/>
      <c r="V17" s="170"/>
      <c r="W17" s="170">
        <v>96236268</v>
      </c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1"/>
      <c r="CR17" s="172"/>
      <c r="CS17" s="172"/>
      <c r="CT17" s="172"/>
      <c r="CU17" s="172"/>
      <c r="CV17" s="172"/>
      <c r="CW17" s="172"/>
      <c r="CX17" s="172"/>
      <c r="CY17" s="172"/>
      <c r="CZ17" s="172"/>
      <c r="DA17" s="172"/>
      <c r="DB17" s="179"/>
      <c r="DC17" s="183">
        <f t="shared" si="0"/>
        <v>187529408</v>
      </c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</row>
    <row r="18" spans="1:184" s="56" customFormat="1" ht="13" x14ac:dyDescent="0.3">
      <c r="A18" s="66" t="s">
        <v>94</v>
      </c>
      <c r="B18" s="363" t="s">
        <v>287</v>
      </c>
      <c r="C18" s="530" t="s">
        <v>278</v>
      </c>
      <c r="D18" s="531" t="s">
        <v>96</v>
      </c>
      <c r="E18" s="532">
        <v>44669</v>
      </c>
      <c r="F18" s="532">
        <v>47590</v>
      </c>
      <c r="G18" s="529">
        <v>10050000</v>
      </c>
      <c r="H18" s="529">
        <v>10050000</v>
      </c>
      <c r="I18" s="190">
        <v>0</v>
      </c>
      <c r="J18" s="465" t="s">
        <v>97</v>
      </c>
      <c r="K18" s="291">
        <v>0</v>
      </c>
      <c r="L18" s="167">
        <v>0</v>
      </c>
      <c r="M18" s="167">
        <v>0</v>
      </c>
      <c r="N18" s="167">
        <v>0</v>
      </c>
      <c r="O18" s="167">
        <v>0</v>
      </c>
      <c r="P18" s="167">
        <v>0</v>
      </c>
      <c r="Q18" s="167">
        <v>0</v>
      </c>
      <c r="R18" s="167">
        <v>0</v>
      </c>
      <c r="S18" s="167">
        <v>0</v>
      </c>
      <c r="T18" s="167">
        <v>0</v>
      </c>
      <c r="U18" s="167">
        <v>0</v>
      </c>
      <c r="V18" s="167">
        <v>0</v>
      </c>
      <c r="W18" s="167">
        <v>0</v>
      </c>
      <c r="X18" s="167">
        <v>0</v>
      </c>
      <c r="Y18" s="167">
        <v>0</v>
      </c>
      <c r="Z18" s="167">
        <v>0</v>
      </c>
      <c r="AA18" s="167">
        <v>0</v>
      </c>
      <c r="AB18" s="167">
        <v>0</v>
      </c>
      <c r="AC18" s="167">
        <v>0</v>
      </c>
      <c r="AD18" s="167">
        <v>0</v>
      </c>
      <c r="AE18" s="167">
        <v>0</v>
      </c>
      <c r="AF18" s="167">
        <v>0</v>
      </c>
      <c r="AG18" s="167">
        <v>0</v>
      </c>
      <c r="AH18" s="167">
        <v>0</v>
      </c>
      <c r="AI18" s="167">
        <v>0</v>
      </c>
      <c r="AJ18" s="167">
        <v>0</v>
      </c>
      <c r="AK18" s="167">
        <v>0</v>
      </c>
      <c r="AL18" s="167">
        <v>0</v>
      </c>
      <c r="AM18" s="167">
        <v>0</v>
      </c>
      <c r="AN18" s="167">
        <v>0</v>
      </c>
      <c r="AO18" s="167">
        <v>0</v>
      </c>
      <c r="AP18" s="167">
        <v>5000000</v>
      </c>
      <c r="AQ18" s="167">
        <v>0</v>
      </c>
      <c r="AR18" s="167">
        <v>0</v>
      </c>
      <c r="AS18" s="167">
        <v>0</v>
      </c>
      <c r="AT18" s="167">
        <v>0</v>
      </c>
      <c r="AU18" s="167">
        <v>0</v>
      </c>
      <c r="AV18" s="167">
        <v>0</v>
      </c>
      <c r="AW18" s="167">
        <v>0</v>
      </c>
      <c r="AX18" s="167">
        <v>0</v>
      </c>
      <c r="AY18" s="167">
        <v>0</v>
      </c>
      <c r="AZ18" s="167">
        <v>0</v>
      </c>
      <c r="BA18" s="167">
        <v>0</v>
      </c>
      <c r="BB18" s="167">
        <v>0</v>
      </c>
      <c r="BC18" s="167">
        <v>0</v>
      </c>
      <c r="BD18" s="167">
        <v>0</v>
      </c>
      <c r="BE18" s="167">
        <v>0</v>
      </c>
      <c r="BF18" s="167">
        <v>0</v>
      </c>
      <c r="BG18" s="167">
        <v>0</v>
      </c>
      <c r="BH18" s="167">
        <v>0</v>
      </c>
      <c r="BI18" s="167">
        <v>0</v>
      </c>
      <c r="BJ18" s="167">
        <v>0</v>
      </c>
      <c r="BK18" s="167">
        <v>0</v>
      </c>
      <c r="BL18" s="167">
        <v>0</v>
      </c>
      <c r="BM18" s="167">
        <v>0</v>
      </c>
      <c r="BN18" s="167">
        <v>0</v>
      </c>
      <c r="BO18" s="167">
        <v>0</v>
      </c>
      <c r="BP18" s="167">
        <v>0</v>
      </c>
      <c r="BQ18" s="167">
        <v>0</v>
      </c>
      <c r="BR18" s="167">
        <v>0</v>
      </c>
      <c r="BS18" s="167">
        <v>0</v>
      </c>
      <c r="BT18" s="167">
        <v>0</v>
      </c>
      <c r="BU18" s="167">
        <v>0</v>
      </c>
      <c r="BV18" s="167">
        <v>0</v>
      </c>
      <c r="BW18" s="167">
        <v>0</v>
      </c>
      <c r="BX18" s="167">
        <v>0</v>
      </c>
      <c r="BY18" s="167">
        <v>0</v>
      </c>
      <c r="BZ18" s="167">
        <v>0</v>
      </c>
      <c r="CA18" s="167">
        <v>0</v>
      </c>
      <c r="CB18" s="167">
        <v>0</v>
      </c>
      <c r="CC18" s="167">
        <v>0</v>
      </c>
      <c r="CD18" s="167">
        <v>0</v>
      </c>
      <c r="CE18" s="167">
        <v>0</v>
      </c>
      <c r="CF18" s="167">
        <v>0</v>
      </c>
      <c r="CG18" s="167">
        <v>0</v>
      </c>
      <c r="CH18" s="167">
        <v>0</v>
      </c>
      <c r="CI18" s="167">
        <v>0</v>
      </c>
      <c r="CJ18" s="167">
        <v>0</v>
      </c>
      <c r="CK18" s="167">
        <v>0</v>
      </c>
      <c r="CL18" s="167">
        <v>0</v>
      </c>
      <c r="CM18" s="167">
        <v>0</v>
      </c>
      <c r="CN18" s="167">
        <v>0</v>
      </c>
      <c r="CO18" s="167">
        <v>0</v>
      </c>
      <c r="CP18" s="167">
        <v>5050000</v>
      </c>
      <c r="CQ18" s="168">
        <v>0</v>
      </c>
      <c r="CR18" s="169">
        <v>0</v>
      </c>
      <c r="CS18" s="169">
        <v>0</v>
      </c>
      <c r="CT18" s="169">
        <v>0</v>
      </c>
      <c r="CU18" s="169">
        <v>0</v>
      </c>
      <c r="CV18" s="169">
        <v>0</v>
      </c>
      <c r="CW18" s="169">
        <v>0</v>
      </c>
      <c r="CX18" s="169">
        <v>0</v>
      </c>
      <c r="CY18" s="169">
        <v>0</v>
      </c>
      <c r="CZ18" s="169">
        <v>0</v>
      </c>
      <c r="DA18" s="169">
        <v>0</v>
      </c>
      <c r="DB18" s="180">
        <v>0</v>
      </c>
      <c r="DC18" s="183">
        <f t="shared" si="0"/>
        <v>10050000</v>
      </c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</row>
    <row r="19" spans="1:184" s="56" customFormat="1" ht="19.5" customHeight="1" x14ac:dyDescent="0.3">
      <c r="A19" s="66"/>
      <c r="B19" s="363"/>
      <c r="C19" s="530"/>
      <c r="D19" s="531"/>
      <c r="E19" s="532"/>
      <c r="F19" s="532"/>
      <c r="G19" s="529"/>
      <c r="H19" s="529"/>
      <c r="I19" s="190"/>
      <c r="J19" s="465"/>
      <c r="K19" s="29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1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9"/>
      <c r="DC19" s="183">
        <f t="shared" si="0"/>
        <v>0</v>
      </c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</row>
    <row r="20" spans="1:184" s="56" customFormat="1" ht="13" x14ac:dyDescent="0.3">
      <c r="A20" s="66"/>
      <c r="B20" s="363" t="s">
        <v>469</v>
      </c>
      <c r="C20" s="530" t="s">
        <v>279</v>
      </c>
      <c r="D20" s="531" t="s">
        <v>96</v>
      </c>
      <c r="E20" s="532">
        <v>44669</v>
      </c>
      <c r="F20" s="532">
        <v>47590</v>
      </c>
      <c r="G20" s="529">
        <v>91140795</v>
      </c>
      <c r="H20" s="529">
        <v>91140795</v>
      </c>
      <c r="I20" s="190">
        <v>0</v>
      </c>
      <c r="J20" s="465" t="s">
        <v>135</v>
      </c>
      <c r="K20" s="291">
        <v>0</v>
      </c>
      <c r="L20" s="167">
        <v>3559500</v>
      </c>
      <c r="M20" s="167">
        <v>0</v>
      </c>
      <c r="N20" s="167">
        <v>4746000</v>
      </c>
      <c r="O20" s="167">
        <v>0</v>
      </c>
      <c r="P20" s="167">
        <v>4746000</v>
      </c>
      <c r="Q20" s="167">
        <v>0</v>
      </c>
      <c r="R20" s="167">
        <v>4746000</v>
      </c>
      <c r="S20" s="167">
        <v>0</v>
      </c>
      <c r="T20" s="167">
        <v>4887000</v>
      </c>
      <c r="U20" s="167">
        <v>0</v>
      </c>
      <c r="V20" s="167">
        <v>5028000</v>
      </c>
      <c r="W20" s="167">
        <v>0</v>
      </c>
      <c r="X20" s="167">
        <v>5028000</v>
      </c>
      <c r="Y20" s="167">
        <v>0</v>
      </c>
      <c r="Z20" s="167">
        <v>5028000</v>
      </c>
      <c r="AA20" s="167">
        <v>0</v>
      </c>
      <c r="AB20" s="167">
        <v>5028000</v>
      </c>
      <c r="AC20" s="167">
        <v>0</v>
      </c>
      <c r="AD20" s="167">
        <v>5028000</v>
      </c>
      <c r="AE20" s="167">
        <v>0</v>
      </c>
      <c r="AF20" s="167">
        <v>3934800</v>
      </c>
      <c r="AG20" s="167">
        <v>0</v>
      </c>
      <c r="AH20" s="167">
        <v>2841600</v>
      </c>
      <c r="AI20" s="167">
        <v>0</v>
      </c>
      <c r="AJ20" s="167">
        <v>2841600</v>
      </c>
      <c r="AK20" s="167">
        <v>0</v>
      </c>
      <c r="AL20" s="167">
        <v>2841600</v>
      </c>
      <c r="AM20" s="167">
        <v>0</v>
      </c>
      <c r="AN20" s="167">
        <v>2841600</v>
      </c>
      <c r="AO20" s="167">
        <v>0</v>
      </c>
      <c r="AP20" s="167">
        <v>2841600</v>
      </c>
      <c r="AQ20" s="167">
        <v>0</v>
      </c>
      <c r="AR20" s="167">
        <v>2928000</v>
      </c>
      <c r="AS20" s="167">
        <v>0</v>
      </c>
      <c r="AT20" s="167">
        <v>3014400</v>
      </c>
      <c r="AU20" s="167">
        <v>0</v>
      </c>
      <c r="AV20" s="167">
        <v>3014400</v>
      </c>
      <c r="AW20" s="167">
        <v>0</v>
      </c>
      <c r="AX20" s="167">
        <v>3014400</v>
      </c>
      <c r="AY20" s="167">
        <v>0</v>
      </c>
      <c r="AZ20" s="167">
        <v>3014400</v>
      </c>
      <c r="BA20" s="167">
        <v>0</v>
      </c>
      <c r="BB20" s="167">
        <v>3014400</v>
      </c>
      <c r="BC20" s="167">
        <v>0</v>
      </c>
      <c r="BD20" s="167">
        <v>3126141.48</v>
      </c>
      <c r="BE20" s="167">
        <v>0</v>
      </c>
      <c r="BF20" s="167">
        <v>3237882.96</v>
      </c>
      <c r="BG20" s="167">
        <v>0</v>
      </c>
      <c r="BH20" s="167">
        <v>809470.56</v>
      </c>
      <c r="BI20" s="167">
        <v>0</v>
      </c>
      <c r="BJ20" s="167">
        <v>0</v>
      </c>
      <c r="BK20" s="167">
        <v>0</v>
      </c>
      <c r="BL20" s="167">
        <v>0</v>
      </c>
      <c r="BM20" s="167">
        <v>0</v>
      </c>
      <c r="BN20" s="167">
        <v>0</v>
      </c>
      <c r="BO20" s="167">
        <v>0</v>
      </c>
      <c r="BP20" s="167">
        <v>0</v>
      </c>
      <c r="BQ20" s="167">
        <v>0</v>
      </c>
      <c r="BR20" s="167">
        <v>0</v>
      </c>
      <c r="BS20" s="167">
        <v>0</v>
      </c>
      <c r="BT20" s="167">
        <v>0</v>
      </c>
      <c r="BU20" s="167">
        <v>0</v>
      </c>
      <c r="BV20" s="167">
        <v>0</v>
      </c>
      <c r="BW20" s="167">
        <v>0</v>
      </c>
      <c r="BX20" s="167">
        <v>0</v>
      </c>
      <c r="BY20" s="167">
        <v>0</v>
      </c>
      <c r="BZ20" s="167">
        <v>0</v>
      </c>
      <c r="CA20" s="167">
        <v>0</v>
      </c>
      <c r="CB20" s="167">
        <v>0</v>
      </c>
      <c r="CC20" s="167">
        <v>0</v>
      </c>
      <c r="CD20" s="167">
        <v>0</v>
      </c>
      <c r="CE20" s="167">
        <v>0</v>
      </c>
      <c r="CF20" s="167">
        <v>0</v>
      </c>
      <c r="CG20" s="167">
        <v>0</v>
      </c>
      <c r="CH20" s="167">
        <v>0</v>
      </c>
      <c r="CI20" s="167">
        <v>0</v>
      </c>
      <c r="CJ20" s="167">
        <v>0</v>
      </c>
      <c r="CK20" s="167">
        <v>0</v>
      </c>
      <c r="CL20" s="167">
        <v>0</v>
      </c>
      <c r="CM20" s="167">
        <v>0</v>
      </c>
      <c r="CN20" s="167">
        <v>0</v>
      </c>
      <c r="CO20" s="167">
        <v>0</v>
      </c>
      <c r="CP20" s="167">
        <v>0</v>
      </c>
      <c r="CQ20" s="168">
        <v>0</v>
      </c>
      <c r="CR20" s="169">
        <v>0</v>
      </c>
      <c r="CS20" s="169">
        <v>0</v>
      </c>
      <c r="CT20" s="169">
        <v>0</v>
      </c>
      <c r="CU20" s="169">
        <v>0</v>
      </c>
      <c r="CV20" s="169">
        <v>0</v>
      </c>
      <c r="CW20" s="169">
        <v>0</v>
      </c>
      <c r="CX20" s="169">
        <v>0</v>
      </c>
      <c r="CY20" s="169">
        <v>0</v>
      </c>
      <c r="CZ20" s="169">
        <v>0</v>
      </c>
      <c r="DA20" s="169">
        <v>0</v>
      </c>
      <c r="DB20" s="180">
        <v>0</v>
      </c>
      <c r="DC20" s="183">
        <f t="shared" si="0"/>
        <v>91140795</v>
      </c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</row>
    <row r="21" spans="1:184" s="56" customFormat="1" ht="13" x14ac:dyDescent="0.3">
      <c r="A21" s="66"/>
      <c r="B21" s="363"/>
      <c r="C21" s="530"/>
      <c r="D21" s="531"/>
      <c r="E21" s="532"/>
      <c r="F21" s="532"/>
      <c r="G21" s="529"/>
      <c r="H21" s="529"/>
      <c r="I21" s="190"/>
      <c r="J21" s="465"/>
      <c r="K21" s="290"/>
      <c r="L21" s="170">
        <v>3559500</v>
      </c>
      <c r="M21" s="170"/>
      <c r="N21" s="170">
        <v>4746000</v>
      </c>
      <c r="O21" s="170"/>
      <c r="P21" s="170">
        <v>4746000</v>
      </c>
      <c r="Q21" s="170"/>
      <c r="R21" s="170">
        <v>4746000</v>
      </c>
      <c r="S21" s="170"/>
      <c r="T21" s="170">
        <v>4887000</v>
      </c>
      <c r="U21" s="170"/>
      <c r="V21" s="170">
        <v>5028000</v>
      </c>
      <c r="W21" s="170"/>
      <c r="X21" s="170">
        <v>5028000</v>
      </c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1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9"/>
      <c r="DC21" s="183">
        <f t="shared" si="0"/>
        <v>32740500</v>
      </c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</row>
    <row r="22" spans="1:184" s="56" customFormat="1" ht="13" x14ac:dyDescent="0.3">
      <c r="A22" s="66"/>
      <c r="B22" s="363" t="s">
        <v>470</v>
      </c>
      <c r="C22" s="530" t="s">
        <v>280</v>
      </c>
      <c r="D22" s="531" t="s">
        <v>96</v>
      </c>
      <c r="E22" s="532">
        <v>44669</v>
      </c>
      <c r="F22" s="532">
        <v>47590</v>
      </c>
      <c r="G22" s="529">
        <v>58093056</v>
      </c>
      <c r="H22" s="529">
        <v>58093056</v>
      </c>
      <c r="I22" s="190">
        <v>0</v>
      </c>
      <c r="J22" s="465" t="s">
        <v>135</v>
      </c>
      <c r="K22" s="291">
        <v>376500</v>
      </c>
      <c r="L22" s="167">
        <v>753000</v>
      </c>
      <c r="M22" s="167">
        <v>0</v>
      </c>
      <c r="N22" s="167">
        <v>1506000</v>
      </c>
      <c r="O22" s="167">
        <v>0</v>
      </c>
      <c r="P22" s="167">
        <v>1506000</v>
      </c>
      <c r="Q22" s="167">
        <v>0</v>
      </c>
      <c r="R22" s="167">
        <v>1506000</v>
      </c>
      <c r="S22" s="167">
        <v>0</v>
      </c>
      <c r="T22" s="167">
        <v>1551000</v>
      </c>
      <c r="U22" s="167">
        <v>0</v>
      </c>
      <c r="V22" s="167">
        <v>1596000</v>
      </c>
      <c r="W22" s="167">
        <v>0</v>
      </c>
      <c r="X22" s="167">
        <v>1596000</v>
      </c>
      <c r="Y22" s="167">
        <v>0</v>
      </c>
      <c r="Z22" s="167">
        <v>1596000</v>
      </c>
      <c r="AA22" s="167">
        <v>0</v>
      </c>
      <c r="AB22" s="167">
        <v>1596000</v>
      </c>
      <c r="AC22" s="167">
        <v>0</v>
      </c>
      <c r="AD22" s="167">
        <v>1596000</v>
      </c>
      <c r="AE22" s="167">
        <v>0</v>
      </c>
      <c r="AF22" s="167">
        <v>1362000</v>
      </c>
      <c r="AG22" s="167">
        <v>0</v>
      </c>
      <c r="AH22" s="167">
        <v>1128000</v>
      </c>
      <c r="AI22" s="167">
        <v>0</v>
      </c>
      <c r="AJ22" s="167">
        <v>1128000</v>
      </c>
      <c r="AK22" s="167">
        <v>0</v>
      </c>
      <c r="AL22" s="167">
        <v>1128000</v>
      </c>
      <c r="AM22" s="167">
        <v>0</v>
      </c>
      <c r="AN22" s="167">
        <v>1128000</v>
      </c>
      <c r="AO22" s="167">
        <v>0</v>
      </c>
      <c r="AP22" s="167">
        <v>1128000</v>
      </c>
      <c r="AQ22" s="167">
        <v>0</v>
      </c>
      <c r="AR22" s="167">
        <v>1162000</v>
      </c>
      <c r="AS22" s="167">
        <v>0</v>
      </c>
      <c r="AT22" s="167">
        <v>1196000</v>
      </c>
      <c r="AU22" s="167">
        <v>0</v>
      </c>
      <c r="AV22" s="167">
        <v>1196000</v>
      </c>
      <c r="AW22" s="167">
        <v>0</v>
      </c>
      <c r="AX22" s="167">
        <v>1196000</v>
      </c>
      <c r="AY22" s="167">
        <v>0</v>
      </c>
      <c r="AZ22" s="167">
        <v>1196000</v>
      </c>
      <c r="BA22" s="167">
        <v>0</v>
      </c>
      <c r="BB22" s="167">
        <v>1196000</v>
      </c>
      <c r="BC22" s="167">
        <v>0</v>
      </c>
      <c r="BD22" s="167">
        <v>1231600</v>
      </c>
      <c r="BE22" s="167">
        <v>0</v>
      </c>
      <c r="BF22" s="167">
        <v>1267200</v>
      </c>
      <c r="BG22" s="167">
        <v>0</v>
      </c>
      <c r="BH22" s="167">
        <v>1267200</v>
      </c>
      <c r="BI22" s="167">
        <v>0</v>
      </c>
      <c r="BJ22" s="167">
        <v>1267200</v>
      </c>
      <c r="BK22" s="167">
        <v>0</v>
      </c>
      <c r="BL22" s="167">
        <v>1267200</v>
      </c>
      <c r="BM22" s="167">
        <v>0</v>
      </c>
      <c r="BN22" s="167">
        <v>1267200</v>
      </c>
      <c r="BO22" s="167">
        <v>0</v>
      </c>
      <c r="BP22" s="167">
        <v>1305600</v>
      </c>
      <c r="BQ22" s="167">
        <v>0</v>
      </c>
      <c r="BR22" s="167">
        <v>1344000</v>
      </c>
      <c r="BS22" s="167">
        <v>0</v>
      </c>
      <c r="BT22" s="167">
        <v>1344000</v>
      </c>
      <c r="BU22" s="167">
        <v>0</v>
      </c>
      <c r="BV22" s="167">
        <v>1344000</v>
      </c>
      <c r="BW22" s="167">
        <v>0</v>
      </c>
      <c r="BX22" s="167">
        <v>1344000</v>
      </c>
      <c r="BY22" s="167">
        <v>0</v>
      </c>
      <c r="BZ22" s="167">
        <v>1344000</v>
      </c>
      <c r="CA22" s="167">
        <v>0</v>
      </c>
      <c r="CB22" s="167">
        <v>1384000</v>
      </c>
      <c r="CC22" s="167">
        <v>0</v>
      </c>
      <c r="CD22" s="167">
        <v>1424000</v>
      </c>
      <c r="CE22" s="167">
        <v>0</v>
      </c>
      <c r="CF22" s="167">
        <v>1424000</v>
      </c>
      <c r="CG22" s="167">
        <v>0</v>
      </c>
      <c r="CH22" s="167">
        <v>1424000</v>
      </c>
      <c r="CI22" s="167">
        <v>0</v>
      </c>
      <c r="CJ22" s="167">
        <v>1424000</v>
      </c>
      <c r="CK22" s="167">
        <v>0</v>
      </c>
      <c r="CL22" s="167">
        <v>1424000</v>
      </c>
      <c r="CM22" s="167">
        <v>0</v>
      </c>
      <c r="CN22" s="167">
        <v>1843816</v>
      </c>
      <c r="CO22" s="167">
        <v>0</v>
      </c>
      <c r="CP22" s="167">
        <v>2263632</v>
      </c>
      <c r="CQ22" s="168">
        <v>0</v>
      </c>
      <c r="CR22" s="169">
        <v>565908</v>
      </c>
      <c r="CS22" s="169">
        <v>0</v>
      </c>
      <c r="CT22" s="169">
        <v>0</v>
      </c>
      <c r="CU22" s="169">
        <v>0</v>
      </c>
      <c r="CV22" s="169">
        <v>0</v>
      </c>
      <c r="CW22" s="169">
        <v>0</v>
      </c>
      <c r="CX22" s="169">
        <v>0</v>
      </c>
      <c r="CY22" s="169">
        <v>0</v>
      </c>
      <c r="CZ22" s="169">
        <v>0</v>
      </c>
      <c r="DA22" s="169">
        <v>0</v>
      </c>
      <c r="DB22" s="180">
        <v>0</v>
      </c>
      <c r="DC22" s="183">
        <f t="shared" si="0"/>
        <v>58093056</v>
      </c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</row>
    <row r="23" spans="1:184" s="56" customFormat="1" ht="13" x14ac:dyDescent="0.3">
      <c r="A23" s="66"/>
      <c r="B23" s="363"/>
      <c r="C23" s="530"/>
      <c r="D23" s="531"/>
      <c r="E23" s="532"/>
      <c r="F23" s="532"/>
      <c r="G23" s="529"/>
      <c r="H23" s="529"/>
      <c r="I23" s="190"/>
      <c r="J23" s="465"/>
      <c r="K23" s="290"/>
      <c r="L23" s="170">
        <v>1129500</v>
      </c>
      <c r="M23" s="170"/>
      <c r="N23" s="170">
        <v>1506000</v>
      </c>
      <c r="O23" s="170"/>
      <c r="P23" s="170">
        <v>1506000</v>
      </c>
      <c r="Q23" s="170"/>
      <c r="R23" s="170">
        <v>1506000</v>
      </c>
      <c r="S23" s="170"/>
      <c r="T23" s="170">
        <v>1551000</v>
      </c>
      <c r="U23" s="170"/>
      <c r="V23" s="170">
        <v>1596000</v>
      </c>
      <c r="W23" s="170"/>
      <c r="X23" s="170">
        <v>1596000</v>
      </c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1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9"/>
      <c r="DC23" s="183">
        <f t="shared" si="0"/>
        <v>10390500</v>
      </c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</row>
    <row r="24" spans="1:184" s="64" customFormat="1" ht="25" customHeight="1" x14ac:dyDescent="0.35">
      <c r="A24" s="72"/>
      <c r="B24" s="363" t="s">
        <v>289</v>
      </c>
      <c r="C24" s="530" t="s">
        <v>283</v>
      </c>
      <c r="D24" s="531" t="s">
        <v>96</v>
      </c>
      <c r="E24" s="532">
        <v>44669</v>
      </c>
      <c r="F24" s="532">
        <v>47590</v>
      </c>
      <c r="G24" s="529">
        <v>1428000</v>
      </c>
      <c r="H24" s="529">
        <v>1428000</v>
      </c>
      <c r="I24" s="190">
        <v>0</v>
      </c>
      <c r="J24" s="465" t="s">
        <v>97</v>
      </c>
      <c r="K24" s="291">
        <v>0</v>
      </c>
      <c r="L24" s="167">
        <v>0</v>
      </c>
      <c r="M24" s="167">
        <v>0</v>
      </c>
      <c r="N24" s="167">
        <v>1428000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7">
        <v>0</v>
      </c>
      <c r="AI24" s="167">
        <v>0</v>
      </c>
      <c r="AJ24" s="167">
        <v>0</v>
      </c>
      <c r="AK24" s="167">
        <v>0</v>
      </c>
      <c r="AL24" s="167">
        <v>0</v>
      </c>
      <c r="AM24" s="167">
        <v>0</v>
      </c>
      <c r="AN24" s="167">
        <v>0</v>
      </c>
      <c r="AO24" s="167">
        <v>0</v>
      </c>
      <c r="AP24" s="167">
        <v>0</v>
      </c>
      <c r="AQ24" s="167">
        <v>0</v>
      </c>
      <c r="AR24" s="167">
        <v>0</v>
      </c>
      <c r="AS24" s="167">
        <v>0</v>
      </c>
      <c r="AT24" s="167">
        <v>0</v>
      </c>
      <c r="AU24" s="167">
        <v>0</v>
      </c>
      <c r="AV24" s="167">
        <v>0</v>
      </c>
      <c r="AW24" s="167">
        <v>0</v>
      </c>
      <c r="AX24" s="167">
        <v>0</v>
      </c>
      <c r="AY24" s="167">
        <v>0</v>
      </c>
      <c r="AZ24" s="167">
        <v>0</v>
      </c>
      <c r="BA24" s="167">
        <v>0</v>
      </c>
      <c r="BB24" s="167">
        <v>0</v>
      </c>
      <c r="BC24" s="167">
        <v>0</v>
      </c>
      <c r="BD24" s="167">
        <v>0</v>
      </c>
      <c r="BE24" s="167">
        <v>0</v>
      </c>
      <c r="BF24" s="167">
        <v>0</v>
      </c>
      <c r="BG24" s="167">
        <v>0</v>
      </c>
      <c r="BH24" s="167">
        <v>0</v>
      </c>
      <c r="BI24" s="167">
        <v>0</v>
      </c>
      <c r="BJ24" s="167">
        <v>0</v>
      </c>
      <c r="BK24" s="167">
        <v>0</v>
      </c>
      <c r="BL24" s="167">
        <v>0</v>
      </c>
      <c r="BM24" s="167">
        <v>0</v>
      </c>
      <c r="BN24" s="167">
        <v>0</v>
      </c>
      <c r="BO24" s="167">
        <v>0</v>
      </c>
      <c r="BP24" s="167">
        <v>0</v>
      </c>
      <c r="BQ24" s="167">
        <v>0</v>
      </c>
      <c r="BR24" s="167">
        <v>0</v>
      </c>
      <c r="BS24" s="167">
        <v>0</v>
      </c>
      <c r="BT24" s="167">
        <v>0</v>
      </c>
      <c r="BU24" s="167">
        <v>0</v>
      </c>
      <c r="BV24" s="167">
        <v>0</v>
      </c>
      <c r="BW24" s="167">
        <v>0</v>
      </c>
      <c r="BX24" s="167">
        <v>0</v>
      </c>
      <c r="BY24" s="167">
        <v>0</v>
      </c>
      <c r="BZ24" s="167">
        <v>0</v>
      </c>
      <c r="CA24" s="167">
        <v>0</v>
      </c>
      <c r="CB24" s="167">
        <v>0</v>
      </c>
      <c r="CC24" s="167">
        <v>0</v>
      </c>
      <c r="CD24" s="167">
        <v>0</v>
      </c>
      <c r="CE24" s="167">
        <v>0</v>
      </c>
      <c r="CF24" s="167">
        <v>0</v>
      </c>
      <c r="CG24" s="167">
        <v>0</v>
      </c>
      <c r="CH24" s="167">
        <v>0</v>
      </c>
      <c r="CI24" s="167">
        <v>0</v>
      </c>
      <c r="CJ24" s="167">
        <v>0</v>
      </c>
      <c r="CK24" s="167">
        <v>0</v>
      </c>
      <c r="CL24" s="167">
        <v>0</v>
      </c>
      <c r="CM24" s="167">
        <v>0</v>
      </c>
      <c r="CN24" s="167">
        <v>0</v>
      </c>
      <c r="CO24" s="167">
        <v>0</v>
      </c>
      <c r="CP24" s="167">
        <v>0</v>
      </c>
      <c r="CQ24" s="168">
        <v>0</v>
      </c>
      <c r="CR24" s="169">
        <v>0</v>
      </c>
      <c r="CS24" s="169">
        <v>0</v>
      </c>
      <c r="CT24" s="169">
        <v>0</v>
      </c>
      <c r="CU24" s="169">
        <v>0</v>
      </c>
      <c r="CV24" s="169">
        <v>0</v>
      </c>
      <c r="CW24" s="169">
        <v>0</v>
      </c>
      <c r="CX24" s="169">
        <v>0</v>
      </c>
      <c r="CY24" s="169">
        <v>0</v>
      </c>
      <c r="CZ24" s="169">
        <v>0</v>
      </c>
      <c r="DA24" s="169">
        <v>0</v>
      </c>
      <c r="DB24" s="180">
        <v>0</v>
      </c>
      <c r="DC24" s="183">
        <f t="shared" si="0"/>
        <v>1428000</v>
      </c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</row>
    <row r="25" spans="1:184" s="70" customFormat="1" ht="24" customHeight="1" x14ac:dyDescent="0.35">
      <c r="A25" s="74"/>
      <c r="B25" s="363"/>
      <c r="C25" s="530"/>
      <c r="D25" s="531"/>
      <c r="E25" s="532"/>
      <c r="F25" s="532"/>
      <c r="G25" s="529"/>
      <c r="H25" s="529"/>
      <c r="I25" s="190"/>
      <c r="J25" s="465"/>
      <c r="K25" s="290"/>
      <c r="L25" s="170"/>
      <c r="M25" s="170"/>
      <c r="N25" s="170"/>
      <c r="O25" s="170"/>
      <c r="P25" s="170"/>
      <c r="Q25" s="170"/>
      <c r="R25" s="170"/>
      <c r="S25" s="170">
        <v>1296000</v>
      </c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1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9"/>
      <c r="DC25" s="183">
        <f t="shared" si="0"/>
        <v>1296000</v>
      </c>
    </row>
    <row r="26" spans="1:184" ht="27" customHeight="1" x14ac:dyDescent="0.35">
      <c r="A26" s="74"/>
      <c r="B26" s="363" t="s">
        <v>473</v>
      </c>
      <c r="C26" s="530" t="s">
        <v>284</v>
      </c>
      <c r="D26" s="531" t="s">
        <v>96</v>
      </c>
      <c r="E26" s="532">
        <v>44669</v>
      </c>
      <c r="F26" s="532">
        <v>47590</v>
      </c>
      <c r="G26" s="529">
        <v>12291525</v>
      </c>
      <c r="H26" s="529">
        <v>12291525</v>
      </c>
      <c r="I26" s="190">
        <v>0</v>
      </c>
      <c r="J26" s="465" t="s">
        <v>135</v>
      </c>
      <c r="K26" s="291">
        <v>0</v>
      </c>
      <c r="L26" s="167">
        <v>0</v>
      </c>
      <c r="M26" s="167">
        <v>0</v>
      </c>
      <c r="N26" s="167">
        <v>12291525</v>
      </c>
      <c r="O26" s="167">
        <v>0</v>
      </c>
      <c r="P26" s="167">
        <v>0</v>
      </c>
      <c r="Q26" s="167">
        <v>0</v>
      </c>
      <c r="R26" s="167">
        <v>0</v>
      </c>
      <c r="S26" s="167">
        <v>0</v>
      </c>
      <c r="T26" s="167">
        <v>0</v>
      </c>
      <c r="U26" s="167">
        <v>0</v>
      </c>
      <c r="V26" s="167">
        <v>0</v>
      </c>
      <c r="W26" s="167">
        <v>0</v>
      </c>
      <c r="X26" s="167">
        <v>0</v>
      </c>
      <c r="Y26" s="167">
        <v>0</v>
      </c>
      <c r="Z26" s="167">
        <v>0</v>
      </c>
      <c r="AA26" s="167">
        <v>0</v>
      </c>
      <c r="AB26" s="167">
        <v>0</v>
      </c>
      <c r="AC26" s="167">
        <v>0</v>
      </c>
      <c r="AD26" s="167">
        <v>0</v>
      </c>
      <c r="AE26" s="167">
        <v>0</v>
      </c>
      <c r="AF26" s="167">
        <v>0</v>
      </c>
      <c r="AG26" s="167">
        <v>0</v>
      </c>
      <c r="AH26" s="167">
        <v>0</v>
      </c>
      <c r="AI26" s="167">
        <v>0</v>
      </c>
      <c r="AJ26" s="167">
        <v>0</v>
      </c>
      <c r="AK26" s="167">
        <v>0</v>
      </c>
      <c r="AL26" s="167">
        <v>0</v>
      </c>
      <c r="AM26" s="167">
        <v>0</v>
      </c>
      <c r="AN26" s="167">
        <v>0</v>
      </c>
      <c r="AO26" s="167">
        <v>0</v>
      </c>
      <c r="AP26" s="167">
        <v>0</v>
      </c>
      <c r="AQ26" s="167">
        <v>0</v>
      </c>
      <c r="AR26" s="167">
        <v>0</v>
      </c>
      <c r="AS26" s="167">
        <v>0</v>
      </c>
      <c r="AT26" s="167">
        <v>0</v>
      </c>
      <c r="AU26" s="167">
        <v>0</v>
      </c>
      <c r="AV26" s="167">
        <v>0</v>
      </c>
      <c r="AW26" s="167">
        <v>0</v>
      </c>
      <c r="AX26" s="167">
        <v>0</v>
      </c>
      <c r="AY26" s="167">
        <v>0</v>
      </c>
      <c r="AZ26" s="167">
        <v>0</v>
      </c>
      <c r="BA26" s="167">
        <v>0</v>
      </c>
      <c r="BB26" s="167">
        <v>0</v>
      </c>
      <c r="BC26" s="167">
        <v>0</v>
      </c>
      <c r="BD26" s="167">
        <v>0</v>
      </c>
      <c r="BE26" s="167">
        <v>0</v>
      </c>
      <c r="BF26" s="167">
        <v>0</v>
      </c>
      <c r="BG26" s="167">
        <v>0</v>
      </c>
      <c r="BH26" s="167">
        <v>0</v>
      </c>
      <c r="BI26" s="167">
        <v>0</v>
      </c>
      <c r="BJ26" s="167">
        <v>0</v>
      </c>
      <c r="BK26" s="167">
        <v>0</v>
      </c>
      <c r="BL26" s="167">
        <v>0</v>
      </c>
      <c r="BM26" s="167">
        <v>0</v>
      </c>
      <c r="BN26" s="167">
        <v>0</v>
      </c>
      <c r="BO26" s="167">
        <v>0</v>
      </c>
      <c r="BP26" s="167">
        <v>0</v>
      </c>
      <c r="BQ26" s="167">
        <v>0</v>
      </c>
      <c r="BR26" s="167">
        <v>0</v>
      </c>
      <c r="BS26" s="167">
        <v>0</v>
      </c>
      <c r="BT26" s="167">
        <v>0</v>
      </c>
      <c r="BU26" s="167">
        <v>0</v>
      </c>
      <c r="BV26" s="167">
        <v>0</v>
      </c>
      <c r="BW26" s="167">
        <v>0</v>
      </c>
      <c r="BX26" s="167">
        <v>0</v>
      </c>
      <c r="BY26" s="167">
        <v>0</v>
      </c>
      <c r="BZ26" s="167">
        <v>0</v>
      </c>
      <c r="CA26" s="167">
        <v>0</v>
      </c>
      <c r="CB26" s="167">
        <v>0</v>
      </c>
      <c r="CC26" s="167">
        <v>0</v>
      </c>
      <c r="CD26" s="167">
        <v>0</v>
      </c>
      <c r="CE26" s="167">
        <v>0</v>
      </c>
      <c r="CF26" s="167">
        <v>0</v>
      </c>
      <c r="CG26" s="167">
        <v>0</v>
      </c>
      <c r="CH26" s="167">
        <v>0</v>
      </c>
      <c r="CI26" s="167">
        <v>0</v>
      </c>
      <c r="CJ26" s="167">
        <v>0</v>
      </c>
      <c r="CK26" s="167">
        <v>0</v>
      </c>
      <c r="CL26" s="167">
        <v>0</v>
      </c>
      <c r="CM26" s="167">
        <v>0</v>
      </c>
      <c r="CN26" s="167">
        <v>0</v>
      </c>
      <c r="CO26" s="167">
        <v>0</v>
      </c>
      <c r="CP26" s="167">
        <v>0</v>
      </c>
      <c r="CQ26" s="168">
        <v>0</v>
      </c>
      <c r="CR26" s="169">
        <v>0</v>
      </c>
      <c r="CS26" s="169">
        <v>0</v>
      </c>
      <c r="CT26" s="169">
        <v>0</v>
      </c>
      <c r="CU26" s="169">
        <v>0</v>
      </c>
      <c r="CV26" s="169">
        <v>0</v>
      </c>
      <c r="CW26" s="169">
        <v>0</v>
      </c>
      <c r="CX26" s="169">
        <v>0</v>
      </c>
      <c r="CY26" s="169">
        <v>0</v>
      </c>
      <c r="CZ26" s="169">
        <v>0</v>
      </c>
      <c r="DA26" s="169">
        <v>0</v>
      </c>
      <c r="DB26" s="180">
        <v>0</v>
      </c>
      <c r="DC26" s="183">
        <f t="shared" si="0"/>
        <v>12291525</v>
      </c>
    </row>
    <row r="27" spans="1:184" x14ac:dyDescent="0.35">
      <c r="A27" s="74"/>
      <c r="B27" s="363"/>
      <c r="C27" s="530"/>
      <c r="D27" s="531"/>
      <c r="E27" s="532"/>
      <c r="F27" s="532"/>
      <c r="G27" s="529"/>
      <c r="H27" s="529"/>
      <c r="I27" s="190"/>
      <c r="J27" s="465"/>
      <c r="K27" s="29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1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9"/>
      <c r="DC27" s="183">
        <f t="shared" si="0"/>
        <v>0</v>
      </c>
    </row>
    <row r="28" spans="1:184" x14ac:dyDescent="0.35">
      <c r="A28" s="73"/>
      <c r="B28" s="363" t="s">
        <v>288</v>
      </c>
      <c r="C28" s="530" t="s">
        <v>282</v>
      </c>
      <c r="D28" s="531" t="s">
        <v>96</v>
      </c>
      <c r="E28" s="532">
        <v>44669</v>
      </c>
      <c r="F28" s="532">
        <v>47590</v>
      </c>
      <c r="G28" s="529">
        <v>320000000</v>
      </c>
      <c r="H28" s="529">
        <v>320000000</v>
      </c>
      <c r="I28" s="190">
        <v>0</v>
      </c>
      <c r="J28" s="465" t="s">
        <v>97</v>
      </c>
      <c r="K28" s="291">
        <v>0</v>
      </c>
      <c r="L28" s="167">
        <v>0</v>
      </c>
      <c r="M28" s="167">
        <v>0</v>
      </c>
      <c r="N28" s="167">
        <v>0</v>
      </c>
      <c r="O28" s="167">
        <v>80000000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7">
        <v>80000000</v>
      </c>
      <c r="W28" s="167">
        <v>0</v>
      </c>
      <c r="X28" s="167">
        <v>0</v>
      </c>
      <c r="Y28" s="167">
        <v>0</v>
      </c>
      <c r="Z28" s="167">
        <v>0</v>
      </c>
      <c r="AA28" s="167">
        <v>80000000</v>
      </c>
      <c r="AB28" s="167">
        <v>0</v>
      </c>
      <c r="AC28" s="167">
        <v>0</v>
      </c>
      <c r="AD28" s="167">
        <v>0</v>
      </c>
      <c r="AE28" s="167">
        <v>0</v>
      </c>
      <c r="AF28" s="167">
        <v>0</v>
      </c>
      <c r="AG28" s="167">
        <v>0</v>
      </c>
      <c r="AH28" s="167">
        <v>80000000</v>
      </c>
      <c r="AI28" s="167">
        <v>0</v>
      </c>
      <c r="AJ28" s="167">
        <v>0</v>
      </c>
      <c r="AK28" s="167">
        <v>0</v>
      </c>
      <c r="AL28" s="167">
        <v>0</v>
      </c>
      <c r="AM28" s="167">
        <v>0</v>
      </c>
      <c r="AN28" s="167">
        <v>0</v>
      </c>
      <c r="AO28" s="167">
        <v>0</v>
      </c>
      <c r="AP28" s="167">
        <v>0</v>
      </c>
      <c r="AQ28" s="167">
        <v>0</v>
      </c>
      <c r="AR28" s="167">
        <v>0</v>
      </c>
      <c r="AS28" s="167">
        <v>0</v>
      </c>
      <c r="AT28" s="167">
        <v>0</v>
      </c>
      <c r="AU28" s="167">
        <v>0</v>
      </c>
      <c r="AV28" s="167">
        <v>0</v>
      </c>
      <c r="AW28" s="167">
        <v>0</v>
      </c>
      <c r="AX28" s="167">
        <v>0</v>
      </c>
      <c r="AY28" s="167">
        <v>0</v>
      </c>
      <c r="AZ28" s="167">
        <v>0</v>
      </c>
      <c r="BA28" s="167">
        <v>0</v>
      </c>
      <c r="BB28" s="167">
        <v>0</v>
      </c>
      <c r="BC28" s="167">
        <v>0</v>
      </c>
      <c r="BD28" s="167">
        <v>0</v>
      </c>
      <c r="BE28" s="167">
        <v>0</v>
      </c>
      <c r="BF28" s="167">
        <v>0</v>
      </c>
      <c r="BG28" s="167">
        <v>0</v>
      </c>
      <c r="BH28" s="167">
        <v>0</v>
      </c>
      <c r="BI28" s="167">
        <v>0</v>
      </c>
      <c r="BJ28" s="167">
        <v>0</v>
      </c>
      <c r="BK28" s="167">
        <v>0</v>
      </c>
      <c r="BL28" s="167">
        <v>0</v>
      </c>
      <c r="BM28" s="167">
        <v>0</v>
      </c>
      <c r="BN28" s="167">
        <v>0</v>
      </c>
      <c r="BO28" s="167">
        <v>0</v>
      </c>
      <c r="BP28" s="167">
        <v>0</v>
      </c>
      <c r="BQ28" s="167">
        <v>0</v>
      </c>
      <c r="BR28" s="167">
        <v>0</v>
      </c>
      <c r="BS28" s="167">
        <v>0</v>
      </c>
      <c r="BT28" s="167">
        <v>0</v>
      </c>
      <c r="BU28" s="167">
        <v>0</v>
      </c>
      <c r="BV28" s="167">
        <v>0</v>
      </c>
      <c r="BW28" s="167">
        <v>0</v>
      </c>
      <c r="BX28" s="167">
        <v>0</v>
      </c>
      <c r="BY28" s="167">
        <v>0</v>
      </c>
      <c r="BZ28" s="167">
        <v>0</v>
      </c>
      <c r="CA28" s="167">
        <v>0</v>
      </c>
      <c r="CB28" s="167">
        <v>0</v>
      </c>
      <c r="CC28" s="167">
        <v>0</v>
      </c>
      <c r="CD28" s="167">
        <v>0</v>
      </c>
      <c r="CE28" s="167">
        <v>0</v>
      </c>
      <c r="CF28" s="167">
        <v>0</v>
      </c>
      <c r="CG28" s="167">
        <v>0</v>
      </c>
      <c r="CH28" s="167">
        <v>0</v>
      </c>
      <c r="CI28" s="167">
        <v>0</v>
      </c>
      <c r="CJ28" s="167">
        <v>0</v>
      </c>
      <c r="CK28" s="167">
        <v>0</v>
      </c>
      <c r="CL28" s="167">
        <v>0</v>
      </c>
      <c r="CM28" s="167">
        <v>0</v>
      </c>
      <c r="CN28" s="167">
        <v>0</v>
      </c>
      <c r="CO28" s="167">
        <v>0</v>
      </c>
      <c r="CP28" s="167">
        <v>0</v>
      </c>
      <c r="CQ28" s="168">
        <v>0</v>
      </c>
      <c r="CR28" s="169">
        <v>0</v>
      </c>
      <c r="CS28" s="169">
        <v>0</v>
      </c>
      <c r="CT28" s="169">
        <v>0</v>
      </c>
      <c r="CU28" s="169">
        <v>0</v>
      </c>
      <c r="CV28" s="169">
        <v>0</v>
      </c>
      <c r="CW28" s="169">
        <v>0</v>
      </c>
      <c r="CX28" s="169">
        <v>0</v>
      </c>
      <c r="CY28" s="169">
        <v>0</v>
      </c>
      <c r="CZ28" s="169">
        <v>0</v>
      </c>
      <c r="DA28" s="169">
        <v>0</v>
      </c>
      <c r="DB28" s="180">
        <v>0</v>
      </c>
      <c r="DC28" s="183">
        <f t="shared" si="0"/>
        <v>320000000</v>
      </c>
    </row>
    <row r="29" spans="1:184" ht="15" thickBot="1" x14ac:dyDescent="0.4">
      <c r="B29" s="364"/>
      <c r="C29" s="536"/>
      <c r="D29" s="537"/>
      <c r="E29" s="538"/>
      <c r="F29" s="538"/>
      <c r="G29" s="539"/>
      <c r="H29" s="539"/>
      <c r="I29" s="191"/>
      <c r="J29" s="483"/>
      <c r="K29" s="292"/>
      <c r="L29" s="131"/>
      <c r="M29" s="131"/>
      <c r="N29" s="131"/>
      <c r="O29" s="131">
        <v>80000000</v>
      </c>
      <c r="P29" s="131"/>
      <c r="Q29" s="131"/>
      <c r="R29" s="131"/>
      <c r="S29" s="131"/>
      <c r="T29" s="131"/>
      <c r="U29" s="131"/>
      <c r="V29" s="131">
        <v>80000000</v>
      </c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75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81"/>
      <c r="DC29" s="184">
        <f t="shared" si="0"/>
        <v>160000000</v>
      </c>
    </row>
    <row r="30" spans="1:184" x14ac:dyDescent="0.35"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177"/>
    </row>
    <row r="31" spans="1:184" ht="26.5" x14ac:dyDescent="0.35">
      <c r="B31" s="145" t="s">
        <v>383</v>
      </c>
      <c r="DC31" s="177"/>
    </row>
    <row r="33" spans="2:2" ht="15" thickBot="1" x14ac:dyDescent="0.4"/>
    <row r="34" spans="2:2" ht="15" thickBot="1" x14ac:dyDescent="0.4">
      <c r="B34" s="119" t="s">
        <v>101</v>
      </c>
    </row>
    <row r="35" spans="2:2" ht="15" thickBot="1" x14ac:dyDescent="0.4">
      <c r="B35" s="118" t="s">
        <v>100</v>
      </c>
    </row>
  </sheetData>
  <sheetProtection algorithmName="SHA-512" hashValue="FXLqUtGXtXhgWwaCmGLEIF8KJ8NIKPoN6l2++p9YbatqMZVMUS2lVzbTMBfJizPwnAzOf2TLmjEGSKH2vP57RA==" saltValue="bIAaQVCoySH5YhSK4eXx5w==" spinCount="100000" sheet="1" objects="1" scenarios="1"/>
  <sortState ref="A14:DB21">
    <sortCondition ref="B14"/>
  </sortState>
  <mergeCells count="83">
    <mergeCell ref="J26:J27"/>
    <mergeCell ref="D28:D29"/>
    <mergeCell ref="E28:E29"/>
    <mergeCell ref="F28:F29"/>
    <mergeCell ref="G28:G29"/>
    <mergeCell ref="H28:H29"/>
    <mergeCell ref="J28:J29"/>
    <mergeCell ref="D26:D27"/>
    <mergeCell ref="E26:E27"/>
    <mergeCell ref="F26:F27"/>
    <mergeCell ref="G26:G27"/>
    <mergeCell ref="H26:H27"/>
    <mergeCell ref="J22:J23"/>
    <mergeCell ref="D24:D25"/>
    <mergeCell ref="E24:E25"/>
    <mergeCell ref="F24:F25"/>
    <mergeCell ref="G24:G25"/>
    <mergeCell ref="H24:H25"/>
    <mergeCell ref="J24:J25"/>
    <mergeCell ref="D22:D23"/>
    <mergeCell ref="E22:E23"/>
    <mergeCell ref="F22:F23"/>
    <mergeCell ref="G22:G23"/>
    <mergeCell ref="H22:H23"/>
    <mergeCell ref="J18:J19"/>
    <mergeCell ref="D20:D21"/>
    <mergeCell ref="E20:E21"/>
    <mergeCell ref="F20:F21"/>
    <mergeCell ref="G20:G21"/>
    <mergeCell ref="H20:H21"/>
    <mergeCell ref="J20:J21"/>
    <mergeCell ref="D18:D19"/>
    <mergeCell ref="E18:E19"/>
    <mergeCell ref="F18:F19"/>
    <mergeCell ref="G18:G19"/>
    <mergeCell ref="H18:H19"/>
    <mergeCell ref="B24:B25"/>
    <mergeCell ref="C24:C25"/>
    <mergeCell ref="B26:B27"/>
    <mergeCell ref="C26:C27"/>
    <mergeCell ref="B28:B29"/>
    <mergeCell ref="C28:C29"/>
    <mergeCell ref="B18:B19"/>
    <mergeCell ref="C18:C19"/>
    <mergeCell ref="B20:B21"/>
    <mergeCell ref="C20:C21"/>
    <mergeCell ref="B22:B23"/>
    <mergeCell ref="C22:C23"/>
    <mergeCell ref="G14:G15"/>
    <mergeCell ref="H14:H15"/>
    <mergeCell ref="J14:J15"/>
    <mergeCell ref="B16:B17"/>
    <mergeCell ref="C16:C17"/>
    <mergeCell ref="D16:D17"/>
    <mergeCell ref="E16:E17"/>
    <mergeCell ref="F16:F17"/>
    <mergeCell ref="G16:G17"/>
    <mergeCell ref="H16:H17"/>
    <mergeCell ref="J16:J17"/>
    <mergeCell ref="B14:B15"/>
    <mergeCell ref="C14:C15"/>
    <mergeCell ref="D14:D15"/>
    <mergeCell ref="E14:E15"/>
    <mergeCell ref="F14:F15"/>
    <mergeCell ref="C6:E6"/>
    <mergeCell ref="G6:J6"/>
    <mergeCell ref="C7:E7"/>
    <mergeCell ref="F7:J7"/>
    <mergeCell ref="C8:E8"/>
    <mergeCell ref="F8:J8"/>
    <mergeCell ref="C2:J2"/>
    <mergeCell ref="C3:J3"/>
    <mergeCell ref="C4:E4"/>
    <mergeCell ref="G4:J4"/>
    <mergeCell ref="C5:E5"/>
    <mergeCell ref="G5:J5"/>
    <mergeCell ref="D10:F10"/>
    <mergeCell ref="G10:J10"/>
    <mergeCell ref="B12:J12"/>
    <mergeCell ref="K12:DB12"/>
    <mergeCell ref="B7:B9"/>
    <mergeCell ref="C9:E9"/>
    <mergeCell ref="F9:J9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5"/>
  <sheetViews>
    <sheetView showGridLines="0" topLeftCell="C4" zoomScaleNormal="100" workbookViewId="0">
      <pane xSplit="2" topLeftCell="E1" activePane="topRight" state="frozen"/>
      <selection activeCell="C19" sqref="C19"/>
      <selection pane="topRight" activeCell="A14" sqref="A14"/>
    </sheetView>
  </sheetViews>
  <sheetFormatPr baseColWidth="10" defaultRowHeight="14.5" x14ac:dyDescent="0.35"/>
  <cols>
    <col min="1" max="1" width="43.6328125" hidden="1" customWidth="1"/>
    <col min="2" max="2" width="35" bestFit="1" customWidth="1"/>
    <col min="3" max="3" width="34.81640625" customWidth="1"/>
    <col min="4" max="4" width="42.1796875" style="116" bestFit="1" customWidth="1"/>
    <col min="5" max="5" width="7.26953125" bestFit="1" customWidth="1"/>
    <col min="6" max="6" width="10.54296875" customWidth="1"/>
    <col min="7" max="7" width="13.81640625" customWidth="1"/>
    <col min="8" max="8" width="17.453125" customWidth="1"/>
    <col min="9" max="9" width="16.26953125" customWidth="1"/>
    <col min="10" max="10" width="10.08984375" customWidth="1"/>
    <col min="11" max="20" width="14.08984375" bestFit="1" customWidth="1"/>
    <col min="21" max="21" width="16.1796875" bestFit="1" customWidth="1"/>
    <col min="22" max="37" width="14.08984375" bestFit="1" customWidth="1"/>
    <col min="38" max="38" width="15.08984375" bestFit="1" customWidth="1"/>
    <col min="39" max="44" width="14.08984375" bestFit="1" customWidth="1"/>
    <col min="45" max="46" width="15.08984375" bestFit="1" customWidth="1"/>
    <col min="47" max="47" width="13.36328125" bestFit="1" customWidth="1"/>
  </cols>
  <sheetData>
    <row r="1" spans="1:47" ht="15" thickBot="1" x14ac:dyDescent="0.4"/>
    <row r="2" spans="1:47" x14ac:dyDescent="0.35">
      <c r="B2" s="293" t="s">
        <v>102</v>
      </c>
      <c r="C2" s="251" t="s">
        <v>102</v>
      </c>
      <c r="D2" s="555">
        <v>2021000100384</v>
      </c>
      <c r="E2" s="556"/>
      <c r="F2" s="556"/>
      <c r="G2" s="556"/>
      <c r="H2" s="556"/>
      <c r="I2" s="556"/>
      <c r="J2" s="557"/>
    </row>
    <row r="3" spans="1:47" ht="49" customHeight="1" x14ac:dyDescent="0.35">
      <c r="B3" s="293" t="s">
        <v>103</v>
      </c>
      <c r="C3" s="223" t="s">
        <v>103</v>
      </c>
      <c r="D3" s="421" t="s">
        <v>290</v>
      </c>
      <c r="E3" s="422"/>
      <c r="F3" s="422"/>
      <c r="G3" s="422"/>
      <c r="H3" s="422"/>
      <c r="I3" s="422"/>
      <c r="J3" s="558"/>
    </row>
    <row r="4" spans="1:47" x14ac:dyDescent="0.35">
      <c r="B4" s="293" t="s">
        <v>106</v>
      </c>
      <c r="C4" s="223" t="s">
        <v>106</v>
      </c>
      <c r="D4" s="506">
        <v>3705892758</v>
      </c>
      <c r="E4" s="507"/>
      <c r="F4" s="508"/>
      <c r="G4" s="27" t="s">
        <v>107</v>
      </c>
      <c r="H4" s="506">
        <v>2857922349</v>
      </c>
      <c r="I4" s="507"/>
      <c r="J4" s="559"/>
    </row>
    <row r="5" spans="1:47" x14ac:dyDescent="0.35">
      <c r="B5" s="293" t="s">
        <v>109</v>
      </c>
      <c r="C5" s="223" t="s">
        <v>109</v>
      </c>
      <c r="D5" s="436" t="s">
        <v>291</v>
      </c>
      <c r="E5" s="437"/>
      <c r="F5" s="438"/>
      <c r="G5" s="27" t="s">
        <v>108</v>
      </c>
      <c r="H5" s="436" t="s">
        <v>119</v>
      </c>
      <c r="I5" s="437"/>
      <c r="J5" s="560"/>
    </row>
    <row r="6" spans="1:47" ht="28.5" x14ac:dyDescent="0.35">
      <c r="B6" s="293" t="s">
        <v>110</v>
      </c>
      <c r="C6" s="223" t="s">
        <v>110</v>
      </c>
      <c r="D6" s="516">
        <v>0.06</v>
      </c>
      <c r="E6" s="517"/>
      <c r="F6" s="518"/>
      <c r="G6" s="114" t="s">
        <v>111</v>
      </c>
      <c r="H6" s="516">
        <v>0.06</v>
      </c>
      <c r="I6" s="517"/>
      <c r="J6" s="547"/>
    </row>
    <row r="7" spans="1:47" ht="52.5" customHeight="1" x14ac:dyDescent="0.35">
      <c r="B7" s="544" t="s">
        <v>117</v>
      </c>
      <c r="C7" s="329" t="s">
        <v>117</v>
      </c>
      <c r="D7" s="427" t="s">
        <v>113</v>
      </c>
      <c r="E7" s="428"/>
      <c r="F7" s="429"/>
      <c r="G7" s="427" t="s">
        <v>292</v>
      </c>
      <c r="H7" s="428"/>
      <c r="I7" s="428"/>
      <c r="J7" s="548"/>
    </row>
    <row r="8" spans="1:47" ht="101.5" customHeight="1" x14ac:dyDescent="0.35">
      <c r="B8" s="545"/>
      <c r="C8" s="330"/>
      <c r="D8" s="427" t="s">
        <v>125</v>
      </c>
      <c r="E8" s="428"/>
      <c r="F8" s="429"/>
      <c r="G8" s="427" t="s">
        <v>293</v>
      </c>
      <c r="H8" s="428"/>
      <c r="I8" s="428"/>
      <c r="J8" s="548"/>
    </row>
    <row r="9" spans="1:47" ht="138" customHeight="1" thickBot="1" x14ac:dyDescent="0.4">
      <c r="B9" s="546"/>
      <c r="C9" s="331"/>
      <c r="D9" s="552" t="s">
        <v>121</v>
      </c>
      <c r="E9" s="553"/>
      <c r="F9" s="554"/>
      <c r="G9" s="549" t="s">
        <v>358</v>
      </c>
      <c r="H9" s="550"/>
      <c r="I9" s="550"/>
      <c r="J9" s="551"/>
    </row>
    <row r="10" spans="1:47" x14ac:dyDescent="0.35">
      <c r="B10" s="1"/>
      <c r="C10" s="1"/>
      <c r="D10" s="115"/>
      <c r="E10" s="319"/>
      <c r="F10" s="319"/>
      <c r="G10" s="319"/>
      <c r="H10" s="319"/>
      <c r="I10" s="319"/>
      <c r="J10" s="319"/>
    </row>
    <row r="11" spans="1:47" ht="15" thickBot="1" x14ac:dyDescent="0.4"/>
    <row r="12" spans="1:47" ht="14.5" customHeight="1" thickBot="1" x14ac:dyDescent="0.4">
      <c r="B12" s="320" t="s">
        <v>112</v>
      </c>
      <c r="C12" s="321"/>
      <c r="D12" s="321"/>
      <c r="E12" s="321"/>
      <c r="F12" s="321"/>
      <c r="G12" s="321"/>
      <c r="H12" s="321"/>
      <c r="I12" s="321"/>
      <c r="J12" s="322"/>
      <c r="K12" s="377" t="s">
        <v>105</v>
      </c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8"/>
      <c r="Y12" s="378"/>
      <c r="Z12" s="378"/>
      <c r="AA12" s="378"/>
      <c r="AB12" s="378"/>
      <c r="AC12" s="378"/>
      <c r="AD12" s="378"/>
      <c r="AE12" s="378"/>
      <c r="AF12" s="378"/>
      <c r="AG12" s="378"/>
      <c r="AH12" s="378"/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9"/>
    </row>
    <row r="13" spans="1:47" s="3" customFormat="1" ht="26.5" thickBot="1" x14ac:dyDescent="0.35">
      <c r="A13" s="2" t="s">
        <v>0</v>
      </c>
      <c r="B13" s="50" t="s">
        <v>1</v>
      </c>
      <c r="C13" s="21" t="s">
        <v>1</v>
      </c>
      <c r="D13" s="207" t="s">
        <v>2</v>
      </c>
      <c r="E13" s="22" t="s">
        <v>3</v>
      </c>
      <c r="F13" s="22" t="s">
        <v>4</v>
      </c>
      <c r="G13" s="22" t="s">
        <v>5</v>
      </c>
      <c r="H13" s="22" t="s">
        <v>6</v>
      </c>
      <c r="I13" s="22" t="s">
        <v>7</v>
      </c>
      <c r="J13" s="23" t="s">
        <v>9</v>
      </c>
      <c r="K13" s="43">
        <v>44805</v>
      </c>
      <c r="L13" s="43">
        <v>44835</v>
      </c>
      <c r="M13" s="43">
        <v>44866</v>
      </c>
      <c r="N13" s="43">
        <v>44896</v>
      </c>
      <c r="O13" s="43">
        <v>44927</v>
      </c>
      <c r="P13" s="43">
        <v>44958</v>
      </c>
      <c r="Q13" s="43">
        <v>44986</v>
      </c>
      <c r="R13" s="43">
        <v>45017</v>
      </c>
      <c r="S13" s="43">
        <v>45047</v>
      </c>
      <c r="T13" s="43">
        <v>45078</v>
      </c>
      <c r="U13" s="43">
        <v>45108</v>
      </c>
      <c r="V13" s="43">
        <v>45139</v>
      </c>
      <c r="W13" s="43">
        <v>45170</v>
      </c>
      <c r="X13" s="43">
        <v>45200</v>
      </c>
      <c r="Y13" s="43">
        <v>45231</v>
      </c>
      <c r="Z13" s="43">
        <v>45261</v>
      </c>
      <c r="AA13" s="43">
        <v>45292</v>
      </c>
      <c r="AB13" s="43">
        <v>45323</v>
      </c>
      <c r="AC13" s="43">
        <v>45352</v>
      </c>
      <c r="AD13" s="43">
        <v>45383</v>
      </c>
      <c r="AE13" s="43">
        <v>45413</v>
      </c>
      <c r="AF13" s="43">
        <v>45444</v>
      </c>
      <c r="AG13" s="43">
        <v>45474</v>
      </c>
      <c r="AH13" s="43">
        <v>45505</v>
      </c>
      <c r="AI13" s="43">
        <v>45536</v>
      </c>
      <c r="AJ13" s="43">
        <v>45566</v>
      </c>
      <c r="AK13" s="43">
        <v>45597</v>
      </c>
      <c r="AL13" s="43">
        <v>45627</v>
      </c>
      <c r="AM13" s="43">
        <v>45658</v>
      </c>
      <c r="AN13" s="43">
        <v>45689</v>
      </c>
      <c r="AO13" s="43">
        <v>45717</v>
      </c>
      <c r="AP13" s="43">
        <v>45748</v>
      </c>
      <c r="AQ13" s="43">
        <v>45778</v>
      </c>
      <c r="AR13" s="43">
        <v>45809</v>
      </c>
      <c r="AS13" s="43">
        <v>45839</v>
      </c>
      <c r="AT13" s="123">
        <v>45870</v>
      </c>
      <c r="AU13" s="195" t="s">
        <v>106</v>
      </c>
    </row>
    <row r="14" spans="1:47" s="62" customFormat="1" ht="44" customHeight="1" x14ac:dyDescent="0.3">
      <c r="A14" s="81" t="s">
        <v>94</v>
      </c>
      <c r="B14" s="199" t="s">
        <v>294</v>
      </c>
      <c r="C14" s="564" t="s">
        <v>294</v>
      </c>
      <c r="D14" s="566" t="s">
        <v>295</v>
      </c>
      <c r="E14" s="365" t="s">
        <v>96</v>
      </c>
      <c r="F14" s="359">
        <v>44986</v>
      </c>
      <c r="G14" s="359">
        <v>45777</v>
      </c>
      <c r="H14" s="562">
        <v>57766633</v>
      </c>
      <c r="I14" s="562">
        <v>57766633</v>
      </c>
      <c r="J14" s="563" t="s">
        <v>97</v>
      </c>
      <c r="K14" s="133"/>
      <c r="L14" s="85"/>
      <c r="M14" s="85"/>
      <c r="N14" s="85"/>
      <c r="O14" s="85"/>
      <c r="P14" s="85"/>
      <c r="Q14" s="85">
        <v>1581147</v>
      </c>
      <c r="R14" s="85">
        <v>1581147</v>
      </c>
      <c r="S14" s="85">
        <v>1581147</v>
      </c>
      <c r="T14" s="85">
        <v>1581147</v>
      </c>
      <c r="U14" s="85">
        <v>1581147</v>
      </c>
      <c r="V14" s="85">
        <v>1581147</v>
      </c>
      <c r="W14" s="85">
        <v>2160900</v>
      </c>
      <c r="X14" s="85">
        <v>1581147</v>
      </c>
      <c r="Y14" s="85">
        <v>1581147</v>
      </c>
      <c r="Z14" s="85">
        <v>3954937</v>
      </c>
      <c r="AA14" s="85">
        <v>1581147</v>
      </c>
      <c r="AB14" s="85">
        <v>1581147</v>
      </c>
      <c r="AC14" s="85">
        <v>1581147</v>
      </c>
      <c r="AD14" s="85">
        <v>1581147</v>
      </c>
      <c r="AE14" s="85">
        <v>1581147</v>
      </c>
      <c r="AF14" s="85">
        <v>1581147</v>
      </c>
      <c r="AG14" s="85">
        <v>2108195</v>
      </c>
      <c r="AH14" s="85">
        <v>2108195</v>
      </c>
      <c r="AI14" s="85">
        <v>3162293</v>
      </c>
      <c r="AJ14" s="85">
        <v>3162293</v>
      </c>
      <c r="AK14" s="85">
        <v>3162293</v>
      </c>
      <c r="AL14" s="85">
        <v>3162293</v>
      </c>
      <c r="AM14" s="85">
        <v>3162294</v>
      </c>
      <c r="AN14" s="85">
        <v>3162294</v>
      </c>
      <c r="AO14" s="85">
        <v>3162294</v>
      </c>
      <c r="AP14" s="85">
        <v>3162294</v>
      </c>
      <c r="AQ14" s="85"/>
      <c r="AR14" s="85"/>
      <c r="AS14" s="85"/>
      <c r="AT14" s="86"/>
      <c r="AU14" s="294">
        <f>SUM(K14:AT14)</f>
        <v>57766633</v>
      </c>
    </row>
    <row r="15" spans="1:47" s="62" customFormat="1" ht="44" customHeight="1" x14ac:dyDescent="0.3">
      <c r="A15" s="81"/>
      <c r="B15" s="200"/>
      <c r="C15" s="561"/>
      <c r="D15" s="567"/>
      <c r="E15" s="366"/>
      <c r="F15" s="360"/>
      <c r="G15" s="360"/>
      <c r="H15" s="540"/>
      <c r="I15" s="540"/>
      <c r="J15" s="541"/>
      <c r="K15" s="134"/>
      <c r="L15" s="39"/>
      <c r="M15" s="39"/>
      <c r="N15" s="39"/>
      <c r="O15" s="39"/>
      <c r="P15" s="39"/>
      <c r="Q15" s="39">
        <v>1581147</v>
      </c>
      <c r="R15" s="39">
        <v>1581147</v>
      </c>
      <c r="S15" s="39">
        <v>1581147</v>
      </c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87"/>
      <c r="AU15" s="295">
        <f t="shared" ref="AU15:AU78" si="0">SUM(K15:AT15)</f>
        <v>4743441</v>
      </c>
    </row>
    <row r="16" spans="1:47" s="62" customFormat="1" ht="47" customHeight="1" x14ac:dyDescent="0.3">
      <c r="A16" s="81"/>
      <c r="B16" s="200" t="s">
        <v>294</v>
      </c>
      <c r="C16" s="561" t="s">
        <v>294</v>
      </c>
      <c r="D16" s="567" t="s">
        <v>296</v>
      </c>
      <c r="E16" s="366" t="s">
        <v>96</v>
      </c>
      <c r="F16" s="360">
        <v>44986</v>
      </c>
      <c r="G16" s="360">
        <v>45777</v>
      </c>
      <c r="H16" s="540">
        <v>4648028</v>
      </c>
      <c r="I16" s="540">
        <v>4648028</v>
      </c>
      <c r="J16" s="541" t="s">
        <v>135</v>
      </c>
      <c r="K16" s="204"/>
      <c r="L16" s="38"/>
      <c r="M16" s="38"/>
      <c r="N16" s="38"/>
      <c r="O16" s="38"/>
      <c r="P16" s="38"/>
      <c r="Q16" s="38">
        <v>134078</v>
      </c>
      <c r="R16" s="38">
        <v>134078</v>
      </c>
      <c r="S16" s="38">
        <v>134078</v>
      </c>
      <c r="T16" s="38">
        <v>134078</v>
      </c>
      <c r="U16" s="38">
        <v>134078</v>
      </c>
      <c r="V16" s="38">
        <v>134078</v>
      </c>
      <c r="W16" s="38">
        <v>134078</v>
      </c>
      <c r="X16" s="38">
        <v>134078</v>
      </c>
      <c r="Y16" s="38">
        <v>134078</v>
      </c>
      <c r="Z16" s="38">
        <v>134078</v>
      </c>
      <c r="AA16" s="38">
        <v>134078</v>
      </c>
      <c r="AB16" s="38">
        <v>134078</v>
      </c>
      <c r="AC16" s="38">
        <v>134078</v>
      </c>
      <c r="AD16" s="38">
        <v>134078</v>
      </c>
      <c r="AE16" s="38">
        <v>134078</v>
      </c>
      <c r="AF16" s="38">
        <v>134078</v>
      </c>
      <c r="AG16" s="38">
        <v>178770</v>
      </c>
      <c r="AH16" s="38">
        <v>178770</v>
      </c>
      <c r="AI16" s="38">
        <v>268155</v>
      </c>
      <c r="AJ16" s="38">
        <v>268155</v>
      </c>
      <c r="AK16" s="38">
        <v>268155</v>
      </c>
      <c r="AL16" s="38">
        <v>268155</v>
      </c>
      <c r="AM16" s="38">
        <v>268155</v>
      </c>
      <c r="AN16" s="38">
        <v>268155</v>
      </c>
      <c r="AO16" s="38">
        <v>268155</v>
      </c>
      <c r="AP16" s="38">
        <v>268155</v>
      </c>
      <c r="AQ16" s="38"/>
      <c r="AR16" s="38"/>
      <c r="AS16" s="38"/>
      <c r="AT16" s="196"/>
      <c r="AU16" s="295">
        <f t="shared" si="0"/>
        <v>4648028</v>
      </c>
    </row>
    <row r="17" spans="1:47" s="62" customFormat="1" ht="47" customHeight="1" x14ac:dyDescent="0.3">
      <c r="A17" s="81"/>
      <c r="B17" s="200"/>
      <c r="C17" s="561"/>
      <c r="D17" s="567"/>
      <c r="E17" s="366"/>
      <c r="F17" s="360"/>
      <c r="G17" s="360"/>
      <c r="H17" s="540"/>
      <c r="I17" s="540"/>
      <c r="J17" s="541"/>
      <c r="K17" s="134"/>
      <c r="L17" s="39"/>
      <c r="M17" s="39"/>
      <c r="N17" s="39"/>
      <c r="O17" s="39"/>
      <c r="P17" s="39"/>
      <c r="Q17" s="39">
        <v>134078</v>
      </c>
      <c r="R17" s="39">
        <v>134078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87"/>
      <c r="AU17" s="295">
        <f t="shared" si="0"/>
        <v>268156</v>
      </c>
    </row>
    <row r="18" spans="1:47" s="62" customFormat="1" ht="52" x14ac:dyDescent="0.3">
      <c r="A18" s="81" t="s">
        <v>94</v>
      </c>
      <c r="B18" s="200" t="s">
        <v>297</v>
      </c>
      <c r="C18" s="561" t="s">
        <v>297</v>
      </c>
      <c r="D18" s="567" t="s">
        <v>298</v>
      </c>
      <c r="E18" s="366" t="s">
        <v>96</v>
      </c>
      <c r="F18" s="360">
        <v>44986</v>
      </c>
      <c r="G18" s="360">
        <v>45912</v>
      </c>
      <c r="H18" s="540">
        <v>39749550</v>
      </c>
      <c r="I18" s="540">
        <v>39749550</v>
      </c>
      <c r="J18" s="541" t="s">
        <v>97</v>
      </c>
      <c r="K18" s="204"/>
      <c r="L18" s="38"/>
      <c r="M18" s="38"/>
      <c r="N18" s="38"/>
      <c r="O18" s="38"/>
      <c r="P18" s="38"/>
      <c r="Q18" s="38">
        <v>1350635</v>
      </c>
      <c r="R18" s="38">
        <v>4000658</v>
      </c>
      <c r="S18" s="38">
        <v>1181806</v>
      </c>
      <c r="T18" s="38">
        <v>1636069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>
        <v>9401601</v>
      </c>
      <c r="AT18" s="196">
        <v>22178781</v>
      </c>
      <c r="AU18" s="295">
        <f t="shared" si="0"/>
        <v>39749550</v>
      </c>
    </row>
    <row r="19" spans="1:47" s="62" customFormat="1" ht="13" x14ac:dyDescent="0.3">
      <c r="A19" s="81"/>
      <c r="B19" s="200"/>
      <c r="C19" s="561"/>
      <c r="D19" s="567"/>
      <c r="E19" s="366"/>
      <c r="F19" s="360"/>
      <c r="G19" s="360"/>
      <c r="H19" s="540"/>
      <c r="I19" s="540"/>
      <c r="J19" s="541"/>
      <c r="K19" s="134"/>
      <c r="L19" s="39"/>
      <c r="M19" s="39"/>
      <c r="N19" s="39"/>
      <c r="O19" s="39"/>
      <c r="P19" s="39"/>
      <c r="Q19" s="39">
        <v>746299</v>
      </c>
      <c r="R19" s="39">
        <v>832013</v>
      </c>
      <c r="S19" s="39">
        <v>653011</v>
      </c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87"/>
      <c r="AU19" s="295">
        <f t="shared" si="0"/>
        <v>2231323</v>
      </c>
    </row>
    <row r="20" spans="1:47" s="62" customFormat="1" ht="52" x14ac:dyDescent="0.3">
      <c r="A20" s="81"/>
      <c r="B20" s="200" t="s">
        <v>297</v>
      </c>
      <c r="C20" s="561" t="s">
        <v>297</v>
      </c>
      <c r="D20" s="567" t="s">
        <v>299</v>
      </c>
      <c r="E20" s="366" t="s">
        <v>96</v>
      </c>
      <c r="F20" s="360">
        <v>44986</v>
      </c>
      <c r="G20" s="360">
        <v>45565</v>
      </c>
      <c r="H20" s="540">
        <v>354425581</v>
      </c>
      <c r="I20" s="540">
        <v>354425581</v>
      </c>
      <c r="J20" s="541" t="s">
        <v>97</v>
      </c>
      <c r="K20" s="204"/>
      <c r="L20" s="38"/>
      <c r="M20" s="38"/>
      <c r="N20" s="38"/>
      <c r="O20" s="38"/>
      <c r="P20" s="38"/>
      <c r="Q20" s="38">
        <v>1350635</v>
      </c>
      <c r="R20" s="38">
        <v>4000658</v>
      </c>
      <c r="S20" s="38">
        <v>1181805</v>
      </c>
      <c r="T20" s="38">
        <v>1636069</v>
      </c>
      <c r="U20" s="38">
        <v>298142154</v>
      </c>
      <c r="V20" s="38">
        <v>2164863</v>
      </c>
      <c r="W20" s="38">
        <v>2311293</v>
      </c>
      <c r="X20" s="38">
        <v>1924323</v>
      </c>
      <c r="Y20" s="38">
        <v>2164863</v>
      </c>
      <c r="Z20" s="38">
        <v>12539381</v>
      </c>
      <c r="AA20" s="38">
        <v>2474129</v>
      </c>
      <c r="AB20" s="38">
        <v>2559307</v>
      </c>
      <c r="AC20" s="38">
        <v>2985858</v>
      </c>
      <c r="AD20" s="38">
        <v>2985858</v>
      </c>
      <c r="AE20" s="38">
        <v>2985858</v>
      </c>
      <c r="AF20" s="38">
        <v>2985858</v>
      </c>
      <c r="AG20" s="38">
        <v>3463781</v>
      </c>
      <c r="AH20" s="38">
        <v>2985858</v>
      </c>
      <c r="AI20" s="38">
        <v>3583030</v>
      </c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196"/>
      <c r="AU20" s="295">
        <f t="shared" si="0"/>
        <v>354425581</v>
      </c>
    </row>
    <row r="21" spans="1:47" s="62" customFormat="1" ht="13" x14ac:dyDescent="0.3">
      <c r="A21" s="81"/>
      <c r="B21" s="200"/>
      <c r="C21" s="561"/>
      <c r="D21" s="567"/>
      <c r="E21" s="366"/>
      <c r="F21" s="360"/>
      <c r="G21" s="360"/>
      <c r="H21" s="540"/>
      <c r="I21" s="540"/>
      <c r="J21" s="541"/>
      <c r="K21" s="134"/>
      <c r="L21" s="39"/>
      <c r="M21" s="39"/>
      <c r="N21" s="39"/>
      <c r="O21" s="39"/>
      <c r="P21" s="39"/>
      <c r="Q21" s="39">
        <v>746299</v>
      </c>
      <c r="R21" s="39">
        <v>832014</v>
      </c>
      <c r="S21" s="39">
        <v>653011</v>
      </c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87"/>
      <c r="AU21" s="295">
        <f t="shared" si="0"/>
        <v>2231324</v>
      </c>
    </row>
    <row r="22" spans="1:47" s="62" customFormat="1" ht="52" x14ac:dyDescent="0.3">
      <c r="A22" s="81" t="s">
        <v>94</v>
      </c>
      <c r="B22" s="200" t="s">
        <v>297</v>
      </c>
      <c r="C22" s="561" t="s">
        <v>297</v>
      </c>
      <c r="D22" s="567" t="s">
        <v>300</v>
      </c>
      <c r="E22" s="366" t="s">
        <v>96</v>
      </c>
      <c r="F22" s="360">
        <v>45505</v>
      </c>
      <c r="G22" s="360">
        <v>45777</v>
      </c>
      <c r="H22" s="540">
        <v>44021885</v>
      </c>
      <c r="I22" s="540">
        <v>44021885</v>
      </c>
      <c r="J22" s="541" t="s">
        <v>97</v>
      </c>
      <c r="K22" s="204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>
        <v>2985858</v>
      </c>
      <c r="AI22" s="38">
        <v>3583030</v>
      </c>
      <c r="AJ22" s="38">
        <v>4478787</v>
      </c>
      <c r="AK22" s="38">
        <v>4478787</v>
      </c>
      <c r="AL22" s="38">
        <v>14200223</v>
      </c>
      <c r="AM22" s="38">
        <v>4478787</v>
      </c>
      <c r="AN22" s="38">
        <v>3272138</v>
      </c>
      <c r="AO22" s="38">
        <v>3272138</v>
      </c>
      <c r="AP22" s="38">
        <v>3272137</v>
      </c>
      <c r="AQ22" s="38"/>
      <c r="AR22" s="38"/>
      <c r="AS22" s="38"/>
      <c r="AT22" s="196"/>
      <c r="AU22" s="295">
        <f t="shared" si="0"/>
        <v>44021885</v>
      </c>
    </row>
    <row r="23" spans="1:47" s="62" customFormat="1" ht="13" x14ac:dyDescent="0.3">
      <c r="A23" s="81"/>
      <c r="B23" s="200"/>
      <c r="C23" s="561"/>
      <c r="D23" s="567"/>
      <c r="E23" s="366"/>
      <c r="F23" s="360"/>
      <c r="G23" s="360"/>
      <c r="H23" s="540"/>
      <c r="I23" s="540"/>
      <c r="J23" s="541"/>
      <c r="K23" s="134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87"/>
      <c r="AU23" s="295">
        <f t="shared" si="0"/>
        <v>0</v>
      </c>
    </row>
    <row r="24" spans="1:47" s="79" customFormat="1" ht="52" x14ac:dyDescent="0.35">
      <c r="A24" s="82"/>
      <c r="B24" s="200" t="s">
        <v>297</v>
      </c>
      <c r="C24" s="561" t="s">
        <v>297</v>
      </c>
      <c r="D24" s="567" t="s">
        <v>301</v>
      </c>
      <c r="E24" s="366" t="s">
        <v>96</v>
      </c>
      <c r="F24" s="360">
        <v>44986</v>
      </c>
      <c r="G24" s="360">
        <v>45912</v>
      </c>
      <c r="H24" s="540">
        <v>11036659</v>
      </c>
      <c r="I24" s="540">
        <v>11036659</v>
      </c>
      <c r="J24" s="541" t="s">
        <v>135</v>
      </c>
      <c r="K24" s="204"/>
      <c r="L24" s="38"/>
      <c r="M24" s="38"/>
      <c r="N24" s="38"/>
      <c r="O24" s="38"/>
      <c r="P24" s="38"/>
      <c r="Q24" s="38">
        <v>1403649</v>
      </c>
      <c r="R24" s="38">
        <v>1228193</v>
      </c>
      <c r="S24" s="38">
        <v>1228193</v>
      </c>
      <c r="T24" s="38">
        <v>1470465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>
        <v>3249773</v>
      </c>
      <c r="AT24" s="196">
        <v>2456386</v>
      </c>
      <c r="AU24" s="295">
        <f t="shared" si="0"/>
        <v>11036659</v>
      </c>
    </row>
    <row r="25" spans="1:47" s="79" customFormat="1" x14ac:dyDescent="0.35">
      <c r="A25" s="82"/>
      <c r="B25" s="200"/>
      <c r="C25" s="561"/>
      <c r="D25" s="567"/>
      <c r="E25" s="366"/>
      <c r="F25" s="360"/>
      <c r="G25" s="360"/>
      <c r="H25" s="540"/>
      <c r="I25" s="540"/>
      <c r="J25" s="541"/>
      <c r="K25" s="134"/>
      <c r="L25" s="39"/>
      <c r="M25" s="39"/>
      <c r="N25" s="39"/>
      <c r="O25" s="39"/>
      <c r="P25" s="39"/>
      <c r="Q25" s="39">
        <v>1403649</v>
      </c>
      <c r="R25" s="39">
        <v>1228193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87"/>
      <c r="AU25" s="295">
        <f t="shared" si="0"/>
        <v>2631842</v>
      </c>
    </row>
    <row r="26" spans="1:47" s="79" customFormat="1" ht="52" x14ac:dyDescent="0.35">
      <c r="A26" s="82"/>
      <c r="B26" s="200" t="s">
        <v>297</v>
      </c>
      <c r="C26" s="561" t="s">
        <v>297</v>
      </c>
      <c r="D26" s="567" t="s">
        <v>302</v>
      </c>
      <c r="E26" s="366" t="s">
        <v>96</v>
      </c>
      <c r="F26" s="360">
        <v>44986</v>
      </c>
      <c r="G26" s="360">
        <v>45565</v>
      </c>
      <c r="H26" s="540">
        <v>34229784</v>
      </c>
      <c r="I26" s="540">
        <v>34229784</v>
      </c>
      <c r="J26" s="541" t="s">
        <v>135</v>
      </c>
      <c r="K26" s="204"/>
      <c r="L26" s="38"/>
      <c r="M26" s="38"/>
      <c r="N26" s="38"/>
      <c r="O26" s="38"/>
      <c r="P26" s="38"/>
      <c r="Q26" s="38">
        <v>1403649</v>
      </c>
      <c r="R26" s="38">
        <v>1228193</v>
      </c>
      <c r="S26" s="38">
        <v>1228193</v>
      </c>
      <c r="T26" s="38">
        <v>1470465</v>
      </c>
      <c r="U26" s="38">
        <v>1470465</v>
      </c>
      <c r="V26" s="38">
        <v>1470465</v>
      </c>
      <c r="W26" s="38">
        <v>1307080</v>
      </c>
      <c r="X26" s="38">
        <v>1307080</v>
      </c>
      <c r="Y26" s="38">
        <v>1470465</v>
      </c>
      <c r="Z26" s="38">
        <v>3239800</v>
      </c>
      <c r="AA26" s="38">
        <v>1680531</v>
      </c>
      <c r="AB26" s="38">
        <v>1680531</v>
      </c>
      <c r="AC26" s="38">
        <v>1960620</v>
      </c>
      <c r="AD26" s="38">
        <v>1960620</v>
      </c>
      <c r="AE26" s="38">
        <v>1960620</v>
      </c>
      <c r="AF26" s="38">
        <v>2235954</v>
      </c>
      <c r="AG26" s="38">
        <v>2235954</v>
      </c>
      <c r="AH26" s="38">
        <v>2235954</v>
      </c>
      <c r="AI26" s="38">
        <v>2683145</v>
      </c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196"/>
      <c r="AU26" s="295">
        <f t="shared" si="0"/>
        <v>34229784</v>
      </c>
    </row>
    <row r="27" spans="1:47" s="79" customFormat="1" x14ac:dyDescent="0.35">
      <c r="A27" s="82"/>
      <c r="B27" s="200"/>
      <c r="C27" s="561"/>
      <c r="D27" s="567"/>
      <c r="E27" s="366"/>
      <c r="F27" s="360"/>
      <c r="G27" s="360"/>
      <c r="H27" s="540"/>
      <c r="I27" s="540"/>
      <c r="J27" s="541"/>
      <c r="K27" s="134"/>
      <c r="L27" s="39"/>
      <c r="M27" s="39"/>
      <c r="N27" s="39"/>
      <c r="O27" s="39"/>
      <c r="P27" s="39"/>
      <c r="Q27" s="39">
        <v>1403649</v>
      </c>
      <c r="R27" s="39">
        <v>1228193</v>
      </c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87"/>
      <c r="AU27" s="295">
        <f t="shared" si="0"/>
        <v>2631842</v>
      </c>
    </row>
    <row r="28" spans="1:47" s="79" customFormat="1" ht="52" x14ac:dyDescent="0.35">
      <c r="A28" s="82"/>
      <c r="B28" s="200" t="s">
        <v>297</v>
      </c>
      <c r="C28" s="561" t="s">
        <v>297</v>
      </c>
      <c r="D28" s="567" t="s">
        <v>303</v>
      </c>
      <c r="E28" s="366" t="s">
        <v>96</v>
      </c>
      <c r="F28" s="360">
        <v>45505</v>
      </c>
      <c r="G28" s="360">
        <v>45777</v>
      </c>
      <c r="H28" s="540">
        <v>31619167</v>
      </c>
      <c r="I28" s="540">
        <v>31619167</v>
      </c>
      <c r="J28" s="541" t="s">
        <v>135</v>
      </c>
      <c r="K28" s="204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>
        <v>2235954</v>
      </c>
      <c r="AI28" s="38">
        <v>2683145</v>
      </c>
      <c r="AJ28" s="38">
        <v>3353932</v>
      </c>
      <c r="AK28" s="38">
        <v>3353932</v>
      </c>
      <c r="AL28" s="38">
        <v>6576476</v>
      </c>
      <c r="AM28" s="38">
        <v>3353932</v>
      </c>
      <c r="AN28" s="38">
        <v>3353932</v>
      </c>
      <c r="AO28" s="38">
        <v>3353932</v>
      </c>
      <c r="AP28" s="38">
        <v>3353932</v>
      </c>
      <c r="AQ28" s="38"/>
      <c r="AR28" s="38"/>
      <c r="AS28" s="38"/>
      <c r="AT28" s="196"/>
      <c r="AU28" s="295">
        <f t="shared" si="0"/>
        <v>31619167</v>
      </c>
    </row>
    <row r="29" spans="1:47" s="79" customFormat="1" x14ac:dyDescent="0.35">
      <c r="A29" s="82"/>
      <c r="B29" s="200"/>
      <c r="C29" s="561"/>
      <c r="D29" s="567"/>
      <c r="E29" s="366"/>
      <c r="F29" s="360"/>
      <c r="G29" s="360"/>
      <c r="H29" s="540"/>
      <c r="I29" s="540"/>
      <c r="J29" s="541"/>
      <c r="K29" s="134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87"/>
      <c r="AU29" s="295">
        <f t="shared" si="0"/>
        <v>0</v>
      </c>
    </row>
    <row r="30" spans="1:47" s="79" customFormat="1" ht="52" x14ac:dyDescent="0.35">
      <c r="A30" s="82"/>
      <c r="B30" s="200" t="s">
        <v>297</v>
      </c>
      <c r="C30" s="561" t="s">
        <v>297</v>
      </c>
      <c r="D30" s="567" t="s">
        <v>304</v>
      </c>
      <c r="E30" s="366" t="s">
        <v>96</v>
      </c>
      <c r="F30" s="360">
        <v>44986</v>
      </c>
      <c r="G30" s="360">
        <v>45107</v>
      </c>
      <c r="H30" s="540">
        <v>4896119</v>
      </c>
      <c r="I30" s="540">
        <v>4896119</v>
      </c>
      <c r="J30" s="541" t="s">
        <v>135</v>
      </c>
      <c r="K30" s="204"/>
      <c r="L30" s="38"/>
      <c r="M30" s="38"/>
      <c r="N30" s="38"/>
      <c r="O30" s="38"/>
      <c r="P30" s="38"/>
      <c r="Q30" s="38">
        <v>1350653</v>
      </c>
      <c r="R30" s="38">
        <v>1181822</v>
      </c>
      <c r="S30" s="38">
        <v>1181822</v>
      </c>
      <c r="T30" s="38">
        <v>1181822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196"/>
      <c r="AU30" s="295">
        <f t="shared" si="0"/>
        <v>4896119</v>
      </c>
    </row>
    <row r="31" spans="1:47" s="79" customFormat="1" x14ac:dyDescent="0.35">
      <c r="A31" s="82"/>
      <c r="B31" s="200"/>
      <c r="C31" s="561"/>
      <c r="D31" s="567"/>
      <c r="E31" s="366"/>
      <c r="F31" s="360"/>
      <c r="G31" s="360"/>
      <c r="H31" s="540"/>
      <c r="I31" s="540"/>
      <c r="J31" s="541"/>
      <c r="K31" s="134"/>
      <c r="L31" s="39"/>
      <c r="M31" s="39"/>
      <c r="N31" s="39"/>
      <c r="O31" s="39"/>
      <c r="P31" s="39"/>
      <c r="Q31" s="39">
        <v>1283324</v>
      </c>
      <c r="R31" s="39">
        <v>1252517</v>
      </c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87"/>
      <c r="AU31" s="295">
        <f t="shared" si="0"/>
        <v>2535841</v>
      </c>
    </row>
    <row r="32" spans="1:47" s="79" customFormat="1" ht="52" x14ac:dyDescent="0.35">
      <c r="A32" s="82"/>
      <c r="B32" s="200" t="s">
        <v>297</v>
      </c>
      <c r="C32" s="561" t="s">
        <v>297</v>
      </c>
      <c r="D32" s="567" t="s">
        <v>305</v>
      </c>
      <c r="E32" s="366" t="s">
        <v>96</v>
      </c>
      <c r="F32" s="360">
        <v>44986</v>
      </c>
      <c r="G32" s="360">
        <v>45565</v>
      </c>
      <c r="H32" s="540">
        <v>25870912</v>
      </c>
      <c r="I32" s="540">
        <v>25870912</v>
      </c>
      <c r="J32" s="541" t="s">
        <v>135</v>
      </c>
      <c r="K32" s="204"/>
      <c r="L32" s="38"/>
      <c r="M32" s="38"/>
      <c r="N32" s="38"/>
      <c r="O32" s="38"/>
      <c r="P32" s="38"/>
      <c r="Q32" s="38">
        <v>1350653</v>
      </c>
      <c r="R32" s="38">
        <v>1181821</v>
      </c>
      <c r="S32" s="38">
        <v>1181821</v>
      </c>
      <c r="T32" s="38">
        <v>1181821</v>
      </c>
      <c r="U32" s="38">
        <v>1181821</v>
      </c>
      <c r="V32" s="38">
        <v>1181821</v>
      </c>
      <c r="W32" s="38">
        <v>1050508</v>
      </c>
      <c r="X32" s="38">
        <v>1050508</v>
      </c>
      <c r="Y32" s="38">
        <v>1181822</v>
      </c>
      <c r="Z32" s="38">
        <v>1181822</v>
      </c>
      <c r="AA32" s="38">
        <v>1135201</v>
      </c>
      <c r="AB32" s="38">
        <v>1350653</v>
      </c>
      <c r="AC32" s="38">
        <v>1575762</v>
      </c>
      <c r="AD32" s="38">
        <v>1575762</v>
      </c>
      <c r="AE32" s="38">
        <v>1575762</v>
      </c>
      <c r="AF32" s="38">
        <v>1575762</v>
      </c>
      <c r="AG32" s="38">
        <v>1890915</v>
      </c>
      <c r="AH32" s="38">
        <v>1575762</v>
      </c>
      <c r="AI32" s="38">
        <v>1890915</v>
      </c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196"/>
      <c r="AU32" s="295">
        <f t="shared" si="0"/>
        <v>25870912</v>
      </c>
    </row>
    <row r="33" spans="1:47" s="79" customFormat="1" x14ac:dyDescent="0.35">
      <c r="A33" s="82"/>
      <c r="B33" s="200"/>
      <c r="C33" s="561"/>
      <c r="D33" s="567"/>
      <c r="E33" s="366"/>
      <c r="F33" s="360"/>
      <c r="G33" s="360"/>
      <c r="H33" s="540"/>
      <c r="I33" s="540"/>
      <c r="J33" s="541"/>
      <c r="K33" s="134"/>
      <c r="L33" s="39"/>
      <c r="M33" s="39"/>
      <c r="N33" s="39"/>
      <c r="O33" s="39"/>
      <c r="P33" s="39"/>
      <c r="Q33" s="39">
        <v>1283324</v>
      </c>
      <c r="R33" s="39">
        <v>1252517</v>
      </c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87"/>
      <c r="AU33" s="295">
        <f t="shared" si="0"/>
        <v>2535841</v>
      </c>
    </row>
    <row r="34" spans="1:47" s="79" customFormat="1" ht="52" x14ac:dyDescent="0.35">
      <c r="A34" s="82"/>
      <c r="B34" s="200" t="s">
        <v>297</v>
      </c>
      <c r="C34" s="561" t="s">
        <v>297</v>
      </c>
      <c r="D34" s="567" t="s">
        <v>306</v>
      </c>
      <c r="E34" s="366" t="s">
        <v>96</v>
      </c>
      <c r="F34" s="360">
        <v>45505</v>
      </c>
      <c r="G34" s="360">
        <v>45777</v>
      </c>
      <c r="H34" s="540">
        <v>18847260</v>
      </c>
      <c r="I34" s="540">
        <v>18847260</v>
      </c>
      <c r="J34" s="541" t="s">
        <v>135</v>
      </c>
      <c r="K34" s="204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>
        <v>1575762</v>
      </c>
      <c r="AI34" s="38">
        <v>1890915</v>
      </c>
      <c r="AJ34" s="38">
        <v>2363644</v>
      </c>
      <c r="AK34" s="38">
        <v>2363644</v>
      </c>
      <c r="AL34" s="38">
        <v>1575762</v>
      </c>
      <c r="AM34" s="38">
        <v>1986601</v>
      </c>
      <c r="AN34" s="38">
        <v>2363644</v>
      </c>
      <c r="AO34" s="38">
        <v>2363644</v>
      </c>
      <c r="AP34" s="38">
        <v>2363644</v>
      </c>
      <c r="AQ34" s="38"/>
      <c r="AR34" s="38"/>
      <c r="AS34" s="38"/>
      <c r="AT34" s="196"/>
      <c r="AU34" s="295">
        <f t="shared" si="0"/>
        <v>18847260</v>
      </c>
    </row>
    <row r="35" spans="1:47" s="79" customFormat="1" x14ac:dyDescent="0.35">
      <c r="A35" s="82"/>
      <c r="B35" s="200"/>
      <c r="C35" s="561"/>
      <c r="D35" s="567"/>
      <c r="E35" s="366"/>
      <c r="F35" s="360"/>
      <c r="G35" s="360"/>
      <c r="H35" s="540"/>
      <c r="I35" s="540"/>
      <c r="J35" s="541"/>
      <c r="K35" s="134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87"/>
      <c r="AU35" s="295">
        <f t="shared" si="0"/>
        <v>0</v>
      </c>
    </row>
    <row r="36" spans="1:47" s="79" customFormat="1" ht="26" x14ac:dyDescent="0.35">
      <c r="A36" s="82"/>
      <c r="B36" s="200" t="s">
        <v>307</v>
      </c>
      <c r="C36" s="561" t="s">
        <v>307</v>
      </c>
      <c r="D36" s="567" t="s">
        <v>308</v>
      </c>
      <c r="E36" s="366" t="s">
        <v>96</v>
      </c>
      <c r="F36" s="360">
        <v>44986</v>
      </c>
      <c r="G36" s="360">
        <v>45912</v>
      </c>
      <c r="H36" s="540">
        <v>423458960</v>
      </c>
      <c r="I36" s="540">
        <v>423458960</v>
      </c>
      <c r="J36" s="541" t="s">
        <v>97</v>
      </c>
      <c r="K36" s="204"/>
      <c r="L36" s="38"/>
      <c r="M36" s="38"/>
      <c r="N36" s="38"/>
      <c r="O36" s="38"/>
      <c r="P36" s="38"/>
      <c r="Q36" s="38">
        <v>1350635</v>
      </c>
      <c r="R36" s="38">
        <v>4000658</v>
      </c>
      <c r="S36" s="38">
        <v>1181805</v>
      </c>
      <c r="T36" s="38">
        <v>1636069</v>
      </c>
      <c r="U36" s="38">
        <v>298142155</v>
      </c>
      <c r="V36" s="38">
        <v>2164863</v>
      </c>
      <c r="W36" s="38">
        <v>2311293</v>
      </c>
      <c r="X36" s="38">
        <v>1924322</v>
      </c>
      <c r="Y36" s="38">
        <v>2164863</v>
      </c>
      <c r="Z36" s="38">
        <v>12539381</v>
      </c>
      <c r="AA36" s="38">
        <v>2474129</v>
      </c>
      <c r="AB36" s="38">
        <v>2559307</v>
      </c>
      <c r="AC36" s="38">
        <v>2985858</v>
      </c>
      <c r="AD36" s="38">
        <v>2985858</v>
      </c>
      <c r="AE36" s="38">
        <v>2985858</v>
      </c>
      <c r="AF36" s="38">
        <v>2985858</v>
      </c>
      <c r="AG36" s="38">
        <v>3463781</v>
      </c>
      <c r="AH36" s="38">
        <v>2985858</v>
      </c>
      <c r="AI36" s="38">
        <v>3583030</v>
      </c>
      <c r="AJ36" s="38">
        <v>4478787</v>
      </c>
      <c r="AK36" s="38">
        <v>4478787</v>
      </c>
      <c r="AL36" s="38">
        <v>14200223</v>
      </c>
      <c r="AM36" s="38">
        <v>4478787</v>
      </c>
      <c r="AN36" s="38">
        <v>3272138</v>
      </c>
      <c r="AO36" s="38">
        <v>3272138</v>
      </c>
      <c r="AP36" s="38">
        <v>3272137</v>
      </c>
      <c r="AQ36" s="38"/>
      <c r="AR36" s="38"/>
      <c r="AS36" s="38">
        <v>9401601</v>
      </c>
      <c r="AT36" s="196">
        <v>22178781</v>
      </c>
      <c r="AU36" s="295">
        <f t="shared" si="0"/>
        <v>423458960</v>
      </c>
    </row>
    <row r="37" spans="1:47" s="79" customFormat="1" x14ac:dyDescent="0.35">
      <c r="A37" s="82"/>
      <c r="B37" s="200"/>
      <c r="C37" s="561"/>
      <c r="D37" s="567"/>
      <c r="E37" s="366"/>
      <c r="F37" s="360"/>
      <c r="G37" s="360"/>
      <c r="H37" s="540"/>
      <c r="I37" s="540"/>
      <c r="J37" s="541"/>
      <c r="K37" s="134"/>
      <c r="L37" s="39"/>
      <c r="M37" s="39"/>
      <c r="N37" s="39"/>
      <c r="O37" s="39"/>
      <c r="P37" s="39"/>
      <c r="Q37" s="39">
        <v>746299</v>
      </c>
      <c r="R37" s="39">
        <v>832014</v>
      </c>
      <c r="S37" s="39">
        <v>653011</v>
      </c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87"/>
      <c r="AU37" s="295">
        <f t="shared" si="0"/>
        <v>2231324</v>
      </c>
    </row>
    <row r="38" spans="1:47" s="79" customFormat="1" ht="26" x14ac:dyDescent="0.35">
      <c r="A38" s="82"/>
      <c r="B38" s="200" t="s">
        <v>307</v>
      </c>
      <c r="C38" s="561" t="s">
        <v>307</v>
      </c>
      <c r="D38" s="567" t="s">
        <v>309</v>
      </c>
      <c r="E38" s="366" t="s">
        <v>96</v>
      </c>
      <c r="F38" s="360">
        <v>44986</v>
      </c>
      <c r="G38" s="360">
        <v>45912</v>
      </c>
      <c r="H38" s="540">
        <v>66636013</v>
      </c>
      <c r="I38" s="540">
        <v>66636013</v>
      </c>
      <c r="J38" s="541" t="s">
        <v>135</v>
      </c>
      <c r="K38" s="204"/>
      <c r="L38" s="38"/>
      <c r="M38" s="38"/>
      <c r="N38" s="38"/>
      <c r="O38" s="38"/>
      <c r="P38" s="38"/>
      <c r="Q38" s="38">
        <v>1403649</v>
      </c>
      <c r="R38" s="38">
        <v>1228193</v>
      </c>
      <c r="S38" s="38">
        <v>1228193</v>
      </c>
      <c r="T38" s="38">
        <v>1470465</v>
      </c>
      <c r="U38" s="38">
        <v>1470465</v>
      </c>
      <c r="V38" s="38">
        <v>1470465</v>
      </c>
      <c r="W38" s="38">
        <v>1307080</v>
      </c>
      <c r="X38" s="38">
        <v>1307080</v>
      </c>
      <c r="Y38" s="38">
        <v>1470465</v>
      </c>
      <c r="Z38" s="38">
        <v>3239800</v>
      </c>
      <c r="AA38" s="38">
        <v>1680532</v>
      </c>
      <c r="AB38" s="38">
        <v>1680532</v>
      </c>
      <c r="AC38" s="38">
        <v>1960620</v>
      </c>
      <c r="AD38" s="38">
        <v>1960620</v>
      </c>
      <c r="AE38" s="38">
        <v>1960620</v>
      </c>
      <c r="AF38" s="38">
        <v>2235954</v>
      </c>
      <c r="AG38" s="38">
        <v>2235954</v>
      </c>
      <c r="AH38" s="38">
        <v>2235954</v>
      </c>
      <c r="AI38" s="38">
        <v>2683145</v>
      </c>
      <c r="AJ38" s="38">
        <v>3353932</v>
      </c>
      <c r="AK38" s="38">
        <v>3353932</v>
      </c>
      <c r="AL38" s="38">
        <v>6576476</v>
      </c>
      <c r="AM38" s="38">
        <v>3353932</v>
      </c>
      <c r="AN38" s="38">
        <v>3353932</v>
      </c>
      <c r="AO38" s="38">
        <v>3353932</v>
      </c>
      <c r="AP38" s="38">
        <v>3353932</v>
      </c>
      <c r="AQ38" s="38"/>
      <c r="AR38" s="38"/>
      <c r="AS38" s="38">
        <v>3249773</v>
      </c>
      <c r="AT38" s="196">
        <v>2456386</v>
      </c>
      <c r="AU38" s="295">
        <f t="shared" si="0"/>
        <v>66636013</v>
      </c>
    </row>
    <row r="39" spans="1:47" s="79" customFormat="1" x14ac:dyDescent="0.35">
      <c r="A39" s="82"/>
      <c r="B39" s="200"/>
      <c r="C39" s="561"/>
      <c r="D39" s="567"/>
      <c r="E39" s="366"/>
      <c r="F39" s="360"/>
      <c r="G39" s="360"/>
      <c r="H39" s="540"/>
      <c r="I39" s="540"/>
      <c r="J39" s="541"/>
      <c r="K39" s="134"/>
      <c r="L39" s="39"/>
      <c r="M39" s="39"/>
      <c r="N39" s="39"/>
      <c r="O39" s="39"/>
      <c r="P39" s="39"/>
      <c r="Q39" s="39">
        <v>1403649</v>
      </c>
      <c r="R39" s="39">
        <v>1228193</v>
      </c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87"/>
      <c r="AU39" s="295">
        <f t="shared" si="0"/>
        <v>2631842</v>
      </c>
    </row>
    <row r="40" spans="1:47" ht="26" x14ac:dyDescent="0.35">
      <c r="A40" s="83"/>
      <c r="B40" s="201" t="s">
        <v>307</v>
      </c>
      <c r="C40" s="561" t="s">
        <v>307</v>
      </c>
      <c r="D40" s="381" t="s">
        <v>310</v>
      </c>
      <c r="E40" s="366" t="s">
        <v>96</v>
      </c>
      <c r="F40" s="360">
        <v>44986</v>
      </c>
      <c r="G40" s="360">
        <v>45777</v>
      </c>
      <c r="H40" s="540">
        <v>41251497</v>
      </c>
      <c r="I40" s="540">
        <v>41251497</v>
      </c>
      <c r="J40" s="541" t="s">
        <v>135</v>
      </c>
      <c r="K40" s="204"/>
      <c r="L40" s="38"/>
      <c r="M40" s="38"/>
      <c r="N40" s="38"/>
      <c r="O40" s="38"/>
      <c r="P40" s="38"/>
      <c r="Q40" s="38">
        <v>1350654</v>
      </c>
      <c r="R40" s="38">
        <v>1181821</v>
      </c>
      <c r="S40" s="38">
        <v>1181821</v>
      </c>
      <c r="T40" s="38">
        <v>1181821</v>
      </c>
      <c r="U40" s="38">
        <v>1181821</v>
      </c>
      <c r="V40" s="38">
        <v>1181821</v>
      </c>
      <c r="W40" s="38">
        <v>1050508</v>
      </c>
      <c r="X40" s="38">
        <v>1050508</v>
      </c>
      <c r="Y40" s="38">
        <v>1181822</v>
      </c>
      <c r="Z40" s="38">
        <v>1181822</v>
      </c>
      <c r="AA40" s="38">
        <v>1135201</v>
      </c>
      <c r="AB40" s="38">
        <v>1350654</v>
      </c>
      <c r="AC40" s="38">
        <v>1575762</v>
      </c>
      <c r="AD40" s="38">
        <v>1575762</v>
      </c>
      <c r="AE40" s="38">
        <v>1575762</v>
      </c>
      <c r="AF40" s="38">
        <v>1575762</v>
      </c>
      <c r="AG40" s="38">
        <v>1890915</v>
      </c>
      <c r="AH40" s="38">
        <v>1575762</v>
      </c>
      <c r="AI40" s="38">
        <v>1890915</v>
      </c>
      <c r="AJ40" s="38">
        <v>2363644</v>
      </c>
      <c r="AK40" s="38">
        <v>2363644</v>
      </c>
      <c r="AL40" s="38">
        <v>1575762</v>
      </c>
      <c r="AM40" s="38">
        <v>1986601</v>
      </c>
      <c r="AN40" s="38">
        <v>2363644</v>
      </c>
      <c r="AO40" s="38">
        <v>2363644</v>
      </c>
      <c r="AP40" s="38">
        <v>2363644</v>
      </c>
      <c r="AQ40" s="38"/>
      <c r="AR40" s="38"/>
      <c r="AS40" s="38"/>
      <c r="AT40" s="196"/>
      <c r="AU40" s="295">
        <f t="shared" si="0"/>
        <v>41251497</v>
      </c>
    </row>
    <row r="41" spans="1:47" x14ac:dyDescent="0.35">
      <c r="A41" s="83"/>
      <c r="B41" s="201"/>
      <c r="C41" s="561"/>
      <c r="D41" s="381"/>
      <c r="E41" s="366"/>
      <c r="F41" s="360"/>
      <c r="G41" s="360"/>
      <c r="H41" s="540"/>
      <c r="I41" s="540"/>
      <c r="J41" s="541"/>
      <c r="K41" s="134"/>
      <c r="L41" s="39"/>
      <c r="M41" s="39"/>
      <c r="N41" s="39"/>
      <c r="O41" s="39"/>
      <c r="P41" s="39"/>
      <c r="Q41" s="39">
        <v>1283325</v>
      </c>
      <c r="R41" s="39">
        <v>1252517</v>
      </c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87"/>
      <c r="AU41" s="295">
        <f t="shared" si="0"/>
        <v>2535842</v>
      </c>
    </row>
    <row r="42" spans="1:47" ht="52" customHeight="1" x14ac:dyDescent="0.35">
      <c r="A42" s="83"/>
      <c r="B42" s="202" t="s">
        <v>311</v>
      </c>
      <c r="C42" s="565" t="s">
        <v>311</v>
      </c>
      <c r="D42" s="381" t="s">
        <v>312</v>
      </c>
      <c r="E42" s="366" t="s">
        <v>96</v>
      </c>
      <c r="F42" s="360">
        <v>45108</v>
      </c>
      <c r="G42" s="360">
        <v>45716</v>
      </c>
      <c r="H42" s="540">
        <v>21371827</v>
      </c>
      <c r="I42" s="540">
        <v>21371827</v>
      </c>
      <c r="J42" s="541" t="s">
        <v>97</v>
      </c>
      <c r="K42" s="204"/>
      <c r="L42" s="38"/>
      <c r="M42" s="38"/>
      <c r="N42" s="38"/>
      <c r="O42" s="38"/>
      <c r="P42" s="38"/>
      <c r="Q42" s="38"/>
      <c r="R42" s="38"/>
      <c r="S42" s="38"/>
      <c r="T42" s="38"/>
      <c r="U42" s="38">
        <v>790573</v>
      </c>
      <c r="V42" s="38">
        <v>790573</v>
      </c>
      <c r="W42" s="38">
        <v>1080450</v>
      </c>
      <c r="X42" s="38">
        <v>790573</v>
      </c>
      <c r="Y42" s="38">
        <v>790573</v>
      </c>
      <c r="Z42" s="38">
        <v>790573</v>
      </c>
      <c r="AA42" s="38">
        <v>790573</v>
      </c>
      <c r="AB42" s="38">
        <v>790573</v>
      </c>
      <c r="AC42" s="38">
        <v>790573</v>
      </c>
      <c r="AD42" s="38">
        <v>790573</v>
      </c>
      <c r="AE42" s="38">
        <v>790573</v>
      </c>
      <c r="AF42" s="38">
        <v>790573</v>
      </c>
      <c r="AG42" s="38">
        <v>1054098</v>
      </c>
      <c r="AH42" s="38">
        <v>1054098</v>
      </c>
      <c r="AI42" s="38">
        <v>1581146</v>
      </c>
      <c r="AJ42" s="38">
        <v>1581146</v>
      </c>
      <c r="AK42" s="38">
        <v>1581146</v>
      </c>
      <c r="AL42" s="38">
        <v>1581146</v>
      </c>
      <c r="AM42" s="38">
        <v>1581147</v>
      </c>
      <c r="AN42" s="38">
        <v>1581147</v>
      </c>
      <c r="AO42" s="38"/>
      <c r="AP42" s="38"/>
      <c r="AQ42" s="38"/>
      <c r="AR42" s="38"/>
      <c r="AS42" s="38"/>
      <c r="AT42" s="196"/>
      <c r="AU42" s="295">
        <f t="shared" si="0"/>
        <v>21371827</v>
      </c>
    </row>
    <row r="43" spans="1:47" x14ac:dyDescent="0.35">
      <c r="A43" s="83"/>
      <c r="B43" s="202"/>
      <c r="C43" s="565"/>
      <c r="D43" s="381"/>
      <c r="E43" s="366"/>
      <c r="F43" s="360"/>
      <c r="G43" s="360"/>
      <c r="H43" s="540"/>
      <c r="I43" s="540"/>
      <c r="J43" s="541"/>
      <c r="K43" s="134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87"/>
      <c r="AU43" s="295">
        <f t="shared" si="0"/>
        <v>0</v>
      </c>
    </row>
    <row r="44" spans="1:47" ht="39" customHeight="1" x14ac:dyDescent="0.35">
      <c r="A44" s="83"/>
      <c r="B44" s="203" t="s">
        <v>313</v>
      </c>
      <c r="C44" s="565" t="s">
        <v>313</v>
      </c>
      <c r="D44" s="381" t="s">
        <v>314</v>
      </c>
      <c r="E44" s="366" t="s">
        <v>96</v>
      </c>
      <c r="F44" s="360">
        <v>44816</v>
      </c>
      <c r="G44" s="360">
        <v>45912</v>
      </c>
      <c r="H44" s="540">
        <v>94941165</v>
      </c>
      <c r="I44" s="540">
        <v>94941165</v>
      </c>
      <c r="J44" s="541" t="s">
        <v>97</v>
      </c>
      <c r="K44" s="204">
        <v>1335190</v>
      </c>
      <c r="L44" s="38">
        <v>2108196</v>
      </c>
      <c r="M44" s="38">
        <v>2108196</v>
      </c>
      <c r="N44" s="38">
        <v>2108196</v>
      </c>
      <c r="O44" s="38">
        <v>2108196</v>
      </c>
      <c r="P44" s="38">
        <v>2108196</v>
      </c>
      <c r="Q44" s="38">
        <v>1581147</v>
      </c>
      <c r="R44" s="38">
        <v>1581147</v>
      </c>
      <c r="S44" s="38">
        <v>1581147</v>
      </c>
      <c r="T44" s="38">
        <v>1581147</v>
      </c>
      <c r="U44" s="38">
        <v>1581147</v>
      </c>
      <c r="V44" s="38">
        <v>1581147</v>
      </c>
      <c r="W44" s="38">
        <v>2160900</v>
      </c>
      <c r="X44" s="38">
        <v>1581147</v>
      </c>
      <c r="Y44" s="38">
        <v>1581147</v>
      </c>
      <c r="Z44" s="38">
        <v>3954937</v>
      </c>
      <c r="AA44" s="38">
        <v>1581147</v>
      </c>
      <c r="AB44" s="38">
        <v>1581147</v>
      </c>
      <c r="AC44" s="38">
        <v>1581147</v>
      </c>
      <c r="AD44" s="38">
        <v>1581147</v>
      </c>
      <c r="AE44" s="38">
        <v>1581147</v>
      </c>
      <c r="AF44" s="38">
        <v>1581147</v>
      </c>
      <c r="AG44" s="38">
        <v>2108196</v>
      </c>
      <c r="AH44" s="38">
        <v>2108196</v>
      </c>
      <c r="AI44" s="38">
        <v>3162293</v>
      </c>
      <c r="AJ44" s="38">
        <v>3162293</v>
      </c>
      <c r="AK44" s="38">
        <v>3162293</v>
      </c>
      <c r="AL44" s="38">
        <v>3162293</v>
      </c>
      <c r="AM44" s="38">
        <v>3162294</v>
      </c>
      <c r="AN44" s="38">
        <v>3162294</v>
      </c>
      <c r="AO44" s="38">
        <v>3162294</v>
      </c>
      <c r="AP44" s="38">
        <v>3162294</v>
      </c>
      <c r="AQ44" s="38">
        <v>6324590</v>
      </c>
      <c r="AR44" s="38">
        <v>6324590</v>
      </c>
      <c r="AS44" s="38">
        <v>6324590</v>
      </c>
      <c r="AT44" s="196">
        <v>6324590</v>
      </c>
      <c r="AU44" s="295">
        <f t="shared" si="0"/>
        <v>94941165</v>
      </c>
    </row>
    <row r="45" spans="1:47" x14ac:dyDescent="0.35">
      <c r="A45" s="83"/>
      <c r="B45" s="203"/>
      <c r="C45" s="565"/>
      <c r="D45" s="381"/>
      <c r="E45" s="366"/>
      <c r="F45" s="360"/>
      <c r="G45" s="360"/>
      <c r="H45" s="540"/>
      <c r="I45" s="540"/>
      <c r="J45" s="541"/>
      <c r="K45" s="134">
        <v>1335190</v>
      </c>
      <c r="L45" s="39">
        <v>2108196</v>
      </c>
      <c r="M45" s="39">
        <v>2108196</v>
      </c>
      <c r="N45" s="39">
        <v>2108196</v>
      </c>
      <c r="O45" s="39">
        <v>2108196</v>
      </c>
      <c r="P45" s="39">
        <v>2108196</v>
      </c>
      <c r="Q45" s="39">
        <v>1581147</v>
      </c>
      <c r="R45" s="39">
        <v>1581147</v>
      </c>
      <c r="S45" s="39">
        <v>1581147</v>
      </c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87"/>
      <c r="AU45" s="295">
        <f t="shared" si="0"/>
        <v>16619611</v>
      </c>
    </row>
    <row r="46" spans="1:47" ht="39" customHeight="1" x14ac:dyDescent="0.35">
      <c r="A46" s="83"/>
      <c r="B46" s="201" t="s">
        <v>313</v>
      </c>
      <c r="C46" s="565" t="s">
        <v>313</v>
      </c>
      <c r="D46" s="381" t="s">
        <v>315</v>
      </c>
      <c r="E46" s="366" t="s">
        <v>96</v>
      </c>
      <c r="F46" s="360">
        <v>44816</v>
      </c>
      <c r="G46" s="360">
        <v>45912</v>
      </c>
      <c r="H46" s="540">
        <v>7865880</v>
      </c>
      <c r="I46" s="540">
        <v>7865880</v>
      </c>
      <c r="J46" s="541" t="s">
        <v>135</v>
      </c>
      <c r="K46" s="204">
        <v>178771</v>
      </c>
      <c r="L46" s="38">
        <v>178771</v>
      </c>
      <c r="M46" s="38">
        <v>178771</v>
      </c>
      <c r="N46" s="38">
        <v>178771</v>
      </c>
      <c r="O46" s="38">
        <v>178771</v>
      </c>
      <c r="P46" s="38">
        <v>178771</v>
      </c>
      <c r="Q46" s="38">
        <v>134077</v>
      </c>
      <c r="R46" s="38">
        <v>134077</v>
      </c>
      <c r="S46" s="38">
        <v>134077</v>
      </c>
      <c r="T46" s="38">
        <v>134077</v>
      </c>
      <c r="U46" s="38">
        <v>134077</v>
      </c>
      <c r="V46" s="38">
        <v>134077</v>
      </c>
      <c r="W46" s="38">
        <v>134077</v>
      </c>
      <c r="X46" s="38">
        <v>134077</v>
      </c>
      <c r="Y46" s="38">
        <v>134077</v>
      </c>
      <c r="Z46" s="38">
        <v>134077</v>
      </c>
      <c r="AA46" s="38">
        <v>134077</v>
      </c>
      <c r="AB46" s="38">
        <v>134077</v>
      </c>
      <c r="AC46" s="38">
        <v>134077</v>
      </c>
      <c r="AD46" s="38">
        <v>134077</v>
      </c>
      <c r="AE46" s="38">
        <v>134077</v>
      </c>
      <c r="AF46" s="38">
        <v>134077</v>
      </c>
      <c r="AG46" s="38">
        <v>178771</v>
      </c>
      <c r="AH46" s="38">
        <v>178771</v>
      </c>
      <c r="AI46" s="38">
        <v>268155</v>
      </c>
      <c r="AJ46" s="38">
        <v>268155</v>
      </c>
      <c r="AK46" s="38">
        <v>268155</v>
      </c>
      <c r="AL46" s="38">
        <v>268155</v>
      </c>
      <c r="AM46" s="38">
        <v>268155</v>
      </c>
      <c r="AN46" s="38">
        <v>268155</v>
      </c>
      <c r="AO46" s="38">
        <v>268155</v>
      </c>
      <c r="AP46" s="38">
        <v>268155</v>
      </c>
      <c r="AQ46" s="38">
        <v>536310</v>
      </c>
      <c r="AR46" s="38">
        <v>536310</v>
      </c>
      <c r="AS46" s="38">
        <v>536310</v>
      </c>
      <c r="AT46" s="196">
        <v>536310</v>
      </c>
      <c r="AU46" s="295">
        <f t="shared" si="0"/>
        <v>7865880</v>
      </c>
    </row>
    <row r="47" spans="1:47" x14ac:dyDescent="0.35">
      <c r="A47" s="83"/>
      <c r="B47" s="201"/>
      <c r="C47" s="565"/>
      <c r="D47" s="381"/>
      <c r="E47" s="366"/>
      <c r="F47" s="360"/>
      <c r="G47" s="360"/>
      <c r="H47" s="540"/>
      <c r="I47" s="540"/>
      <c r="J47" s="541"/>
      <c r="K47" s="134"/>
      <c r="L47" s="39"/>
      <c r="M47" s="39">
        <v>357542</v>
      </c>
      <c r="N47" s="39">
        <f>178771+107262</f>
        <v>286033</v>
      </c>
      <c r="O47" s="39">
        <v>178771</v>
      </c>
      <c r="P47" s="39">
        <v>178771</v>
      </c>
      <c r="Q47" s="39">
        <v>134078</v>
      </c>
      <c r="R47" s="39">
        <v>134077</v>
      </c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87"/>
      <c r="AU47" s="295">
        <f t="shared" si="0"/>
        <v>1269272</v>
      </c>
    </row>
    <row r="48" spans="1:47" ht="39" x14ac:dyDescent="0.35">
      <c r="A48" s="83"/>
      <c r="B48" s="201" t="s">
        <v>316</v>
      </c>
      <c r="C48" s="303" t="s">
        <v>316</v>
      </c>
      <c r="D48" s="381" t="s">
        <v>317</v>
      </c>
      <c r="E48" s="366" t="s">
        <v>96</v>
      </c>
      <c r="F48" s="360">
        <v>45170</v>
      </c>
      <c r="G48" s="360">
        <v>45912</v>
      </c>
      <c r="H48" s="540">
        <v>116453844</v>
      </c>
      <c r="I48" s="540">
        <v>116453844</v>
      </c>
      <c r="J48" s="541" t="s">
        <v>97</v>
      </c>
      <c r="K48" s="204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>
        <v>2311293</v>
      </c>
      <c r="X48" s="38">
        <v>1924322</v>
      </c>
      <c r="Y48" s="38">
        <v>2164863</v>
      </c>
      <c r="Z48" s="38">
        <v>8967952</v>
      </c>
      <c r="AA48" s="38">
        <v>2474129</v>
      </c>
      <c r="AB48" s="38">
        <v>2559307</v>
      </c>
      <c r="AC48" s="38">
        <v>2985858</v>
      </c>
      <c r="AD48" s="38">
        <v>2985858</v>
      </c>
      <c r="AE48" s="38">
        <v>2985858</v>
      </c>
      <c r="AF48" s="38">
        <v>2985858</v>
      </c>
      <c r="AG48" s="38">
        <v>3463781</v>
      </c>
      <c r="AH48" s="38">
        <v>2985858</v>
      </c>
      <c r="AI48" s="38">
        <v>3583030</v>
      </c>
      <c r="AJ48" s="38">
        <v>4478787</v>
      </c>
      <c r="AK48" s="38">
        <v>4478787</v>
      </c>
      <c r="AL48" s="38">
        <v>10033556</v>
      </c>
      <c r="AM48" s="38">
        <v>4478786</v>
      </c>
      <c r="AN48" s="38">
        <v>3272138</v>
      </c>
      <c r="AO48" s="38">
        <v>3272138</v>
      </c>
      <c r="AP48" s="38">
        <v>3272137</v>
      </c>
      <c r="AQ48" s="38">
        <v>6544275</v>
      </c>
      <c r="AR48" s="38">
        <v>4727222</v>
      </c>
      <c r="AS48" s="38">
        <v>4727222</v>
      </c>
      <c r="AT48" s="196">
        <v>24790829</v>
      </c>
      <c r="AU48" s="295">
        <f t="shared" si="0"/>
        <v>116453844</v>
      </c>
    </row>
    <row r="49" spans="1:47" x14ac:dyDescent="0.35">
      <c r="A49" s="83"/>
      <c r="B49" s="201"/>
      <c r="C49" s="303"/>
      <c r="D49" s="381"/>
      <c r="E49" s="366"/>
      <c r="F49" s="360"/>
      <c r="G49" s="360"/>
      <c r="H49" s="540"/>
      <c r="I49" s="540"/>
      <c r="J49" s="541"/>
      <c r="K49" s="134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87"/>
      <c r="AU49" s="295">
        <f t="shared" si="0"/>
        <v>0</v>
      </c>
    </row>
    <row r="50" spans="1:47" ht="39" x14ac:dyDescent="0.35">
      <c r="A50" s="83"/>
      <c r="B50" s="201" t="s">
        <v>316</v>
      </c>
      <c r="C50" s="303" t="s">
        <v>316</v>
      </c>
      <c r="D50" s="381" t="s">
        <v>318</v>
      </c>
      <c r="E50" s="366" t="s">
        <v>96</v>
      </c>
      <c r="F50" s="360">
        <v>45170</v>
      </c>
      <c r="G50" s="360">
        <v>45912</v>
      </c>
      <c r="H50" s="540">
        <v>69985214</v>
      </c>
      <c r="I50" s="540">
        <v>69985214</v>
      </c>
      <c r="J50" s="541" t="s">
        <v>135</v>
      </c>
      <c r="K50" s="204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>
        <v>1307080</v>
      </c>
      <c r="X50" s="38">
        <v>1307080</v>
      </c>
      <c r="Y50" s="38">
        <v>1470465</v>
      </c>
      <c r="Z50" s="38">
        <v>3239800</v>
      </c>
      <c r="AA50" s="38">
        <v>1680532</v>
      </c>
      <c r="AB50" s="38">
        <v>1680532</v>
      </c>
      <c r="AC50" s="38">
        <v>1960620</v>
      </c>
      <c r="AD50" s="38">
        <v>1960620</v>
      </c>
      <c r="AE50" s="38">
        <v>1960620</v>
      </c>
      <c r="AF50" s="38">
        <v>2235955</v>
      </c>
      <c r="AG50" s="38">
        <v>2235955</v>
      </c>
      <c r="AH50" s="38">
        <v>2235955</v>
      </c>
      <c r="AI50" s="38">
        <v>2683145</v>
      </c>
      <c r="AJ50" s="38">
        <v>3353931</v>
      </c>
      <c r="AK50" s="38">
        <v>3353931</v>
      </c>
      <c r="AL50" s="38">
        <v>6576475</v>
      </c>
      <c r="AM50" s="38">
        <v>3353931</v>
      </c>
      <c r="AN50" s="38">
        <v>3353931</v>
      </c>
      <c r="AO50" s="38">
        <v>3353931</v>
      </c>
      <c r="AP50" s="38">
        <v>3353931</v>
      </c>
      <c r="AQ50" s="38">
        <v>6707863</v>
      </c>
      <c r="AR50" s="38">
        <v>4912772</v>
      </c>
      <c r="AS50" s="38">
        <v>3249773</v>
      </c>
      <c r="AT50" s="196">
        <v>2456386</v>
      </c>
      <c r="AU50" s="295">
        <f t="shared" si="0"/>
        <v>69985214</v>
      </c>
    </row>
    <row r="51" spans="1:47" x14ac:dyDescent="0.35">
      <c r="A51" s="83"/>
      <c r="B51" s="201"/>
      <c r="C51" s="303"/>
      <c r="D51" s="381"/>
      <c r="E51" s="366"/>
      <c r="F51" s="360"/>
      <c r="G51" s="360"/>
      <c r="H51" s="540"/>
      <c r="I51" s="540"/>
      <c r="J51" s="541"/>
      <c r="K51" s="134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87"/>
      <c r="AU51" s="295">
        <f t="shared" si="0"/>
        <v>0</v>
      </c>
    </row>
    <row r="52" spans="1:47" ht="39" x14ac:dyDescent="0.35">
      <c r="A52" s="83"/>
      <c r="B52" s="201" t="s">
        <v>316</v>
      </c>
      <c r="C52" s="303" t="s">
        <v>316</v>
      </c>
      <c r="D52" s="381" t="s">
        <v>319</v>
      </c>
      <c r="E52" s="366" t="s">
        <v>96</v>
      </c>
      <c r="F52" s="360">
        <v>45170</v>
      </c>
      <c r="G52" s="360">
        <v>45912</v>
      </c>
      <c r="H52" s="540">
        <v>55163138</v>
      </c>
      <c r="I52" s="540">
        <v>55163138</v>
      </c>
      <c r="J52" s="541" t="s">
        <v>135</v>
      </c>
      <c r="K52" s="204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>
        <v>1050509</v>
      </c>
      <c r="X52" s="38">
        <v>1050509</v>
      </c>
      <c r="Y52" s="38">
        <v>1181821</v>
      </c>
      <c r="Z52" s="38">
        <v>1181821</v>
      </c>
      <c r="AA52" s="38">
        <v>1135200</v>
      </c>
      <c r="AB52" s="38">
        <v>1350654</v>
      </c>
      <c r="AC52" s="38">
        <v>1575763</v>
      </c>
      <c r="AD52" s="38">
        <v>1575763</v>
      </c>
      <c r="AE52" s="38">
        <v>1575763</v>
      </c>
      <c r="AF52" s="38">
        <v>1575763</v>
      </c>
      <c r="AG52" s="38">
        <v>1890915</v>
      </c>
      <c r="AH52" s="38">
        <v>1575762</v>
      </c>
      <c r="AI52" s="38">
        <v>1890915</v>
      </c>
      <c r="AJ52" s="38">
        <v>2363643</v>
      </c>
      <c r="AK52" s="38">
        <v>2363643</v>
      </c>
      <c r="AL52" s="38">
        <v>1575763</v>
      </c>
      <c r="AM52" s="38">
        <v>1986601</v>
      </c>
      <c r="AN52" s="38">
        <v>2363643</v>
      </c>
      <c r="AO52" s="38">
        <v>2363643</v>
      </c>
      <c r="AP52" s="38">
        <v>2363643</v>
      </c>
      <c r="AQ52" s="38">
        <v>4727287</v>
      </c>
      <c r="AR52" s="38">
        <v>4727287</v>
      </c>
      <c r="AS52" s="38">
        <v>4727287</v>
      </c>
      <c r="AT52" s="196">
        <v>6989540</v>
      </c>
      <c r="AU52" s="295">
        <f t="shared" si="0"/>
        <v>55163138</v>
      </c>
    </row>
    <row r="53" spans="1:47" x14ac:dyDescent="0.35">
      <c r="A53" s="83"/>
      <c r="B53" s="201"/>
      <c r="C53" s="303"/>
      <c r="D53" s="381"/>
      <c r="E53" s="366"/>
      <c r="F53" s="360"/>
      <c r="G53" s="360"/>
      <c r="H53" s="540"/>
      <c r="I53" s="540"/>
      <c r="J53" s="541"/>
      <c r="K53" s="134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87"/>
      <c r="AU53" s="295">
        <f t="shared" si="0"/>
        <v>0</v>
      </c>
    </row>
    <row r="54" spans="1:47" ht="39" x14ac:dyDescent="0.35">
      <c r="A54" s="83"/>
      <c r="B54" s="201" t="s">
        <v>320</v>
      </c>
      <c r="C54" s="303" t="s">
        <v>320</v>
      </c>
      <c r="D54" s="381" t="s">
        <v>321</v>
      </c>
      <c r="E54" s="366" t="s">
        <v>96</v>
      </c>
      <c r="F54" s="360">
        <v>44816</v>
      </c>
      <c r="G54" s="360">
        <v>45912</v>
      </c>
      <c r="H54" s="540">
        <v>104383001</v>
      </c>
      <c r="I54" s="540">
        <v>104383001</v>
      </c>
      <c r="J54" s="541" t="s">
        <v>97</v>
      </c>
      <c r="K54" s="204">
        <v>580455</v>
      </c>
      <c r="L54" s="38">
        <v>1741364</v>
      </c>
      <c r="M54" s="38">
        <v>1741364</v>
      </c>
      <c r="N54" s="38">
        <v>1741364</v>
      </c>
      <c r="O54" s="38">
        <v>1741364</v>
      </c>
      <c r="P54" s="38">
        <v>3151481</v>
      </c>
      <c r="Q54" s="38">
        <v>1350635</v>
      </c>
      <c r="R54" s="38">
        <v>1350635</v>
      </c>
      <c r="S54" s="38">
        <v>1181805</v>
      </c>
      <c r="T54" s="38">
        <v>1636069</v>
      </c>
      <c r="U54" s="38">
        <v>1710600</v>
      </c>
      <c r="V54" s="38">
        <v>2164863</v>
      </c>
      <c r="W54" s="38">
        <v>2311293</v>
      </c>
      <c r="X54" s="38">
        <v>1924322</v>
      </c>
      <c r="Y54" s="38">
        <v>2164863</v>
      </c>
      <c r="Z54" s="38">
        <v>4538654</v>
      </c>
      <c r="AA54" s="38">
        <v>2474130</v>
      </c>
      <c r="AB54" s="38">
        <v>2559307</v>
      </c>
      <c r="AC54" s="38">
        <v>2985859</v>
      </c>
      <c r="AD54" s="38">
        <v>2985859</v>
      </c>
      <c r="AE54" s="38">
        <v>2985859</v>
      </c>
      <c r="AF54" s="38">
        <v>2985859</v>
      </c>
      <c r="AG54" s="38">
        <v>3463780</v>
      </c>
      <c r="AH54" s="38">
        <v>2985859</v>
      </c>
      <c r="AI54" s="38">
        <v>3583029</v>
      </c>
      <c r="AJ54" s="38">
        <v>4478788</v>
      </c>
      <c r="AK54" s="38">
        <v>4478788</v>
      </c>
      <c r="AL54" s="38">
        <v>4478785</v>
      </c>
      <c r="AM54" s="38">
        <v>4478786</v>
      </c>
      <c r="AN54" s="38">
        <v>3272139</v>
      </c>
      <c r="AO54" s="38">
        <v>3272139</v>
      </c>
      <c r="AP54" s="38">
        <v>3272138</v>
      </c>
      <c r="AQ54" s="38">
        <v>6544275</v>
      </c>
      <c r="AR54" s="38">
        <v>4727221</v>
      </c>
      <c r="AS54" s="38">
        <v>4727222</v>
      </c>
      <c r="AT54" s="196">
        <v>2612048</v>
      </c>
      <c r="AU54" s="295">
        <f t="shared" si="0"/>
        <v>104383001</v>
      </c>
    </row>
    <row r="55" spans="1:47" x14ac:dyDescent="0.35">
      <c r="A55" s="83"/>
      <c r="B55" s="201"/>
      <c r="C55" s="303"/>
      <c r="D55" s="381"/>
      <c r="E55" s="366"/>
      <c r="F55" s="360"/>
      <c r="G55" s="360"/>
      <c r="H55" s="540"/>
      <c r="I55" s="540"/>
      <c r="J55" s="541"/>
      <c r="K55" s="134">
        <v>580455</v>
      </c>
      <c r="L55" s="39">
        <v>1741364</v>
      </c>
      <c r="M55" s="39">
        <v>1741364</v>
      </c>
      <c r="N55" s="39">
        <v>1741364</v>
      </c>
      <c r="O55" s="39">
        <v>1741364</v>
      </c>
      <c r="P55" s="39">
        <v>1741364</v>
      </c>
      <c r="Q55" s="39">
        <v>746299</v>
      </c>
      <c r="R55" s="39">
        <v>746299</v>
      </c>
      <c r="S55" s="39">
        <v>653012</v>
      </c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87"/>
      <c r="AU55" s="295">
        <f t="shared" si="0"/>
        <v>11432885</v>
      </c>
    </row>
    <row r="56" spans="1:47" ht="39" x14ac:dyDescent="0.35">
      <c r="A56" s="83"/>
      <c r="B56" s="201" t="s">
        <v>320</v>
      </c>
      <c r="C56" s="303" t="s">
        <v>320</v>
      </c>
      <c r="D56" s="381" t="s">
        <v>322</v>
      </c>
      <c r="E56" s="366" t="s">
        <v>96</v>
      </c>
      <c r="F56" s="360">
        <v>44816</v>
      </c>
      <c r="G56" s="360">
        <v>45912</v>
      </c>
      <c r="H56" s="540">
        <v>97907738</v>
      </c>
      <c r="I56" s="540">
        <v>97907738</v>
      </c>
      <c r="J56" s="541" t="s">
        <v>135</v>
      </c>
      <c r="K56" s="204"/>
      <c r="L56" s="38"/>
      <c r="M56" s="38"/>
      <c r="N56" s="38">
        <v>3275182</v>
      </c>
      <c r="O56" s="38">
        <v>3275182</v>
      </c>
      <c r="P56" s="38">
        <v>3275182</v>
      </c>
      <c r="Q56" s="38">
        <v>1403650</v>
      </c>
      <c r="R56" s="38">
        <v>1228193</v>
      </c>
      <c r="S56" s="38">
        <v>1228193</v>
      </c>
      <c r="T56" s="38">
        <v>1470465</v>
      </c>
      <c r="U56" s="38">
        <v>1470465</v>
      </c>
      <c r="V56" s="38">
        <v>1470465</v>
      </c>
      <c r="W56" s="38">
        <v>1307080</v>
      </c>
      <c r="X56" s="38">
        <v>1307080</v>
      </c>
      <c r="Y56" s="38">
        <v>1470465</v>
      </c>
      <c r="Z56" s="38">
        <v>3239800</v>
      </c>
      <c r="AA56" s="38">
        <v>1680532</v>
      </c>
      <c r="AB56" s="38">
        <v>1680532</v>
      </c>
      <c r="AC56" s="38">
        <v>1960620</v>
      </c>
      <c r="AD56" s="38">
        <v>1960620</v>
      </c>
      <c r="AE56" s="38">
        <v>1960620</v>
      </c>
      <c r="AF56" s="38">
        <v>2235955</v>
      </c>
      <c r="AG56" s="38">
        <v>2235955</v>
      </c>
      <c r="AH56" s="38">
        <v>2235955</v>
      </c>
      <c r="AI56" s="38">
        <v>2683146</v>
      </c>
      <c r="AJ56" s="38">
        <v>3353931</v>
      </c>
      <c r="AK56" s="38">
        <v>3353931</v>
      </c>
      <c r="AL56" s="38">
        <v>6576475</v>
      </c>
      <c r="AM56" s="38">
        <v>3353931</v>
      </c>
      <c r="AN56" s="38">
        <v>3353931</v>
      </c>
      <c r="AO56" s="38">
        <v>3353931</v>
      </c>
      <c r="AP56" s="38">
        <v>3353931</v>
      </c>
      <c r="AQ56" s="38">
        <v>6707863</v>
      </c>
      <c r="AR56" s="38">
        <v>4912772</v>
      </c>
      <c r="AS56" s="38">
        <v>13075319</v>
      </c>
      <c r="AT56" s="196">
        <v>2456386</v>
      </c>
      <c r="AU56" s="295">
        <f t="shared" si="0"/>
        <v>97907738</v>
      </c>
    </row>
    <row r="57" spans="1:47" x14ac:dyDescent="0.35">
      <c r="A57" s="83"/>
      <c r="B57" s="201"/>
      <c r="C57" s="303"/>
      <c r="D57" s="381"/>
      <c r="E57" s="366"/>
      <c r="F57" s="360"/>
      <c r="G57" s="360"/>
      <c r="H57" s="540"/>
      <c r="I57" s="540"/>
      <c r="J57" s="541"/>
      <c r="K57" s="134"/>
      <c r="L57" s="39"/>
      <c r="M57" s="39"/>
      <c r="N57" s="39">
        <v>11790655</v>
      </c>
      <c r="O57" s="39">
        <v>3275182</v>
      </c>
      <c r="P57" s="39">
        <v>3275182</v>
      </c>
      <c r="Q57" s="39">
        <v>1403649</v>
      </c>
      <c r="R57" s="39">
        <v>1228193</v>
      </c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87"/>
      <c r="AU57" s="295">
        <f t="shared" si="0"/>
        <v>20972861</v>
      </c>
    </row>
    <row r="58" spans="1:47" ht="39" x14ac:dyDescent="0.35">
      <c r="A58" s="83"/>
      <c r="B58" s="201" t="s">
        <v>320</v>
      </c>
      <c r="C58" s="303" t="s">
        <v>320</v>
      </c>
      <c r="D58" s="381" t="s">
        <v>323</v>
      </c>
      <c r="E58" s="366" t="s">
        <v>96</v>
      </c>
      <c r="F58" s="360">
        <v>44816</v>
      </c>
      <c r="G58" s="360">
        <v>45912</v>
      </c>
      <c r="H58" s="540">
        <v>79321157</v>
      </c>
      <c r="I58" s="540">
        <v>79321157</v>
      </c>
      <c r="J58" s="541" t="s">
        <v>135</v>
      </c>
      <c r="K58" s="204">
        <v>2648802</v>
      </c>
      <c r="L58" s="38">
        <v>2648802</v>
      </c>
      <c r="M58" s="38">
        <v>2648802</v>
      </c>
      <c r="N58" s="38">
        <v>2648802</v>
      </c>
      <c r="O58" s="38">
        <v>3151525</v>
      </c>
      <c r="P58" s="38">
        <v>3151525</v>
      </c>
      <c r="Q58" s="38">
        <v>1350654</v>
      </c>
      <c r="R58" s="38">
        <v>1181821</v>
      </c>
      <c r="S58" s="38">
        <v>1181821</v>
      </c>
      <c r="T58" s="38">
        <v>1181821</v>
      </c>
      <c r="U58" s="38">
        <v>1181821</v>
      </c>
      <c r="V58" s="38">
        <v>1181821</v>
      </c>
      <c r="W58" s="38">
        <v>1050509</v>
      </c>
      <c r="X58" s="38">
        <v>1050509</v>
      </c>
      <c r="Y58" s="38">
        <v>1181821</v>
      </c>
      <c r="Z58" s="38">
        <v>1181821</v>
      </c>
      <c r="AA58" s="38">
        <v>1135200</v>
      </c>
      <c r="AB58" s="38">
        <v>1350654</v>
      </c>
      <c r="AC58" s="38">
        <v>1575763</v>
      </c>
      <c r="AD58" s="38">
        <v>1575763</v>
      </c>
      <c r="AE58" s="38">
        <v>1575763</v>
      </c>
      <c r="AF58" s="38">
        <v>1575763</v>
      </c>
      <c r="AG58" s="38">
        <v>1890914</v>
      </c>
      <c r="AH58" s="38">
        <v>1575764</v>
      </c>
      <c r="AI58" s="38">
        <v>1890914</v>
      </c>
      <c r="AJ58" s="38">
        <v>2363643</v>
      </c>
      <c r="AK58" s="38">
        <v>2363643</v>
      </c>
      <c r="AL58" s="38">
        <v>1575763</v>
      </c>
      <c r="AM58" s="38">
        <v>1986602</v>
      </c>
      <c r="AN58" s="38">
        <v>2363643</v>
      </c>
      <c r="AO58" s="38">
        <v>2363643</v>
      </c>
      <c r="AP58" s="38">
        <v>2363643</v>
      </c>
      <c r="AQ58" s="38">
        <v>4727287</v>
      </c>
      <c r="AR58" s="38">
        <v>4727287</v>
      </c>
      <c r="AS58" s="38">
        <v>4727287</v>
      </c>
      <c r="AT58" s="196">
        <v>6989541</v>
      </c>
      <c r="AU58" s="295">
        <f t="shared" si="0"/>
        <v>79321157</v>
      </c>
    </row>
    <row r="59" spans="1:47" x14ac:dyDescent="0.35">
      <c r="A59" s="83"/>
      <c r="B59" s="201"/>
      <c r="C59" s="303"/>
      <c r="D59" s="381"/>
      <c r="E59" s="366"/>
      <c r="F59" s="360"/>
      <c r="G59" s="360"/>
      <c r="H59" s="540"/>
      <c r="I59" s="540"/>
      <c r="J59" s="541"/>
      <c r="K59" s="134"/>
      <c r="L59" s="39"/>
      <c r="M59" s="39">
        <v>5297604</v>
      </c>
      <c r="N59" s="39">
        <f>2648802+1589281</f>
        <v>4238083</v>
      </c>
      <c r="O59" s="39">
        <v>2648802</v>
      </c>
      <c r="P59" s="39">
        <v>2648802</v>
      </c>
      <c r="Q59" s="39">
        <v>1283325</v>
      </c>
      <c r="R59" s="39">
        <v>1252517</v>
      </c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87"/>
      <c r="AU59" s="295">
        <f t="shared" si="0"/>
        <v>17369133</v>
      </c>
    </row>
    <row r="60" spans="1:47" ht="52" customHeight="1" x14ac:dyDescent="0.35">
      <c r="A60" s="83"/>
      <c r="B60" s="201" t="s">
        <v>324</v>
      </c>
      <c r="C60" s="303" t="s">
        <v>324</v>
      </c>
      <c r="D60" s="381" t="s">
        <v>325</v>
      </c>
      <c r="E60" s="366" t="s">
        <v>96</v>
      </c>
      <c r="F60" s="360">
        <v>45108</v>
      </c>
      <c r="G60" s="360">
        <v>45912</v>
      </c>
      <c r="H60" s="540">
        <v>42348396</v>
      </c>
      <c r="I60" s="540">
        <v>42348396</v>
      </c>
      <c r="J60" s="541" t="s">
        <v>97</v>
      </c>
      <c r="K60" s="204"/>
      <c r="L60" s="38"/>
      <c r="M60" s="38"/>
      <c r="N60" s="38"/>
      <c r="O60" s="38"/>
      <c r="P60" s="38"/>
      <c r="Q60" s="38"/>
      <c r="R60" s="38"/>
      <c r="S60" s="38"/>
      <c r="T60" s="38"/>
      <c r="U60" s="38">
        <v>790574</v>
      </c>
      <c r="V60" s="38">
        <v>790574</v>
      </c>
      <c r="W60" s="38">
        <v>1080450</v>
      </c>
      <c r="X60" s="38">
        <v>790574</v>
      </c>
      <c r="Y60" s="38">
        <v>790574</v>
      </c>
      <c r="Z60" s="38">
        <v>790574</v>
      </c>
      <c r="AA60" s="38">
        <v>790574</v>
      </c>
      <c r="AB60" s="38">
        <v>790574</v>
      </c>
      <c r="AC60" s="38">
        <v>790574</v>
      </c>
      <c r="AD60" s="38">
        <v>790574</v>
      </c>
      <c r="AE60" s="38">
        <v>790574</v>
      </c>
      <c r="AF60" s="38">
        <v>790574</v>
      </c>
      <c r="AG60" s="38">
        <v>1054098</v>
      </c>
      <c r="AH60" s="38">
        <v>1054098</v>
      </c>
      <c r="AI60" s="38">
        <v>1581147</v>
      </c>
      <c r="AJ60" s="38">
        <v>1581147</v>
      </c>
      <c r="AK60" s="38">
        <v>1581147</v>
      </c>
      <c r="AL60" s="38">
        <v>1581147</v>
      </c>
      <c r="AM60" s="38">
        <v>1581147</v>
      </c>
      <c r="AN60" s="38">
        <v>1581147</v>
      </c>
      <c r="AO60" s="38">
        <v>3162294</v>
      </c>
      <c r="AP60" s="38">
        <v>3162294</v>
      </c>
      <c r="AQ60" s="38">
        <v>3162295</v>
      </c>
      <c r="AR60" s="38">
        <v>3162295</v>
      </c>
      <c r="AS60" s="38">
        <v>3162295</v>
      </c>
      <c r="AT60" s="196">
        <v>5165081</v>
      </c>
      <c r="AU60" s="295">
        <f t="shared" si="0"/>
        <v>42348396</v>
      </c>
    </row>
    <row r="61" spans="1:47" x14ac:dyDescent="0.35">
      <c r="A61" s="83"/>
      <c r="B61" s="201"/>
      <c r="C61" s="303"/>
      <c r="D61" s="381"/>
      <c r="E61" s="366"/>
      <c r="F61" s="360"/>
      <c r="G61" s="360"/>
      <c r="H61" s="540"/>
      <c r="I61" s="540"/>
      <c r="J61" s="541"/>
      <c r="K61" s="13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87"/>
      <c r="AU61" s="295">
        <f t="shared" si="0"/>
        <v>0</v>
      </c>
    </row>
    <row r="62" spans="1:47" ht="39" customHeight="1" x14ac:dyDescent="0.35">
      <c r="A62" s="83"/>
      <c r="B62" s="201" t="s">
        <v>326</v>
      </c>
      <c r="C62" s="303" t="s">
        <v>326</v>
      </c>
      <c r="D62" s="381" t="s">
        <v>327</v>
      </c>
      <c r="E62" s="366" t="s">
        <v>96</v>
      </c>
      <c r="F62" s="360">
        <v>44816</v>
      </c>
      <c r="G62" s="360">
        <v>45473</v>
      </c>
      <c r="H62" s="540">
        <v>40128047</v>
      </c>
      <c r="I62" s="540">
        <v>40128047</v>
      </c>
      <c r="J62" s="541" t="s">
        <v>97</v>
      </c>
      <c r="K62" s="204">
        <v>1335191</v>
      </c>
      <c r="L62" s="38">
        <v>2108195</v>
      </c>
      <c r="M62" s="38">
        <v>2108195</v>
      </c>
      <c r="N62" s="38">
        <v>2108195</v>
      </c>
      <c r="O62" s="38">
        <v>2108195</v>
      </c>
      <c r="P62" s="38">
        <v>2108195</v>
      </c>
      <c r="Q62" s="38">
        <v>1581146</v>
      </c>
      <c r="R62" s="38">
        <v>1581146</v>
      </c>
      <c r="S62" s="38">
        <v>1581146</v>
      </c>
      <c r="T62" s="38">
        <v>1581146</v>
      </c>
      <c r="U62" s="38">
        <v>1581146</v>
      </c>
      <c r="V62" s="38">
        <v>1581146</v>
      </c>
      <c r="W62" s="38">
        <v>2160900</v>
      </c>
      <c r="X62" s="38">
        <v>1581146</v>
      </c>
      <c r="Y62" s="38">
        <v>1581146</v>
      </c>
      <c r="Z62" s="38">
        <v>3954937</v>
      </c>
      <c r="AA62" s="38">
        <v>1581146</v>
      </c>
      <c r="AB62" s="38">
        <v>1581146</v>
      </c>
      <c r="AC62" s="38">
        <v>1581146</v>
      </c>
      <c r="AD62" s="38">
        <v>1581146</v>
      </c>
      <c r="AE62" s="38">
        <v>1581146</v>
      </c>
      <c r="AF62" s="38">
        <v>1581146</v>
      </c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196"/>
      <c r="AU62" s="295">
        <f t="shared" si="0"/>
        <v>40128047</v>
      </c>
    </row>
    <row r="63" spans="1:47" x14ac:dyDescent="0.35">
      <c r="A63" s="83"/>
      <c r="B63" s="201"/>
      <c r="C63" s="303"/>
      <c r="D63" s="381"/>
      <c r="E63" s="366"/>
      <c r="F63" s="360"/>
      <c r="G63" s="360"/>
      <c r="H63" s="540"/>
      <c r="I63" s="540"/>
      <c r="J63" s="541"/>
      <c r="K63" s="134">
        <v>1335191</v>
      </c>
      <c r="L63" s="39">
        <v>2108195</v>
      </c>
      <c r="M63" s="39">
        <v>2108195</v>
      </c>
      <c r="N63" s="39">
        <v>2108195</v>
      </c>
      <c r="O63" s="39">
        <v>2108195</v>
      </c>
      <c r="P63" s="39">
        <v>2108195</v>
      </c>
      <c r="Q63" s="39">
        <v>1581146</v>
      </c>
      <c r="R63" s="39">
        <v>1581146</v>
      </c>
      <c r="S63" s="39">
        <v>1581146</v>
      </c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87"/>
      <c r="AU63" s="295">
        <f t="shared" si="0"/>
        <v>16619604</v>
      </c>
    </row>
    <row r="64" spans="1:47" ht="39" customHeight="1" x14ac:dyDescent="0.35">
      <c r="A64" s="83"/>
      <c r="B64" s="201" t="s">
        <v>326</v>
      </c>
      <c r="C64" s="303" t="s">
        <v>326</v>
      </c>
      <c r="D64" s="381" t="s">
        <v>328</v>
      </c>
      <c r="E64" s="366" t="s">
        <v>96</v>
      </c>
      <c r="F64" s="360">
        <v>44816</v>
      </c>
      <c r="G64" s="360">
        <v>45473</v>
      </c>
      <c r="H64" s="540">
        <v>3217868</v>
      </c>
      <c r="I64" s="540">
        <v>3217868</v>
      </c>
      <c r="J64" s="541" t="s">
        <v>135</v>
      </c>
      <c r="K64" s="204">
        <v>178770</v>
      </c>
      <c r="L64" s="38">
        <v>178770</v>
      </c>
      <c r="M64" s="38">
        <v>178770</v>
      </c>
      <c r="N64" s="38">
        <v>178770</v>
      </c>
      <c r="O64" s="38">
        <v>178770</v>
      </c>
      <c r="P64" s="38">
        <v>178770</v>
      </c>
      <c r="Q64" s="38">
        <v>134078</v>
      </c>
      <c r="R64" s="38">
        <v>134078</v>
      </c>
      <c r="S64" s="38">
        <v>134078</v>
      </c>
      <c r="T64" s="38">
        <v>134078</v>
      </c>
      <c r="U64" s="38">
        <v>134078</v>
      </c>
      <c r="V64" s="38">
        <v>134078</v>
      </c>
      <c r="W64" s="38">
        <v>134078</v>
      </c>
      <c r="X64" s="38">
        <v>134078</v>
      </c>
      <c r="Y64" s="38">
        <v>134078</v>
      </c>
      <c r="Z64" s="38">
        <v>134078</v>
      </c>
      <c r="AA64" s="38">
        <v>134078</v>
      </c>
      <c r="AB64" s="38">
        <v>134078</v>
      </c>
      <c r="AC64" s="38">
        <v>134078</v>
      </c>
      <c r="AD64" s="38">
        <v>134078</v>
      </c>
      <c r="AE64" s="38">
        <v>134078</v>
      </c>
      <c r="AF64" s="38">
        <v>134078</v>
      </c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196"/>
      <c r="AU64" s="295">
        <f t="shared" si="0"/>
        <v>3217868</v>
      </c>
    </row>
    <row r="65" spans="1:47" x14ac:dyDescent="0.35">
      <c r="A65" s="83"/>
      <c r="B65" s="201"/>
      <c r="C65" s="303"/>
      <c r="D65" s="381"/>
      <c r="E65" s="366"/>
      <c r="F65" s="360"/>
      <c r="G65" s="360"/>
      <c r="H65" s="540"/>
      <c r="I65" s="540"/>
      <c r="J65" s="541"/>
      <c r="K65" s="134"/>
      <c r="L65" s="39"/>
      <c r="M65" s="39">
        <v>357540</v>
      </c>
      <c r="N65" s="39">
        <f>178770+107262</f>
        <v>286032</v>
      </c>
      <c r="O65" s="39">
        <v>178770</v>
      </c>
      <c r="P65" s="39">
        <v>178770</v>
      </c>
      <c r="Q65" s="39">
        <v>134078</v>
      </c>
      <c r="R65" s="39">
        <v>134078</v>
      </c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87"/>
      <c r="AU65" s="295">
        <f t="shared" si="0"/>
        <v>1269268</v>
      </c>
    </row>
    <row r="66" spans="1:47" ht="39" x14ac:dyDescent="0.35">
      <c r="A66" s="83"/>
      <c r="B66" s="201" t="s">
        <v>329</v>
      </c>
      <c r="C66" s="303" t="s">
        <v>329</v>
      </c>
      <c r="D66" s="381" t="s">
        <v>330</v>
      </c>
      <c r="E66" s="366" t="s">
        <v>96</v>
      </c>
      <c r="F66" s="360">
        <v>44816</v>
      </c>
      <c r="G66" s="360">
        <v>45869</v>
      </c>
      <c r="H66" s="540">
        <v>342922681</v>
      </c>
      <c r="I66" s="540">
        <v>342922681</v>
      </c>
      <c r="J66" s="541" t="s">
        <v>97</v>
      </c>
      <c r="K66" s="204">
        <v>580455</v>
      </c>
      <c r="L66" s="38">
        <v>1741364</v>
      </c>
      <c r="M66" s="38">
        <v>1741364</v>
      </c>
      <c r="N66" s="38">
        <v>1741364</v>
      </c>
      <c r="O66" s="38">
        <v>1741364</v>
      </c>
      <c r="P66" s="38">
        <v>3151482</v>
      </c>
      <c r="Q66" s="38">
        <v>1350635</v>
      </c>
      <c r="R66" s="38">
        <v>4000658</v>
      </c>
      <c r="S66" s="38">
        <v>1181806</v>
      </c>
      <c r="T66" s="38">
        <v>1636069</v>
      </c>
      <c r="U66" s="38">
        <v>298142154</v>
      </c>
      <c r="V66" s="38">
        <v>2164863</v>
      </c>
      <c r="W66" s="38">
        <v>2311292</v>
      </c>
      <c r="X66" s="38">
        <v>1924323</v>
      </c>
      <c r="Y66" s="38"/>
      <c r="Z66" s="38">
        <v>5945220</v>
      </c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>
        <v>4166667</v>
      </c>
      <c r="AM66" s="38"/>
      <c r="AN66" s="38"/>
      <c r="AO66" s="38"/>
      <c r="AP66" s="38"/>
      <c r="AQ66" s="38"/>
      <c r="AR66" s="38"/>
      <c r="AS66" s="38">
        <v>9401601</v>
      </c>
      <c r="AT66" s="196"/>
      <c r="AU66" s="295">
        <f t="shared" si="0"/>
        <v>342922681</v>
      </c>
    </row>
    <row r="67" spans="1:47" x14ac:dyDescent="0.35">
      <c r="A67" s="83"/>
      <c r="B67" s="201"/>
      <c r="C67" s="303"/>
      <c r="D67" s="381"/>
      <c r="E67" s="366"/>
      <c r="F67" s="360"/>
      <c r="G67" s="360"/>
      <c r="H67" s="540"/>
      <c r="I67" s="540"/>
      <c r="J67" s="541"/>
      <c r="K67" s="134">
        <v>580455</v>
      </c>
      <c r="L67" s="39">
        <v>1741364</v>
      </c>
      <c r="M67" s="39">
        <v>1741364</v>
      </c>
      <c r="N67" s="39">
        <v>1741364</v>
      </c>
      <c r="O67" s="39">
        <v>1741364</v>
      </c>
      <c r="P67" s="39">
        <v>1741364</v>
      </c>
      <c r="Q67" s="39">
        <v>746299</v>
      </c>
      <c r="R67" s="39">
        <v>832013</v>
      </c>
      <c r="S67" s="39">
        <v>653012</v>
      </c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87"/>
      <c r="AU67" s="295">
        <f t="shared" si="0"/>
        <v>11518599</v>
      </c>
    </row>
    <row r="68" spans="1:47" ht="39" x14ac:dyDescent="0.35">
      <c r="A68" s="83"/>
      <c r="B68" s="201" t="s">
        <v>329</v>
      </c>
      <c r="C68" s="303" t="s">
        <v>329</v>
      </c>
      <c r="D68" s="381" t="s">
        <v>331</v>
      </c>
      <c r="E68" s="366" t="s">
        <v>96</v>
      </c>
      <c r="F68" s="360">
        <v>44816</v>
      </c>
      <c r="G68" s="360">
        <v>45869</v>
      </c>
      <c r="H68" s="540">
        <v>43602725</v>
      </c>
      <c r="I68" s="540">
        <v>43602725</v>
      </c>
      <c r="J68" s="541" t="s">
        <v>135</v>
      </c>
      <c r="K68" s="204"/>
      <c r="L68" s="38"/>
      <c r="M68" s="38"/>
      <c r="N68" s="38">
        <v>3275181</v>
      </c>
      <c r="O68" s="38">
        <v>3275181</v>
      </c>
      <c r="P68" s="38">
        <v>3275181</v>
      </c>
      <c r="Q68" s="38">
        <v>1403649</v>
      </c>
      <c r="R68" s="38">
        <v>1228193</v>
      </c>
      <c r="S68" s="38">
        <v>1228193</v>
      </c>
      <c r="T68" s="38">
        <v>1470465</v>
      </c>
      <c r="U68" s="38">
        <v>1470465</v>
      </c>
      <c r="V68" s="38">
        <v>1470465</v>
      </c>
      <c r="W68" s="38">
        <v>1307080</v>
      </c>
      <c r="X68" s="38">
        <v>1307080</v>
      </c>
      <c r="Y68" s="38"/>
      <c r="Z68" s="38">
        <v>3239800</v>
      </c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>
        <v>6576476</v>
      </c>
      <c r="AM68" s="38"/>
      <c r="AN68" s="38"/>
      <c r="AO68" s="38"/>
      <c r="AP68" s="38"/>
      <c r="AQ68" s="38"/>
      <c r="AR68" s="38"/>
      <c r="AS68" s="38">
        <v>13075316</v>
      </c>
      <c r="AT68" s="196"/>
      <c r="AU68" s="295">
        <f t="shared" si="0"/>
        <v>43602725</v>
      </c>
    </row>
    <row r="69" spans="1:47" x14ac:dyDescent="0.35">
      <c r="A69" s="83"/>
      <c r="B69" s="201"/>
      <c r="C69" s="303"/>
      <c r="D69" s="381"/>
      <c r="E69" s="366"/>
      <c r="F69" s="360"/>
      <c r="G69" s="360"/>
      <c r="H69" s="540"/>
      <c r="I69" s="540"/>
      <c r="J69" s="541"/>
      <c r="K69" s="134"/>
      <c r="L69" s="39"/>
      <c r="M69" s="39"/>
      <c r="N69" s="39">
        <v>11790652</v>
      </c>
      <c r="O69" s="39">
        <v>3275181</v>
      </c>
      <c r="P69" s="39">
        <v>3275181</v>
      </c>
      <c r="Q69" s="39">
        <v>1403649</v>
      </c>
      <c r="R69" s="39">
        <v>1228193</v>
      </c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87"/>
      <c r="AU69" s="295">
        <f t="shared" si="0"/>
        <v>20972856</v>
      </c>
    </row>
    <row r="70" spans="1:47" ht="39" x14ac:dyDescent="0.35">
      <c r="A70" s="83"/>
      <c r="B70" s="201" t="s">
        <v>329</v>
      </c>
      <c r="C70" s="303" t="s">
        <v>329</v>
      </c>
      <c r="D70" s="381" t="s">
        <v>332</v>
      </c>
      <c r="E70" s="366" t="s">
        <v>96</v>
      </c>
      <c r="F70" s="360">
        <v>44816</v>
      </c>
      <c r="G70" s="360">
        <v>45230</v>
      </c>
      <c r="H70" s="540">
        <v>26259031</v>
      </c>
      <c r="I70" s="540">
        <v>26259031</v>
      </c>
      <c r="J70" s="541" t="s">
        <v>135</v>
      </c>
      <c r="K70" s="204">
        <v>2648801</v>
      </c>
      <c r="L70" s="38">
        <v>2648801</v>
      </c>
      <c r="M70" s="38">
        <v>2648801</v>
      </c>
      <c r="N70" s="38">
        <v>2648801</v>
      </c>
      <c r="O70" s="38">
        <v>3151524</v>
      </c>
      <c r="P70" s="38">
        <v>3151524</v>
      </c>
      <c r="Q70" s="38">
        <v>1350653</v>
      </c>
      <c r="R70" s="38">
        <v>1181822</v>
      </c>
      <c r="S70" s="38">
        <v>1181822</v>
      </c>
      <c r="T70" s="38">
        <v>1181822</v>
      </c>
      <c r="U70" s="38">
        <v>1181822</v>
      </c>
      <c r="V70" s="38">
        <v>1181822</v>
      </c>
      <c r="W70" s="38">
        <v>1050508</v>
      </c>
      <c r="X70" s="38">
        <v>1050508</v>
      </c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196"/>
      <c r="AU70" s="295">
        <f t="shared" si="0"/>
        <v>26259031</v>
      </c>
    </row>
    <row r="71" spans="1:47" x14ac:dyDescent="0.35">
      <c r="A71" s="83"/>
      <c r="B71" s="201"/>
      <c r="C71" s="303"/>
      <c r="D71" s="381"/>
      <c r="E71" s="366"/>
      <c r="F71" s="360"/>
      <c r="G71" s="360"/>
      <c r="H71" s="540"/>
      <c r="I71" s="540"/>
      <c r="J71" s="541"/>
      <c r="K71" s="134"/>
      <c r="L71" s="39"/>
      <c r="M71" s="39">
        <v>5297602</v>
      </c>
      <c r="N71" s="39">
        <f>2648801+1589281</f>
        <v>4238082</v>
      </c>
      <c r="O71" s="39">
        <v>2648801</v>
      </c>
      <c r="P71" s="39">
        <v>2648801</v>
      </c>
      <c r="Q71" s="39">
        <v>1283324</v>
      </c>
      <c r="R71" s="39">
        <v>1252517</v>
      </c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87"/>
      <c r="AU71" s="295">
        <f t="shared" si="0"/>
        <v>17369127</v>
      </c>
    </row>
    <row r="72" spans="1:47" ht="26" x14ac:dyDescent="0.35">
      <c r="A72" s="83"/>
      <c r="B72" s="201" t="s">
        <v>333</v>
      </c>
      <c r="C72" s="303" t="s">
        <v>333</v>
      </c>
      <c r="D72" s="381" t="s">
        <v>334</v>
      </c>
      <c r="E72" s="366" t="s">
        <v>96</v>
      </c>
      <c r="F72" s="360">
        <v>44986</v>
      </c>
      <c r="G72" s="360">
        <v>45869</v>
      </c>
      <c r="H72" s="540">
        <v>353531882</v>
      </c>
      <c r="I72" s="540">
        <v>353531882</v>
      </c>
      <c r="J72" s="541" t="s">
        <v>97</v>
      </c>
      <c r="K72" s="204"/>
      <c r="L72" s="38"/>
      <c r="M72" s="38"/>
      <c r="N72" s="38"/>
      <c r="O72" s="38"/>
      <c r="P72" s="38"/>
      <c r="Q72" s="38">
        <v>1350635</v>
      </c>
      <c r="R72" s="38">
        <v>4000658</v>
      </c>
      <c r="S72" s="38">
        <v>1181806</v>
      </c>
      <c r="T72" s="38">
        <v>1636069</v>
      </c>
      <c r="U72" s="38">
        <v>298142154</v>
      </c>
      <c r="V72" s="38">
        <v>2164863</v>
      </c>
      <c r="W72" s="38">
        <v>2311292</v>
      </c>
      <c r="X72" s="38">
        <v>1924323</v>
      </c>
      <c r="Y72" s="38">
        <v>2164863</v>
      </c>
      <c r="Z72" s="38">
        <v>8110083</v>
      </c>
      <c r="AA72" s="38">
        <v>2474129</v>
      </c>
      <c r="AB72" s="38">
        <v>2559307</v>
      </c>
      <c r="AC72" s="38">
        <v>2985858</v>
      </c>
      <c r="AD72" s="38">
        <v>2985858</v>
      </c>
      <c r="AE72" s="38">
        <v>2985858</v>
      </c>
      <c r="AF72" s="38">
        <v>2985858</v>
      </c>
      <c r="AG72" s="38"/>
      <c r="AH72" s="38"/>
      <c r="AI72" s="38"/>
      <c r="AJ72" s="38"/>
      <c r="AK72" s="38"/>
      <c r="AL72" s="38">
        <v>4166667</v>
      </c>
      <c r="AM72" s="38"/>
      <c r="AN72" s="38"/>
      <c r="AO72" s="38"/>
      <c r="AP72" s="38"/>
      <c r="AQ72" s="38"/>
      <c r="AR72" s="38"/>
      <c r="AS72" s="38">
        <v>9401601</v>
      </c>
      <c r="AT72" s="196"/>
      <c r="AU72" s="295">
        <f t="shared" si="0"/>
        <v>353531882</v>
      </c>
    </row>
    <row r="73" spans="1:47" x14ac:dyDescent="0.35">
      <c r="A73" s="83"/>
      <c r="B73" s="201"/>
      <c r="C73" s="303"/>
      <c r="D73" s="381"/>
      <c r="E73" s="366"/>
      <c r="F73" s="360"/>
      <c r="G73" s="360"/>
      <c r="H73" s="540"/>
      <c r="I73" s="540"/>
      <c r="J73" s="541"/>
      <c r="K73" s="134"/>
      <c r="L73" s="39"/>
      <c r="M73" s="39"/>
      <c r="N73" s="39"/>
      <c r="O73" s="39"/>
      <c r="P73" s="39"/>
      <c r="Q73" s="39">
        <v>746299</v>
      </c>
      <c r="R73" s="39">
        <v>832013</v>
      </c>
      <c r="S73" s="39">
        <v>653012</v>
      </c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87"/>
      <c r="AU73" s="295">
        <f t="shared" si="0"/>
        <v>2231324</v>
      </c>
    </row>
    <row r="74" spans="1:47" ht="26" x14ac:dyDescent="0.35">
      <c r="A74" s="83"/>
      <c r="B74" s="201" t="s">
        <v>333</v>
      </c>
      <c r="C74" s="303" t="s">
        <v>333</v>
      </c>
      <c r="D74" s="381" t="s">
        <v>335</v>
      </c>
      <c r="E74" s="366" t="s">
        <v>96</v>
      </c>
      <c r="F74" s="360">
        <v>44986</v>
      </c>
      <c r="G74" s="360">
        <v>45869</v>
      </c>
      <c r="H74" s="540">
        <v>39136934</v>
      </c>
      <c r="I74" s="540">
        <v>39136934</v>
      </c>
      <c r="J74" s="541" t="s">
        <v>135</v>
      </c>
      <c r="K74" s="204"/>
      <c r="L74" s="38"/>
      <c r="M74" s="38"/>
      <c r="N74" s="38"/>
      <c r="O74" s="38"/>
      <c r="P74" s="38"/>
      <c r="Q74" s="38">
        <v>1403649</v>
      </c>
      <c r="R74" s="38">
        <v>1228193</v>
      </c>
      <c r="S74" s="38">
        <v>1228193</v>
      </c>
      <c r="T74" s="38">
        <v>1470465</v>
      </c>
      <c r="U74" s="38">
        <v>1470465</v>
      </c>
      <c r="V74" s="38">
        <v>1470465</v>
      </c>
      <c r="W74" s="38">
        <v>1307080</v>
      </c>
      <c r="X74" s="38">
        <v>1307080</v>
      </c>
      <c r="Y74" s="38">
        <v>1470465</v>
      </c>
      <c r="Z74" s="38">
        <v>3239800</v>
      </c>
      <c r="AA74" s="38">
        <v>1680531</v>
      </c>
      <c r="AB74" s="38">
        <v>1680531</v>
      </c>
      <c r="AC74" s="38">
        <v>1960620</v>
      </c>
      <c r="AD74" s="38">
        <v>1960620</v>
      </c>
      <c r="AE74" s="38">
        <v>1960620</v>
      </c>
      <c r="AF74" s="38">
        <v>2235954</v>
      </c>
      <c r="AG74" s="38">
        <v>2235954</v>
      </c>
      <c r="AH74" s="38"/>
      <c r="AI74" s="38"/>
      <c r="AJ74" s="38"/>
      <c r="AK74" s="38"/>
      <c r="AL74" s="38">
        <v>6576476</v>
      </c>
      <c r="AM74" s="38"/>
      <c r="AN74" s="38"/>
      <c r="AO74" s="38"/>
      <c r="AP74" s="38"/>
      <c r="AQ74" s="38"/>
      <c r="AR74" s="38"/>
      <c r="AS74" s="38">
        <v>3249773</v>
      </c>
      <c r="AT74" s="196"/>
      <c r="AU74" s="295">
        <f t="shared" si="0"/>
        <v>39136934</v>
      </c>
    </row>
    <row r="75" spans="1:47" x14ac:dyDescent="0.35">
      <c r="A75" s="83"/>
      <c r="B75" s="201"/>
      <c r="C75" s="303"/>
      <c r="D75" s="381"/>
      <c r="E75" s="366"/>
      <c r="F75" s="360"/>
      <c r="G75" s="360"/>
      <c r="H75" s="540"/>
      <c r="I75" s="540"/>
      <c r="J75" s="541"/>
      <c r="K75" s="134"/>
      <c r="L75" s="39"/>
      <c r="M75" s="39"/>
      <c r="N75" s="39"/>
      <c r="O75" s="39"/>
      <c r="P75" s="39"/>
      <c r="Q75" s="39">
        <v>1403649</v>
      </c>
      <c r="R75" s="39">
        <v>1228193</v>
      </c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87"/>
      <c r="AU75" s="295">
        <f t="shared" si="0"/>
        <v>2631842</v>
      </c>
    </row>
    <row r="76" spans="1:47" ht="26" x14ac:dyDescent="0.35">
      <c r="A76" s="83"/>
      <c r="B76" s="201" t="s">
        <v>333</v>
      </c>
      <c r="C76" s="303" t="s">
        <v>333</v>
      </c>
      <c r="D76" s="381" t="s">
        <v>336</v>
      </c>
      <c r="E76" s="366" t="s">
        <v>96</v>
      </c>
      <c r="F76" s="360">
        <v>44986</v>
      </c>
      <c r="G76" s="360">
        <v>45473</v>
      </c>
      <c r="H76" s="540">
        <v>20513325</v>
      </c>
      <c r="I76" s="540">
        <v>20513325</v>
      </c>
      <c r="J76" s="541" t="s">
        <v>135</v>
      </c>
      <c r="K76" s="204"/>
      <c r="L76" s="38"/>
      <c r="M76" s="38"/>
      <c r="N76" s="38"/>
      <c r="O76" s="38"/>
      <c r="P76" s="38"/>
      <c r="Q76" s="38">
        <v>1350653</v>
      </c>
      <c r="R76" s="38">
        <v>1181822</v>
      </c>
      <c r="S76" s="38">
        <v>1181822</v>
      </c>
      <c r="T76" s="38">
        <v>1181822</v>
      </c>
      <c r="U76" s="38">
        <v>1181822</v>
      </c>
      <c r="V76" s="38">
        <v>1181822</v>
      </c>
      <c r="W76" s="38">
        <v>1050508</v>
      </c>
      <c r="X76" s="38">
        <v>1050508</v>
      </c>
      <c r="Y76" s="38">
        <v>1181822</v>
      </c>
      <c r="Z76" s="38">
        <v>1181822</v>
      </c>
      <c r="AA76" s="38">
        <v>1135201</v>
      </c>
      <c r="AB76" s="38">
        <v>1350653</v>
      </c>
      <c r="AC76" s="38">
        <v>1575762</v>
      </c>
      <c r="AD76" s="38">
        <v>1575762</v>
      </c>
      <c r="AE76" s="38">
        <v>1575762</v>
      </c>
      <c r="AF76" s="38">
        <v>1575762</v>
      </c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196"/>
      <c r="AU76" s="295">
        <f t="shared" si="0"/>
        <v>20513325</v>
      </c>
    </row>
    <row r="77" spans="1:47" x14ac:dyDescent="0.35">
      <c r="A77" s="83"/>
      <c r="B77" s="201"/>
      <c r="C77" s="303"/>
      <c r="D77" s="381"/>
      <c r="E77" s="366"/>
      <c r="F77" s="360"/>
      <c r="G77" s="360"/>
      <c r="H77" s="540"/>
      <c r="I77" s="540"/>
      <c r="J77" s="541"/>
      <c r="K77" s="134"/>
      <c r="L77" s="39"/>
      <c r="M77" s="39"/>
      <c r="N77" s="39"/>
      <c r="O77" s="39"/>
      <c r="P77" s="39"/>
      <c r="Q77" s="39">
        <v>1283324</v>
      </c>
      <c r="R77" s="39">
        <v>1252517</v>
      </c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87"/>
      <c r="AU77" s="295">
        <f t="shared" si="0"/>
        <v>2535841</v>
      </c>
    </row>
    <row r="78" spans="1:47" ht="52" customHeight="1" x14ac:dyDescent="0.35">
      <c r="A78" s="83"/>
      <c r="B78" s="201" t="s">
        <v>337</v>
      </c>
      <c r="C78" s="303" t="s">
        <v>337</v>
      </c>
      <c r="D78" s="381" t="s">
        <v>338</v>
      </c>
      <c r="E78" s="366" t="s">
        <v>96</v>
      </c>
      <c r="F78" s="360">
        <v>45108</v>
      </c>
      <c r="G78" s="360">
        <v>45473</v>
      </c>
      <c r="H78" s="540">
        <v>9776753</v>
      </c>
      <c r="I78" s="540">
        <v>9776753</v>
      </c>
      <c r="J78" s="541" t="s">
        <v>97</v>
      </c>
      <c r="K78" s="204"/>
      <c r="L78" s="38"/>
      <c r="M78" s="38"/>
      <c r="N78" s="38"/>
      <c r="O78" s="38"/>
      <c r="P78" s="38"/>
      <c r="Q78" s="38"/>
      <c r="R78" s="38"/>
      <c r="S78" s="38"/>
      <c r="T78" s="38"/>
      <c r="U78" s="38">
        <v>790573</v>
      </c>
      <c r="V78" s="38">
        <v>790573</v>
      </c>
      <c r="W78" s="38">
        <v>1080450</v>
      </c>
      <c r="X78" s="38">
        <v>790573</v>
      </c>
      <c r="Y78" s="38">
        <v>790573</v>
      </c>
      <c r="Z78" s="38">
        <v>790573</v>
      </c>
      <c r="AA78" s="38">
        <v>790573</v>
      </c>
      <c r="AB78" s="38">
        <v>790573</v>
      </c>
      <c r="AC78" s="38">
        <v>790573</v>
      </c>
      <c r="AD78" s="38">
        <v>790573</v>
      </c>
      <c r="AE78" s="38">
        <v>790573</v>
      </c>
      <c r="AF78" s="38">
        <v>790573</v>
      </c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196"/>
      <c r="AU78" s="295">
        <f t="shared" si="0"/>
        <v>9776753</v>
      </c>
    </row>
    <row r="79" spans="1:47" x14ac:dyDescent="0.35">
      <c r="A79" s="83"/>
      <c r="B79" s="201"/>
      <c r="C79" s="303"/>
      <c r="D79" s="381"/>
      <c r="E79" s="366"/>
      <c r="F79" s="360"/>
      <c r="G79" s="360"/>
      <c r="H79" s="540"/>
      <c r="I79" s="540"/>
      <c r="J79" s="541"/>
      <c r="K79" s="134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87"/>
      <c r="AU79" s="295">
        <f t="shared" ref="AU79:AU109" si="1">SUM(K79:AT79)</f>
        <v>0</v>
      </c>
    </row>
    <row r="80" spans="1:47" ht="39" customHeight="1" x14ac:dyDescent="0.35">
      <c r="A80" s="83"/>
      <c r="B80" s="201" t="s">
        <v>339</v>
      </c>
      <c r="C80" s="303" t="s">
        <v>339</v>
      </c>
      <c r="D80" s="381" t="s">
        <v>340</v>
      </c>
      <c r="E80" s="366" t="s">
        <v>96</v>
      </c>
      <c r="F80" s="360">
        <v>44816</v>
      </c>
      <c r="G80" s="360">
        <v>45535</v>
      </c>
      <c r="H80" s="540">
        <v>44344437</v>
      </c>
      <c r="I80" s="540">
        <v>44344437</v>
      </c>
      <c r="J80" s="541" t="s">
        <v>97</v>
      </c>
      <c r="K80" s="204">
        <v>1335191</v>
      </c>
      <c r="L80" s="38">
        <v>2108195</v>
      </c>
      <c r="M80" s="38">
        <v>2108195</v>
      </c>
      <c r="N80" s="38">
        <v>2108195</v>
      </c>
      <c r="O80" s="38">
        <v>2108195</v>
      </c>
      <c r="P80" s="38">
        <v>2108195</v>
      </c>
      <c r="Q80" s="38">
        <v>1581146</v>
      </c>
      <c r="R80" s="38">
        <v>1581146</v>
      </c>
      <c r="S80" s="38">
        <v>1581146</v>
      </c>
      <c r="T80" s="38">
        <v>1581146</v>
      </c>
      <c r="U80" s="38">
        <v>1581146</v>
      </c>
      <c r="V80" s="38">
        <v>1581146</v>
      </c>
      <c r="W80" s="38">
        <v>2160900</v>
      </c>
      <c r="X80" s="38">
        <v>1581146</v>
      </c>
      <c r="Y80" s="38">
        <v>1581146</v>
      </c>
      <c r="Z80" s="38">
        <v>3954937</v>
      </c>
      <c r="AA80" s="38">
        <v>1581146</v>
      </c>
      <c r="AB80" s="38">
        <v>1581146</v>
      </c>
      <c r="AC80" s="38">
        <v>1581146</v>
      </c>
      <c r="AD80" s="38">
        <v>1581146</v>
      </c>
      <c r="AE80" s="38">
        <v>1581146</v>
      </c>
      <c r="AF80" s="38">
        <v>1581146</v>
      </c>
      <c r="AG80" s="38">
        <v>2108195</v>
      </c>
      <c r="AH80" s="38">
        <v>2108195</v>
      </c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196"/>
      <c r="AU80" s="295">
        <f t="shared" si="1"/>
        <v>44344437</v>
      </c>
    </row>
    <row r="81" spans="1:47" x14ac:dyDescent="0.35">
      <c r="A81" s="83"/>
      <c r="B81" s="201"/>
      <c r="C81" s="303"/>
      <c r="D81" s="381"/>
      <c r="E81" s="366"/>
      <c r="F81" s="360"/>
      <c r="G81" s="360"/>
      <c r="H81" s="540"/>
      <c r="I81" s="540"/>
      <c r="J81" s="541"/>
      <c r="K81" s="134">
        <v>1335191</v>
      </c>
      <c r="L81" s="39">
        <v>2108195</v>
      </c>
      <c r="M81" s="39">
        <v>2108195</v>
      </c>
      <c r="N81" s="39">
        <v>2108195</v>
      </c>
      <c r="O81" s="39">
        <v>2108195</v>
      </c>
      <c r="P81" s="39">
        <v>2108195</v>
      </c>
      <c r="Q81" s="39">
        <v>1581146</v>
      </c>
      <c r="R81" s="39">
        <v>1581146</v>
      </c>
      <c r="S81" s="39">
        <v>1581146</v>
      </c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87"/>
      <c r="AU81" s="295">
        <f t="shared" si="1"/>
        <v>16619604</v>
      </c>
    </row>
    <row r="82" spans="1:47" ht="39" customHeight="1" x14ac:dyDescent="0.35">
      <c r="A82" s="83"/>
      <c r="B82" s="201" t="s">
        <v>339</v>
      </c>
      <c r="C82" s="303" t="s">
        <v>339</v>
      </c>
      <c r="D82" s="381" t="s">
        <v>341</v>
      </c>
      <c r="E82" s="366" t="s">
        <v>96</v>
      </c>
      <c r="F82" s="360">
        <v>44816</v>
      </c>
      <c r="G82" s="360">
        <v>45535</v>
      </c>
      <c r="H82" s="540">
        <v>3575408</v>
      </c>
      <c r="I82" s="540">
        <v>3575408</v>
      </c>
      <c r="J82" s="541" t="s">
        <v>135</v>
      </c>
      <c r="K82" s="204">
        <v>178770</v>
      </c>
      <c r="L82" s="38">
        <v>178770</v>
      </c>
      <c r="M82" s="38">
        <v>178770</v>
      </c>
      <c r="N82" s="38">
        <v>178770</v>
      </c>
      <c r="O82" s="38">
        <v>178770</v>
      </c>
      <c r="P82" s="38">
        <v>178770</v>
      </c>
      <c r="Q82" s="38">
        <v>134078</v>
      </c>
      <c r="R82" s="38">
        <v>134078</v>
      </c>
      <c r="S82" s="38">
        <v>134078</v>
      </c>
      <c r="T82" s="38">
        <v>134078</v>
      </c>
      <c r="U82" s="38">
        <v>134078</v>
      </c>
      <c r="V82" s="38">
        <v>134078</v>
      </c>
      <c r="W82" s="38">
        <v>134078</v>
      </c>
      <c r="X82" s="38">
        <v>134078</v>
      </c>
      <c r="Y82" s="38">
        <v>134078</v>
      </c>
      <c r="Z82" s="38">
        <v>134078</v>
      </c>
      <c r="AA82" s="38">
        <v>134078</v>
      </c>
      <c r="AB82" s="38">
        <v>134078</v>
      </c>
      <c r="AC82" s="38">
        <v>134078</v>
      </c>
      <c r="AD82" s="38">
        <v>134078</v>
      </c>
      <c r="AE82" s="38">
        <v>134078</v>
      </c>
      <c r="AF82" s="38">
        <v>134078</v>
      </c>
      <c r="AG82" s="38">
        <v>178770</v>
      </c>
      <c r="AH82" s="38">
        <v>178770</v>
      </c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196"/>
      <c r="AU82" s="295">
        <f t="shared" si="1"/>
        <v>3575408</v>
      </c>
    </row>
    <row r="83" spans="1:47" x14ac:dyDescent="0.35">
      <c r="A83" s="83"/>
      <c r="B83" s="201"/>
      <c r="C83" s="303"/>
      <c r="D83" s="381"/>
      <c r="E83" s="366"/>
      <c r="F83" s="360"/>
      <c r="G83" s="360"/>
      <c r="H83" s="540"/>
      <c r="I83" s="540"/>
      <c r="J83" s="541"/>
      <c r="K83" s="134"/>
      <c r="L83" s="39"/>
      <c r="M83" s="39">
        <v>357540</v>
      </c>
      <c r="N83" s="39">
        <f>178770+107262</f>
        <v>286032</v>
      </c>
      <c r="O83" s="39">
        <v>178770</v>
      </c>
      <c r="P83" s="39">
        <v>178770</v>
      </c>
      <c r="Q83" s="39">
        <v>134078</v>
      </c>
      <c r="R83" s="39">
        <v>134078</v>
      </c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87"/>
      <c r="AU83" s="295">
        <f t="shared" si="1"/>
        <v>1269268</v>
      </c>
    </row>
    <row r="84" spans="1:47" ht="52" x14ac:dyDescent="0.35">
      <c r="A84" s="83"/>
      <c r="B84" s="201" t="s">
        <v>342</v>
      </c>
      <c r="C84" s="303" t="s">
        <v>342</v>
      </c>
      <c r="D84" s="381" t="s">
        <v>343</v>
      </c>
      <c r="E84" s="366" t="s">
        <v>96</v>
      </c>
      <c r="F84" s="360">
        <v>44816</v>
      </c>
      <c r="G84" s="360">
        <v>45869</v>
      </c>
      <c r="H84" s="540">
        <v>21114183</v>
      </c>
      <c r="I84" s="540">
        <v>21114183</v>
      </c>
      <c r="J84" s="541" t="s">
        <v>97</v>
      </c>
      <c r="K84" s="204">
        <v>580455</v>
      </c>
      <c r="L84" s="38">
        <v>1741365</v>
      </c>
      <c r="M84" s="38">
        <v>1741365</v>
      </c>
      <c r="N84" s="38">
        <v>1741365</v>
      </c>
      <c r="O84" s="38">
        <v>1741365</v>
      </c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>
        <v>4166667</v>
      </c>
      <c r="AM84" s="38"/>
      <c r="AN84" s="38"/>
      <c r="AO84" s="38"/>
      <c r="AP84" s="38"/>
      <c r="AQ84" s="38"/>
      <c r="AR84" s="38"/>
      <c r="AS84" s="38">
        <v>9401601</v>
      </c>
      <c r="AT84" s="196"/>
      <c r="AU84" s="295">
        <f t="shared" si="1"/>
        <v>21114183</v>
      </c>
    </row>
    <row r="85" spans="1:47" x14ac:dyDescent="0.35">
      <c r="A85" s="83"/>
      <c r="B85" s="201"/>
      <c r="C85" s="303"/>
      <c r="D85" s="381"/>
      <c r="E85" s="366"/>
      <c r="F85" s="360"/>
      <c r="G85" s="360"/>
      <c r="H85" s="540"/>
      <c r="I85" s="540"/>
      <c r="J85" s="541"/>
      <c r="K85" s="134">
        <v>580455</v>
      </c>
      <c r="L85" s="39">
        <v>1741365</v>
      </c>
      <c r="M85" s="39">
        <v>1741365</v>
      </c>
      <c r="N85" s="39">
        <v>1741365</v>
      </c>
      <c r="O85" s="39">
        <v>1741365</v>
      </c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87"/>
      <c r="AU85" s="295">
        <f t="shared" si="1"/>
        <v>7545915</v>
      </c>
    </row>
    <row r="86" spans="1:47" ht="52" x14ac:dyDescent="0.35">
      <c r="A86" s="83"/>
      <c r="B86" s="201" t="s">
        <v>342</v>
      </c>
      <c r="C86" s="303" t="s">
        <v>342</v>
      </c>
      <c r="D86" s="381" t="s">
        <v>344</v>
      </c>
      <c r="E86" s="366" t="s">
        <v>96</v>
      </c>
      <c r="F86" s="360">
        <v>44958</v>
      </c>
      <c r="G86" s="360">
        <v>45291</v>
      </c>
      <c r="H86" s="540">
        <v>326138228</v>
      </c>
      <c r="I86" s="540">
        <v>326138228</v>
      </c>
      <c r="J86" s="541" t="s">
        <v>97</v>
      </c>
      <c r="K86" s="204"/>
      <c r="L86" s="38"/>
      <c r="M86" s="38"/>
      <c r="N86" s="38"/>
      <c r="O86" s="38"/>
      <c r="P86" s="38">
        <v>3151482</v>
      </c>
      <c r="Q86" s="38">
        <v>1350635</v>
      </c>
      <c r="R86" s="38">
        <v>4000658</v>
      </c>
      <c r="S86" s="38">
        <v>1181806</v>
      </c>
      <c r="T86" s="38">
        <v>1636069</v>
      </c>
      <c r="U86" s="38">
        <v>298142154</v>
      </c>
      <c r="V86" s="38">
        <v>2164863</v>
      </c>
      <c r="W86" s="38">
        <v>2311292</v>
      </c>
      <c r="X86" s="38">
        <v>1924323</v>
      </c>
      <c r="Y86" s="38">
        <v>2164863</v>
      </c>
      <c r="Z86" s="38">
        <v>8110083</v>
      </c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196"/>
      <c r="AU86" s="295">
        <f t="shared" si="1"/>
        <v>326138228</v>
      </c>
    </row>
    <row r="87" spans="1:47" x14ac:dyDescent="0.35">
      <c r="A87" s="83"/>
      <c r="B87" s="201"/>
      <c r="C87" s="303"/>
      <c r="D87" s="381"/>
      <c r="E87" s="366"/>
      <c r="F87" s="360"/>
      <c r="G87" s="360"/>
      <c r="H87" s="540"/>
      <c r="I87" s="540"/>
      <c r="J87" s="541"/>
      <c r="K87" s="134"/>
      <c r="L87" s="39"/>
      <c r="M87" s="39"/>
      <c r="N87" s="39"/>
      <c r="O87" s="39"/>
      <c r="P87" s="39">
        <v>1741365</v>
      </c>
      <c r="Q87" s="39">
        <v>746299</v>
      </c>
      <c r="R87" s="39">
        <v>832013</v>
      </c>
      <c r="S87" s="39">
        <v>903012</v>
      </c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87"/>
      <c r="AU87" s="295">
        <f t="shared" si="1"/>
        <v>4222689</v>
      </c>
    </row>
    <row r="88" spans="1:47" ht="52" x14ac:dyDescent="0.35">
      <c r="A88" s="83"/>
      <c r="B88" s="201" t="s">
        <v>342</v>
      </c>
      <c r="C88" s="303" t="s">
        <v>342</v>
      </c>
      <c r="D88" s="381" t="s">
        <v>345</v>
      </c>
      <c r="E88" s="366" t="s">
        <v>96</v>
      </c>
      <c r="F88" s="360">
        <v>45108</v>
      </c>
      <c r="G88" s="360">
        <v>45351</v>
      </c>
      <c r="H88" s="540">
        <v>23419460</v>
      </c>
      <c r="I88" s="540">
        <v>23419460</v>
      </c>
      <c r="J88" s="541" t="s">
        <v>97</v>
      </c>
      <c r="K88" s="204"/>
      <c r="L88" s="38"/>
      <c r="M88" s="38"/>
      <c r="N88" s="38"/>
      <c r="O88" s="38"/>
      <c r="P88" s="38"/>
      <c r="Q88" s="38"/>
      <c r="R88" s="38"/>
      <c r="S88" s="38"/>
      <c r="T88" s="38"/>
      <c r="U88" s="38">
        <v>1710600</v>
      </c>
      <c r="V88" s="38">
        <v>2164863</v>
      </c>
      <c r="W88" s="38">
        <v>2311292</v>
      </c>
      <c r="X88" s="38">
        <v>1924323</v>
      </c>
      <c r="Y88" s="38">
        <v>2164863</v>
      </c>
      <c r="Z88" s="38">
        <v>8110083</v>
      </c>
      <c r="AA88" s="38">
        <v>2474129</v>
      </c>
      <c r="AB88" s="38">
        <v>2559307</v>
      </c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196"/>
      <c r="AU88" s="295">
        <f t="shared" si="1"/>
        <v>23419460</v>
      </c>
    </row>
    <row r="89" spans="1:47" x14ac:dyDescent="0.35">
      <c r="A89" s="83"/>
      <c r="B89" s="201"/>
      <c r="C89" s="303"/>
      <c r="D89" s="381"/>
      <c r="E89" s="366"/>
      <c r="F89" s="360"/>
      <c r="G89" s="360"/>
      <c r="H89" s="540"/>
      <c r="I89" s="540"/>
      <c r="J89" s="541"/>
      <c r="K89" s="134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87"/>
      <c r="AU89" s="295">
        <f t="shared" si="1"/>
        <v>0</v>
      </c>
    </row>
    <row r="90" spans="1:47" ht="52" x14ac:dyDescent="0.35">
      <c r="A90" s="83"/>
      <c r="B90" s="201" t="s">
        <v>342</v>
      </c>
      <c r="C90" s="303" t="s">
        <v>342</v>
      </c>
      <c r="D90" s="381" t="s">
        <v>346</v>
      </c>
      <c r="E90" s="366" t="s">
        <v>96</v>
      </c>
      <c r="F90" s="360">
        <v>44816</v>
      </c>
      <c r="G90" s="360">
        <v>45869</v>
      </c>
      <c r="H90" s="540">
        <v>26202154</v>
      </c>
      <c r="I90" s="540">
        <v>26202154</v>
      </c>
      <c r="J90" s="541" t="s">
        <v>135</v>
      </c>
      <c r="K90" s="204"/>
      <c r="L90" s="38"/>
      <c r="M90" s="38"/>
      <c r="N90" s="38">
        <v>3275181</v>
      </c>
      <c r="O90" s="38">
        <v>3275181</v>
      </c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>
        <v>6576476</v>
      </c>
      <c r="AM90" s="38"/>
      <c r="AN90" s="38"/>
      <c r="AO90" s="38"/>
      <c r="AP90" s="38"/>
      <c r="AQ90" s="38"/>
      <c r="AR90" s="38"/>
      <c r="AS90" s="38">
        <v>13075316</v>
      </c>
      <c r="AT90" s="196"/>
      <c r="AU90" s="295">
        <f t="shared" si="1"/>
        <v>26202154</v>
      </c>
    </row>
    <row r="91" spans="1:47" x14ac:dyDescent="0.35">
      <c r="A91" s="83"/>
      <c r="B91" s="201"/>
      <c r="C91" s="303"/>
      <c r="D91" s="381"/>
      <c r="E91" s="366"/>
      <c r="F91" s="360"/>
      <c r="G91" s="360"/>
      <c r="H91" s="540"/>
      <c r="I91" s="540"/>
      <c r="J91" s="541"/>
      <c r="K91" s="134"/>
      <c r="L91" s="39"/>
      <c r="M91" s="39"/>
      <c r="N91" s="39"/>
      <c r="O91" s="39">
        <v>11790652</v>
      </c>
      <c r="P91" s="39">
        <v>3275181</v>
      </c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87"/>
      <c r="AU91" s="295">
        <f t="shared" si="1"/>
        <v>15065833</v>
      </c>
    </row>
    <row r="92" spans="1:47" ht="52" x14ac:dyDescent="0.35">
      <c r="A92" s="83"/>
      <c r="B92" s="201" t="s">
        <v>342</v>
      </c>
      <c r="C92" s="303" t="s">
        <v>342</v>
      </c>
      <c r="D92" s="381" t="s">
        <v>347</v>
      </c>
      <c r="E92" s="366" t="s">
        <v>96</v>
      </c>
      <c r="F92" s="360">
        <v>44958</v>
      </c>
      <c r="G92" s="360">
        <v>45291</v>
      </c>
      <c r="H92" s="540">
        <v>18871036</v>
      </c>
      <c r="I92" s="540">
        <v>18871036</v>
      </c>
      <c r="J92" s="541" t="s">
        <v>135</v>
      </c>
      <c r="K92" s="204"/>
      <c r="L92" s="38"/>
      <c r="M92" s="38"/>
      <c r="N92" s="38"/>
      <c r="O92" s="38"/>
      <c r="P92" s="38">
        <v>3275181</v>
      </c>
      <c r="Q92" s="38">
        <v>1403649</v>
      </c>
      <c r="R92" s="38">
        <v>1228193</v>
      </c>
      <c r="S92" s="38">
        <v>1228193</v>
      </c>
      <c r="T92" s="38">
        <v>1470465</v>
      </c>
      <c r="U92" s="38">
        <v>1470465</v>
      </c>
      <c r="V92" s="38">
        <v>1470465</v>
      </c>
      <c r="W92" s="38">
        <v>1307080</v>
      </c>
      <c r="X92" s="38">
        <v>1307080</v>
      </c>
      <c r="Y92" s="38">
        <v>1470465</v>
      </c>
      <c r="Z92" s="38">
        <v>3239800</v>
      </c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196"/>
      <c r="AU92" s="295">
        <f t="shared" si="1"/>
        <v>18871036</v>
      </c>
    </row>
    <row r="93" spans="1:47" x14ac:dyDescent="0.35">
      <c r="A93" s="83"/>
      <c r="B93" s="201"/>
      <c r="C93" s="303"/>
      <c r="D93" s="381"/>
      <c r="E93" s="366"/>
      <c r="F93" s="360"/>
      <c r="G93" s="360"/>
      <c r="H93" s="540"/>
      <c r="I93" s="540"/>
      <c r="J93" s="541"/>
      <c r="K93" s="134"/>
      <c r="L93" s="39"/>
      <c r="M93" s="39"/>
      <c r="N93" s="39"/>
      <c r="O93" s="39"/>
      <c r="P93" s="39">
        <v>3275181</v>
      </c>
      <c r="Q93" s="39">
        <v>1403649</v>
      </c>
      <c r="R93" s="39">
        <v>1228193</v>
      </c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87"/>
      <c r="AU93" s="295">
        <f t="shared" si="1"/>
        <v>5907023</v>
      </c>
    </row>
    <row r="94" spans="1:47" ht="52" x14ac:dyDescent="0.35">
      <c r="A94" s="83"/>
      <c r="B94" s="201" t="s">
        <v>342</v>
      </c>
      <c r="C94" s="303" t="s">
        <v>342</v>
      </c>
      <c r="D94" s="381" t="s">
        <v>348</v>
      </c>
      <c r="E94" s="366" t="s">
        <v>96</v>
      </c>
      <c r="F94" s="360">
        <v>45108</v>
      </c>
      <c r="G94" s="360">
        <v>45351</v>
      </c>
      <c r="H94" s="540">
        <v>13626417</v>
      </c>
      <c r="I94" s="540">
        <v>13626417</v>
      </c>
      <c r="J94" s="541" t="s">
        <v>135</v>
      </c>
      <c r="K94" s="204"/>
      <c r="L94" s="38"/>
      <c r="M94" s="38"/>
      <c r="N94" s="38"/>
      <c r="O94" s="38"/>
      <c r="P94" s="38"/>
      <c r="Q94" s="38"/>
      <c r="R94" s="38"/>
      <c r="S94" s="38"/>
      <c r="T94" s="38"/>
      <c r="U94" s="38">
        <v>1470465</v>
      </c>
      <c r="V94" s="38">
        <v>1470465</v>
      </c>
      <c r="W94" s="38">
        <v>1307080</v>
      </c>
      <c r="X94" s="38">
        <v>1307080</v>
      </c>
      <c r="Y94" s="38">
        <v>1470465</v>
      </c>
      <c r="Z94" s="38">
        <v>3239800</v>
      </c>
      <c r="AA94" s="38">
        <v>1680531</v>
      </c>
      <c r="AB94" s="38">
        <v>1680531</v>
      </c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196"/>
      <c r="AU94" s="295">
        <f t="shared" si="1"/>
        <v>13626417</v>
      </c>
    </row>
    <row r="95" spans="1:47" x14ac:dyDescent="0.35">
      <c r="A95" s="83"/>
      <c r="B95" s="201"/>
      <c r="C95" s="303"/>
      <c r="D95" s="381"/>
      <c r="E95" s="366"/>
      <c r="F95" s="360"/>
      <c r="G95" s="360"/>
      <c r="H95" s="540"/>
      <c r="I95" s="540"/>
      <c r="J95" s="541"/>
      <c r="K95" s="134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87"/>
      <c r="AU95" s="295">
        <f t="shared" si="1"/>
        <v>0</v>
      </c>
    </row>
    <row r="96" spans="1:47" ht="52" x14ac:dyDescent="0.35">
      <c r="A96" s="83"/>
      <c r="B96" s="201" t="s">
        <v>342</v>
      </c>
      <c r="C96" s="303" t="s">
        <v>342</v>
      </c>
      <c r="D96" s="381" t="s">
        <v>349</v>
      </c>
      <c r="E96" s="366" t="s">
        <v>96</v>
      </c>
      <c r="F96" s="360">
        <v>44816</v>
      </c>
      <c r="G96" s="360">
        <v>45657</v>
      </c>
      <c r="H96" s="540">
        <v>15322490</v>
      </c>
      <c r="I96" s="540">
        <v>15322490</v>
      </c>
      <c r="J96" s="541" t="s">
        <v>135</v>
      </c>
      <c r="K96" s="204">
        <v>2648801</v>
      </c>
      <c r="L96" s="38">
        <v>2648801</v>
      </c>
      <c r="M96" s="38">
        <v>2648801</v>
      </c>
      <c r="N96" s="38">
        <v>2648801</v>
      </c>
      <c r="O96" s="38">
        <v>3151524</v>
      </c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>
        <v>1575762</v>
      </c>
      <c r="AM96" s="38"/>
      <c r="AN96" s="38"/>
      <c r="AO96" s="38"/>
      <c r="AP96" s="38"/>
      <c r="AQ96" s="38"/>
      <c r="AR96" s="38"/>
      <c r="AS96" s="38"/>
      <c r="AT96" s="196"/>
      <c r="AU96" s="295">
        <f t="shared" si="1"/>
        <v>15322490</v>
      </c>
    </row>
    <row r="97" spans="1:47" x14ac:dyDescent="0.35">
      <c r="A97" s="83"/>
      <c r="B97" s="201"/>
      <c r="C97" s="303"/>
      <c r="D97" s="381"/>
      <c r="E97" s="366"/>
      <c r="F97" s="360"/>
      <c r="G97" s="360"/>
      <c r="H97" s="540"/>
      <c r="I97" s="540"/>
      <c r="J97" s="541"/>
      <c r="K97" s="205"/>
      <c r="L97" s="88"/>
      <c r="M97" s="88">
        <v>5297602</v>
      </c>
      <c r="N97" s="88">
        <f>2648801+1589281</f>
        <v>4238082</v>
      </c>
      <c r="O97" s="88">
        <v>2648801</v>
      </c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9"/>
      <c r="AU97" s="295">
        <f t="shared" si="1"/>
        <v>12184485</v>
      </c>
    </row>
    <row r="98" spans="1:47" ht="52" x14ac:dyDescent="0.35">
      <c r="A98" s="83"/>
      <c r="B98" s="201" t="s">
        <v>342</v>
      </c>
      <c r="C98" s="303" t="s">
        <v>342</v>
      </c>
      <c r="D98" s="381" t="s">
        <v>350</v>
      </c>
      <c r="E98" s="366" t="s">
        <v>96</v>
      </c>
      <c r="F98" s="360">
        <v>44958</v>
      </c>
      <c r="G98" s="360">
        <v>45291</v>
      </c>
      <c r="H98" s="540">
        <v>14875947</v>
      </c>
      <c r="I98" s="540">
        <v>14875947</v>
      </c>
      <c r="J98" s="541" t="s">
        <v>135</v>
      </c>
      <c r="K98" s="204"/>
      <c r="L98" s="38"/>
      <c r="M98" s="38"/>
      <c r="N98" s="38"/>
      <c r="O98" s="38"/>
      <c r="P98" s="38">
        <v>3151524</v>
      </c>
      <c r="Q98" s="38">
        <v>1350653</v>
      </c>
      <c r="R98" s="38">
        <v>1181822</v>
      </c>
      <c r="S98" s="38">
        <v>1181822</v>
      </c>
      <c r="T98" s="38">
        <v>1181822</v>
      </c>
      <c r="U98" s="38">
        <v>1181822</v>
      </c>
      <c r="V98" s="38">
        <v>1181822</v>
      </c>
      <c r="W98" s="38">
        <v>1050508</v>
      </c>
      <c r="X98" s="38">
        <v>1050508</v>
      </c>
      <c r="Y98" s="38">
        <v>1181822</v>
      </c>
      <c r="Z98" s="38">
        <v>1181822</v>
      </c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196"/>
      <c r="AU98" s="295">
        <f t="shared" si="1"/>
        <v>14875947</v>
      </c>
    </row>
    <row r="99" spans="1:47" x14ac:dyDescent="0.35">
      <c r="A99" s="83"/>
      <c r="B99" s="201"/>
      <c r="C99" s="303"/>
      <c r="D99" s="381"/>
      <c r="E99" s="366"/>
      <c r="F99" s="360"/>
      <c r="G99" s="360"/>
      <c r="H99" s="540"/>
      <c r="I99" s="540"/>
      <c r="J99" s="541"/>
      <c r="K99" s="205"/>
      <c r="L99" s="88"/>
      <c r="M99" s="88"/>
      <c r="N99" s="88"/>
      <c r="O99" s="88"/>
      <c r="P99" s="88">
        <v>2648801</v>
      </c>
      <c r="Q99" s="88">
        <v>1283324</v>
      </c>
      <c r="R99" s="88">
        <v>1252517</v>
      </c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9"/>
      <c r="AU99" s="295">
        <f t="shared" si="1"/>
        <v>5184642</v>
      </c>
    </row>
    <row r="100" spans="1:47" ht="52" x14ac:dyDescent="0.35">
      <c r="A100" s="83"/>
      <c r="B100" s="201" t="s">
        <v>342</v>
      </c>
      <c r="C100" s="303" t="s">
        <v>342</v>
      </c>
      <c r="D100" s="381" t="s">
        <v>351</v>
      </c>
      <c r="E100" s="366" t="s">
        <v>96</v>
      </c>
      <c r="F100" s="360">
        <v>45108</v>
      </c>
      <c r="G100" s="360">
        <v>45351</v>
      </c>
      <c r="H100" s="540">
        <v>9314158</v>
      </c>
      <c r="I100" s="540">
        <v>9314158</v>
      </c>
      <c r="J100" s="541" t="s">
        <v>135</v>
      </c>
      <c r="K100" s="204"/>
      <c r="L100" s="38"/>
      <c r="M100" s="38"/>
      <c r="N100" s="38"/>
      <c r="O100" s="38"/>
      <c r="P100" s="38"/>
      <c r="Q100" s="38"/>
      <c r="R100" s="38"/>
      <c r="S100" s="38"/>
      <c r="T100" s="38"/>
      <c r="U100" s="38">
        <v>1181822</v>
      </c>
      <c r="V100" s="38">
        <v>1181822</v>
      </c>
      <c r="W100" s="38">
        <v>1050508</v>
      </c>
      <c r="X100" s="38">
        <v>1050508</v>
      </c>
      <c r="Y100" s="38">
        <v>1181822</v>
      </c>
      <c r="Z100" s="38">
        <v>1181822</v>
      </c>
      <c r="AA100" s="38">
        <v>1135201</v>
      </c>
      <c r="AB100" s="38">
        <v>1350653</v>
      </c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196"/>
      <c r="AU100" s="295">
        <f t="shared" si="1"/>
        <v>9314158</v>
      </c>
    </row>
    <row r="101" spans="1:47" x14ac:dyDescent="0.35">
      <c r="A101" s="83"/>
      <c r="B101" s="201"/>
      <c r="C101" s="303"/>
      <c r="D101" s="381"/>
      <c r="E101" s="366"/>
      <c r="F101" s="360"/>
      <c r="G101" s="360"/>
      <c r="H101" s="540"/>
      <c r="I101" s="540"/>
      <c r="J101" s="541"/>
      <c r="K101" s="205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9"/>
      <c r="AU101" s="295">
        <f t="shared" si="1"/>
        <v>0</v>
      </c>
    </row>
    <row r="102" spans="1:47" ht="65" x14ac:dyDescent="0.35">
      <c r="A102" s="83"/>
      <c r="B102" s="201" t="s">
        <v>352</v>
      </c>
      <c r="C102" s="303" t="s">
        <v>352</v>
      </c>
      <c r="D102" s="381" t="s">
        <v>353</v>
      </c>
      <c r="E102" s="366" t="s">
        <v>96</v>
      </c>
      <c r="F102" s="360">
        <v>45017</v>
      </c>
      <c r="G102" s="360">
        <v>45869</v>
      </c>
      <c r="H102" s="540">
        <v>357280252</v>
      </c>
      <c r="I102" s="540">
        <v>357280252</v>
      </c>
      <c r="J102" s="541" t="s">
        <v>97</v>
      </c>
      <c r="K102" s="204"/>
      <c r="L102" s="38"/>
      <c r="M102" s="38"/>
      <c r="N102" s="38"/>
      <c r="O102" s="38"/>
      <c r="P102" s="38"/>
      <c r="Q102" s="38"/>
      <c r="R102" s="38">
        <v>2650024</v>
      </c>
      <c r="S102" s="38">
        <v>1181806</v>
      </c>
      <c r="T102" s="38">
        <v>1636069</v>
      </c>
      <c r="U102" s="38">
        <v>298142154</v>
      </c>
      <c r="V102" s="38">
        <v>2164863</v>
      </c>
      <c r="W102" s="38">
        <v>2311292</v>
      </c>
      <c r="X102" s="38">
        <v>1924323</v>
      </c>
      <c r="Y102" s="38">
        <v>2164863</v>
      </c>
      <c r="Z102" s="38">
        <v>8110083</v>
      </c>
      <c r="AA102" s="38">
        <v>2474129</v>
      </c>
      <c r="AB102" s="38">
        <v>2559307</v>
      </c>
      <c r="AC102" s="38">
        <v>2985858</v>
      </c>
      <c r="AD102" s="38">
        <v>2985858</v>
      </c>
      <c r="AE102" s="38">
        <v>2985858</v>
      </c>
      <c r="AF102" s="38">
        <v>2985858</v>
      </c>
      <c r="AG102" s="38">
        <v>3463781</v>
      </c>
      <c r="AH102" s="38">
        <v>2985858</v>
      </c>
      <c r="AI102" s="38"/>
      <c r="AJ102" s="38"/>
      <c r="AK102" s="38"/>
      <c r="AL102" s="38">
        <v>4166667</v>
      </c>
      <c r="AM102" s="38"/>
      <c r="AN102" s="38"/>
      <c r="AO102" s="38"/>
      <c r="AP102" s="38"/>
      <c r="AQ102" s="38"/>
      <c r="AR102" s="38"/>
      <c r="AS102" s="38">
        <v>9401601</v>
      </c>
      <c r="AT102" s="196"/>
      <c r="AU102" s="295">
        <f t="shared" si="1"/>
        <v>357280252</v>
      </c>
    </row>
    <row r="103" spans="1:47" x14ac:dyDescent="0.35">
      <c r="A103" s="83"/>
      <c r="B103" s="201"/>
      <c r="C103" s="303"/>
      <c r="D103" s="381"/>
      <c r="E103" s="366"/>
      <c r="F103" s="360"/>
      <c r="G103" s="360"/>
      <c r="H103" s="540"/>
      <c r="I103" s="540"/>
      <c r="J103" s="541"/>
      <c r="K103" s="205"/>
      <c r="L103" s="88"/>
      <c r="M103" s="88"/>
      <c r="N103" s="88"/>
      <c r="O103" s="88"/>
      <c r="P103" s="88"/>
      <c r="Q103" s="88"/>
      <c r="R103" s="88">
        <v>85714</v>
      </c>
      <c r="S103" s="88">
        <v>653012</v>
      </c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9"/>
      <c r="AU103" s="295">
        <f t="shared" si="1"/>
        <v>738726</v>
      </c>
    </row>
    <row r="104" spans="1:47" ht="65" x14ac:dyDescent="0.35">
      <c r="A104" s="83"/>
      <c r="B104" s="201" t="s">
        <v>352</v>
      </c>
      <c r="C104" s="303" t="s">
        <v>352</v>
      </c>
      <c r="D104" s="381" t="s">
        <v>354</v>
      </c>
      <c r="E104" s="366" t="s">
        <v>96</v>
      </c>
      <c r="F104" s="360">
        <v>45017</v>
      </c>
      <c r="G104" s="360">
        <v>45869</v>
      </c>
      <c r="H104" s="540">
        <v>39969239</v>
      </c>
      <c r="I104" s="540">
        <v>39969239</v>
      </c>
      <c r="J104" s="541" t="s">
        <v>135</v>
      </c>
      <c r="K104" s="204"/>
      <c r="L104" s="38"/>
      <c r="M104" s="38"/>
      <c r="N104" s="38"/>
      <c r="O104" s="38"/>
      <c r="P104" s="38"/>
      <c r="Q104" s="38"/>
      <c r="R104" s="38">
        <v>1228193</v>
      </c>
      <c r="S104" s="38">
        <v>1228193</v>
      </c>
      <c r="T104" s="38">
        <v>1470465</v>
      </c>
      <c r="U104" s="38">
        <v>1470465</v>
      </c>
      <c r="V104" s="38">
        <v>1470465</v>
      </c>
      <c r="W104" s="38">
        <v>1307080</v>
      </c>
      <c r="X104" s="38">
        <v>1307080</v>
      </c>
      <c r="Y104" s="38">
        <v>1470465</v>
      </c>
      <c r="Z104" s="38">
        <v>3239800</v>
      </c>
      <c r="AA104" s="38">
        <v>1680531</v>
      </c>
      <c r="AB104" s="38">
        <v>1680531</v>
      </c>
      <c r="AC104" s="38">
        <v>1960620</v>
      </c>
      <c r="AD104" s="38">
        <v>1960620</v>
      </c>
      <c r="AE104" s="38">
        <v>1960620</v>
      </c>
      <c r="AF104" s="38">
        <v>2235954</v>
      </c>
      <c r="AG104" s="38">
        <v>2235954</v>
      </c>
      <c r="AH104" s="38">
        <v>2235954</v>
      </c>
      <c r="AI104" s="38"/>
      <c r="AJ104" s="38"/>
      <c r="AK104" s="38"/>
      <c r="AL104" s="38">
        <v>6576476</v>
      </c>
      <c r="AM104" s="38"/>
      <c r="AN104" s="38"/>
      <c r="AO104" s="38"/>
      <c r="AP104" s="38"/>
      <c r="AQ104" s="38"/>
      <c r="AR104" s="38"/>
      <c r="AS104" s="38">
        <v>3249773</v>
      </c>
      <c r="AT104" s="196"/>
      <c r="AU104" s="295">
        <f t="shared" si="1"/>
        <v>39969239</v>
      </c>
    </row>
    <row r="105" spans="1:47" x14ac:dyDescent="0.35">
      <c r="A105" s="83"/>
      <c r="B105" s="201"/>
      <c r="C105" s="303"/>
      <c r="D105" s="381"/>
      <c r="E105" s="366"/>
      <c r="F105" s="360"/>
      <c r="G105" s="360"/>
      <c r="H105" s="540"/>
      <c r="I105" s="540"/>
      <c r="J105" s="541"/>
      <c r="K105" s="205"/>
      <c r="L105" s="88"/>
      <c r="M105" s="88"/>
      <c r="N105" s="88"/>
      <c r="O105" s="88"/>
      <c r="P105" s="88"/>
      <c r="Q105" s="88"/>
      <c r="R105" s="88">
        <v>1228193</v>
      </c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9"/>
      <c r="AU105" s="295">
        <f t="shared" si="1"/>
        <v>1228193</v>
      </c>
    </row>
    <row r="106" spans="1:47" ht="65" x14ac:dyDescent="0.35">
      <c r="A106" s="83"/>
      <c r="B106" s="201" t="s">
        <v>352</v>
      </c>
      <c r="C106" s="303" t="s">
        <v>352</v>
      </c>
      <c r="D106" s="381" t="s">
        <v>355</v>
      </c>
      <c r="E106" s="366" t="s">
        <v>96</v>
      </c>
      <c r="F106" s="360">
        <v>45017</v>
      </c>
      <c r="G106" s="360">
        <v>45657</v>
      </c>
      <c r="H106" s="540">
        <v>24205111</v>
      </c>
      <c r="I106" s="540">
        <v>24205111</v>
      </c>
      <c r="J106" s="541" t="s">
        <v>135</v>
      </c>
      <c r="K106" s="204"/>
      <c r="L106" s="38"/>
      <c r="M106" s="38"/>
      <c r="N106" s="38"/>
      <c r="O106" s="38"/>
      <c r="P106" s="38"/>
      <c r="Q106" s="38"/>
      <c r="R106" s="38">
        <v>1181822</v>
      </c>
      <c r="S106" s="38">
        <v>1181822</v>
      </c>
      <c r="T106" s="38">
        <v>1181822</v>
      </c>
      <c r="U106" s="38">
        <v>1181822</v>
      </c>
      <c r="V106" s="38">
        <v>1181822</v>
      </c>
      <c r="W106" s="38">
        <v>1050508</v>
      </c>
      <c r="X106" s="38">
        <v>1050508</v>
      </c>
      <c r="Y106" s="38">
        <v>1181822</v>
      </c>
      <c r="Z106" s="38">
        <v>1181822</v>
      </c>
      <c r="AA106" s="38">
        <v>1135201</v>
      </c>
      <c r="AB106" s="38">
        <v>1350653</v>
      </c>
      <c r="AC106" s="38">
        <v>1575762</v>
      </c>
      <c r="AD106" s="38">
        <v>1575762</v>
      </c>
      <c r="AE106" s="38">
        <v>1575762</v>
      </c>
      <c r="AF106" s="38">
        <v>1575762</v>
      </c>
      <c r="AG106" s="38">
        <v>1890915</v>
      </c>
      <c r="AH106" s="38">
        <v>1575762</v>
      </c>
      <c r="AI106" s="38"/>
      <c r="AJ106" s="38"/>
      <c r="AK106" s="38"/>
      <c r="AL106" s="38">
        <v>1575762</v>
      </c>
      <c r="AM106" s="38"/>
      <c r="AN106" s="38"/>
      <c r="AO106" s="38"/>
      <c r="AP106" s="38"/>
      <c r="AQ106" s="38"/>
      <c r="AR106" s="38"/>
      <c r="AS106" s="38"/>
      <c r="AT106" s="196"/>
      <c r="AU106" s="295">
        <f t="shared" si="1"/>
        <v>24205111</v>
      </c>
    </row>
    <row r="107" spans="1:47" x14ac:dyDescent="0.35">
      <c r="A107" s="83"/>
      <c r="B107" s="201"/>
      <c r="C107" s="303"/>
      <c r="D107" s="381"/>
      <c r="E107" s="366"/>
      <c r="F107" s="360"/>
      <c r="G107" s="360"/>
      <c r="H107" s="540"/>
      <c r="I107" s="540"/>
      <c r="J107" s="541"/>
      <c r="K107" s="205"/>
      <c r="L107" s="88"/>
      <c r="M107" s="88"/>
      <c r="N107" s="88"/>
      <c r="O107" s="88"/>
      <c r="P107" s="88"/>
      <c r="Q107" s="88"/>
      <c r="R107" s="88">
        <v>1252517</v>
      </c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9"/>
      <c r="AU107" s="295">
        <f t="shared" si="1"/>
        <v>1252517</v>
      </c>
    </row>
    <row r="108" spans="1:47" ht="52" customHeight="1" x14ac:dyDescent="0.35">
      <c r="A108" s="83"/>
      <c r="B108" s="201" t="s">
        <v>356</v>
      </c>
      <c r="C108" s="303" t="s">
        <v>356</v>
      </c>
      <c r="D108" s="381" t="s">
        <v>357</v>
      </c>
      <c r="E108" s="366" t="s">
        <v>96</v>
      </c>
      <c r="F108" s="360">
        <v>44835</v>
      </c>
      <c r="G108" s="360">
        <v>45535</v>
      </c>
      <c r="H108" s="540">
        <v>40345584</v>
      </c>
      <c r="I108" s="540">
        <v>40345584</v>
      </c>
      <c r="J108" s="541" t="s">
        <v>97</v>
      </c>
      <c r="K108" s="204"/>
      <c r="L108" s="38">
        <v>3162293</v>
      </c>
      <c r="M108" s="38">
        <v>3162293</v>
      </c>
      <c r="N108" s="38">
        <v>3162293</v>
      </c>
      <c r="O108" s="38">
        <v>3162293</v>
      </c>
      <c r="P108" s="38">
        <v>3162293</v>
      </c>
      <c r="Q108" s="38">
        <v>3162293</v>
      </c>
      <c r="R108" s="38">
        <v>3162293</v>
      </c>
      <c r="S108" s="38">
        <v>3162293</v>
      </c>
      <c r="T108" s="38">
        <v>3162293</v>
      </c>
      <c r="U108" s="38">
        <v>790573</v>
      </c>
      <c r="V108" s="38">
        <v>790573</v>
      </c>
      <c r="W108" s="38">
        <v>1080450</v>
      </c>
      <c r="X108" s="38">
        <v>790573</v>
      </c>
      <c r="Y108" s="38">
        <v>790573</v>
      </c>
      <c r="Z108" s="38">
        <v>790573</v>
      </c>
      <c r="AA108" s="38">
        <v>790573</v>
      </c>
      <c r="AB108" s="38">
        <v>790573</v>
      </c>
      <c r="AC108" s="38">
        <v>790573</v>
      </c>
      <c r="AD108" s="38">
        <v>790573</v>
      </c>
      <c r="AE108" s="38">
        <v>790573</v>
      </c>
      <c r="AF108" s="38">
        <v>790573</v>
      </c>
      <c r="AG108" s="38">
        <v>1054097</v>
      </c>
      <c r="AH108" s="38">
        <v>1054097</v>
      </c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196"/>
      <c r="AU108" s="295">
        <f t="shared" si="1"/>
        <v>40345584</v>
      </c>
    </row>
    <row r="109" spans="1:47" ht="15" thickBot="1" x14ac:dyDescent="0.4">
      <c r="A109" s="80"/>
      <c r="B109" s="84"/>
      <c r="C109" s="304"/>
      <c r="D109" s="382"/>
      <c r="E109" s="367"/>
      <c r="F109" s="361"/>
      <c r="G109" s="361"/>
      <c r="H109" s="542"/>
      <c r="I109" s="542"/>
      <c r="J109" s="543"/>
      <c r="K109" s="206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197"/>
      <c r="AT109" s="198"/>
      <c r="AU109" s="296">
        <f t="shared" si="1"/>
        <v>0</v>
      </c>
    </row>
    <row r="110" spans="1:47" x14ac:dyDescent="0.35"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</row>
    <row r="111" spans="1:47" ht="26.5" x14ac:dyDescent="0.35">
      <c r="C111" s="145" t="s">
        <v>383</v>
      </c>
    </row>
    <row r="113" spans="3:3" ht="15" thickBot="1" x14ac:dyDescent="0.4"/>
    <row r="114" spans="3:3" ht="15" thickBot="1" x14ac:dyDescent="0.4">
      <c r="C114" s="119" t="s">
        <v>101</v>
      </c>
    </row>
    <row r="115" spans="3:3" ht="15" thickBot="1" x14ac:dyDescent="0.4">
      <c r="C115" s="118" t="s">
        <v>100</v>
      </c>
    </row>
  </sheetData>
  <sheetProtection algorithmName="SHA-512" hashValue="bSUiX1U/vKlD2sWDEYO9KK5uFAhoRKgzb8MG/eyK7ld/uDFe1MmUG4uIwk0eTpxPKgm08XPMI85gwz7Uzx+Y5w==" saltValue="pXO329GE1jSJ/X+HUvGEBw==" spinCount="100000" sheet="1" objects="1" scenarios="1"/>
  <mergeCells count="404">
    <mergeCell ref="D100:D101"/>
    <mergeCell ref="D102:D103"/>
    <mergeCell ref="D104:D105"/>
    <mergeCell ref="D106:D107"/>
    <mergeCell ref="D108:D109"/>
    <mergeCell ref="D90:D91"/>
    <mergeCell ref="D92:D93"/>
    <mergeCell ref="D94:D95"/>
    <mergeCell ref="D96:D97"/>
    <mergeCell ref="D98:D99"/>
    <mergeCell ref="D80:D81"/>
    <mergeCell ref="D82:D83"/>
    <mergeCell ref="D84:D85"/>
    <mergeCell ref="D86:D87"/>
    <mergeCell ref="D88:D89"/>
    <mergeCell ref="D70:D71"/>
    <mergeCell ref="D72:D73"/>
    <mergeCell ref="D74:D75"/>
    <mergeCell ref="D76:D77"/>
    <mergeCell ref="D78:D79"/>
    <mergeCell ref="D60:D61"/>
    <mergeCell ref="D62:D63"/>
    <mergeCell ref="D64:D65"/>
    <mergeCell ref="D66:D67"/>
    <mergeCell ref="D68:D69"/>
    <mergeCell ref="D50:D51"/>
    <mergeCell ref="D52:D53"/>
    <mergeCell ref="D54:D55"/>
    <mergeCell ref="D56:D57"/>
    <mergeCell ref="D58:D59"/>
    <mergeCell ref="D40:D41"/>
    <mergeCell ref="D42:D43"/>
    <mergeCell ref="D44:D45"/>
    <mergeCell ref="D46:D47"/>
    <mergeCell ref="D48:D49"/>
    <mergeCell ref="C104:C105"/>
    <mergeCell ref="C106:C107"/>
    <mergeCell ref="C108:C109"/>
    <mergeCell ref="D14:D15"/>
    <mergeCell ref="D16:D17"/>
    <mergeCell ref="D18:D19"/>
    <mergeCell ref="D20:D21"/>
    <mergeCell ref="D22:D23"/>
    <mergeCell ref="D24:D25"/>
    <mergeCell ref="D28:D29"/>
    <mergeCell ref="D26:D27"/>
    <mergeCell ref="D30:D31"/>
    <mergeCell ref="D32:D33"/>
    <mergeCell ref="D34:D35"/>
    <mergeCell ref="D36:D37"/>
    <mergeCell ref="D38:D39"/>
    <mergeCell ref="C94:C95"/>
    <mergeCell ref="C96:C97"/>
    <mergeCell ref="C98:C99"/>
    <mergeCell ref="C100:C101"/>
    <mergeCell ref="C102:C103"/>
    <mergeCell ref="C84:C85"/>
    <mergeCell ref="C86:C87"/>
    <mergeCell ref="C88:C89"/>
    <mergeCell ref="C90:C91"/>
    <mergeCell ref="C92:C93"/>
    <mergeCell ref="C74:C75"/>
    <mergeCell ref="C76:C77"/>
    <mergeCell ref="C78:C79"/>
    <mergeCell ref="C80:C81"/>
    <mergeCell ref="C82:C83"/>
    <mergeCell ref="C66:C67"/>
    <mergeCell ref="C68:C69"/>
    <mergeCell ref="C70:C71"/>
    <mergeCell ref="C72:C73"/>
    <mergeCell ref="C54:C55"/>
    <mergeCell ref="C56:C57"/>
    <mergeCell ref="C58:C59"/>
    <mergeCell ref="C60:C61"/>
    <mergeCell ref="C62:C63"/>
    <mergeCell ref="C48:C49"/>
    <mergeCell ref="C50:C51"/>
    <mergeCell ref="C52:C53"/>
    <mergeCell ref="C34:C35"/>
    <mergeCell ref="C36:C37"/>
    <mergeCell ref="C38:C39"/>
    <mergeCell ref="C40:C41"/>
    <mergeCell ref="C42:C43"/>
    <mergeCell ref="C64:C65"/>
    <mergeCell ref="C30:C31"/>
    <mergeCell ref="C32:C33"/>
    <mergeCell ref="C14:C15"/>
    <mergeCell ref="C16:C17"/>
    <mergeCell ref="C18:C19"/>
    <mergeCell ref="C20:C21"/>
    <mergeCell ref="C22:C23"/>
    <mergeCell ref="C44:C45"/>
    <mergeCell ref="C46:C47"/>
    <mergeCell ref="D2:J2"/>
    <mergeCell ref="D3:J3"/>
    <mergeCell ref="D4:F4"/>
    <mergeCell ref="H4:J4"/>
    <mergeCell ref="H5:J5"/>
    <mergeCell ref="D5:F5"/>
    <mergeCell ref="C24:C25"/>
    <mergeCell ref="C26:C27"/>
    <mergeCell ref="C28:C29"/>
    <mergeCell ref="E14:E15"/>
    <mergeCell ref="F14:F15"/>
    <mergeCell ref="G14:G15"/>
    <mergeCell ref="H14:H15"/>
    <mergeCell ref="I14:I15"/>
    <mergeCell ref="J14:J15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K12:AT12"/>
    <mergeCell ref="E10:G10"/>
    <mergeCell ref="H10:J10"/>
    <mergeCell ref="B12:J12"/>
    <mergeCell ref="B7:B9"/>
    <mergeCell ref="C7:C9"/>
    <mergeCell ref="D6:F6"/>
    <mergeCell ref="H6:J6"/>
    <mergeCell ref="G7:J7"/>
    <mergeCell ref="G8:J8"/>
    <mergeCell ref="G9:J9"/>
    <mergeCell ref="D7:F7"/>
    <mergeCell ref="D8:F8"/>
    <mergeCell ref="D9:F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0:E41"/>
    <mergeCell ref="F40:F41"/>
    <mergeCell ref="G40:G41"/>
    <mergeCell ref="H40:H41"/>
    <mergeCell ref="I40:I41"/>
    <mergeCell ref="J40:J41"/>
    <mergeCell ref="E42:E43"/>
    <mergeCell ref="F42:F43"/>
    <mergeCell ref="G42:G43"/>
    <mergeCell ref="H42:H43"/>
    <mergeCell ref="I42:I43"/>
    <mergeCell ref="J42:J43"/>
    <mergeCell ref="E44:E45"/>
    <mergeCell ref="F44:F45"/>
    <mergeCell ref="G44:G45"/>
    <mergeCell ref="H44:H45"/>
    <mergeCell ref="I44:I45"/>
    <mergeCell ref="J44:J45"/>
    <mergeCell ref="E46:E47"/>
    <mergeCell ref="F46:F47"/>
    <mergeCell ref="G46:G47"/>
    <mergeCell ref="H46:H47"/>
    <mergeCell ref="I46:I47"/>
    <mergeCell ref="J46:J47"/>
    <mergeCell ref="E48:E49"/>
    <mergeCell ref="F48:F49"/>
    <mergeCell ref="G48:G49"/>
    <mergeCell ref="H48:H49"/>
    <mergeCell ref="I48:I49"/>
    <mergeCell ref="J48:J49"/>
    <mergeCell ref="E50:E51"/>
    <mergeCell ref="F50:F51"/>
    <mergeCell ref="G50:G51"/>
    <mergeCell ref="H50:H51"/>
    <mergeCell ref="I50:I51"/>
    <mergeCell ref="J50:J51"/>
    <mergeCell ref="E52:E53"/>
    <mergeCell ref="F52:F53"/>
    <mergeCell ref="G52:G53"/>
    <mergeCell ref="H52:H53"/>
    <mergeCell ref="I52:I53"/>
    <mergeCell ref="J52:J53"/>
    <mergeCell ref="E54:E55"/>
    <mergeCell ref="F54:F55"/>
    <mergeCell ref="G54:G55"/>
    <mergeCell ref="H54:H55"/>
    <mergeCell ref="I54:I55"/>
    <mergeCell ref="J54:J55"/>
    <mergeCell ref="E56:E57"/>
    <mergeCell ref="F56:F57"/>
    <mergeCell ref="G56:G57"/>
    <mergeCell ref="H56:H57"/>
    <mergeCell ref="I56:I57"/>
    <mergeCell ref="J56:J57"/>
    <mergeCell ref="E58:E59"/>
    <mergeCell ref="F58:F59"/>
    <mergeCell ref="G58:G59"/>
    <mergeCell ref="H58:H59"/>
    <mergeCell ref="I58:I59"/>
    <mergeCell ref="J58:J59"/>
    <mergeCell ref="E60:E61"/>
    <mergeCell ref="F60:F61"/>
    <mergeCell ref="G60:G61"/>
    <mergeCell ref="H60:H61"/>
    <mergeCell ref="I60:I61"/>
    <mergeCell ref="J60:J61"/>
    <mergeCell ref="E62:E63"/>
    <mergeCell ref="F62:F63"/>
    <mergeCell ref="G62:G63"/>
    <mergeCell ref="H62:H63"/>
    <mergeCell ref="I62:I63"/>
    <mergeCell ref="J62:J63"/>
    <mergeCell ref="E64:E65"/>
    <mergeCell ref="F64:F65"/>
    <mergeCell ref="G64:G65"/>
    <mergeCell ref="H64:H65"/>
    <mergeCell ref="I64:I65"/>
    <mergeCell ref="J64:J65"/>
    <mergeCell ref="E66:E67"/>
    <mergeCell ref="F66:F67"/>
    <mergeCell ref="G66:G67"/>
    <mergeCell ref="H66:H67"/>
    <mergeCell ref="I66:I67"/>
    <mergeCell ref="J66:J67"/>
    <mergeCell ref="E68:E69"/>
    <mergeCell ref="F68:F69"/>
    <mergeCell ref="G68:G69"/>
    <mergeCell ref="H68:H69"/>
    <mergeCell ref="I68:I69"/>
    <mergeCell ref="J68:J69"/>
    <mergeCell ref="E70:E71"/>
    <mergeCell ref="F70:F71"/>
    <mergeCell ref="G70:G71"/>
    <mergeCell ref="H70:H71"/>
    <mergeCell ref="I70:I71"/>
    <mergeCell ref="J70:J71"/>
    <mergeCell ref="E72:E73"/>
    <mergeCell ref="F72:F73"/>
    <mergeCell ref="G72:G73"/>
    <mergeCell ref="H72:H73"/>
    <mergeCell ref="I72:I73"/>
    <mergeCell ref="J72:J73"/>
    <mergeCell ref="E74:E75"/>
    <mergeCell ref="F74:F75"/>
    <mergeCell ref="G74:G75"/>
    <mergeCell ref="H74:H75"/>
    <mergeCell ref="I74:I75"/>
    <mergeCell ref="J74:J75"/>
    <mergeCell ref="E76:E77"/>
    <mergeCell ref="F76:F77"/>
    <mergeCell ref="G76:G77"/>
    <mergeCell ref="H76:H77"/>
    <mergeCell ref="I76:I77"/>
    <mergeCell ref="J76:J77"/>
    <mergeCell ref="E78:E79"/>
    <mergeCell ref="F78:F79"/>
    <mergeCell ref="G78:G79"/>
    <mergeCell ref="H78:H79"/>
    <mergeCell ref="I78:I79"/>
    <mergeCell ref="J78:J79"/>
    <mergeCell ref="E80:E81"/>
    <mergeCell ref="F80:F81"/>
    <mergeCell ref="G80:G81"/>
    <mergeCell ref="H80:H81"/>
    <mergeCell ref="I80:I81"/>
    <mergeCell ref="J80:J81"/>
    <mergeCell ref="E82:E83"/>
    <mergeCell ref="F82:F83"/>
    <mergeCell ref="G82:G83"/>
    <mergeCell ref="H82:H83"/>
    <mergeCell ref="I82:I83"/>
    <mergeCell ref="J82:J83"/>
    <mergeCell ref="E84:E85"/>
    <mergeCell ref="F84:F85"/>
    <mergeCell ref="G84:G85"/>
    <mergeCell ref="H84:H85"/>
    <mergeCell ref="I84:I85"/>
    <mergeCell ref="J84:J85"/>
    <mergeCell ref="E86:E87"/>
    <mergeCell ref="F86:F87"/>
    <mergeCell ref="G86:G87"/>
    <mergeCell ref="H86:H87"/>
    <mergeCell ref="I86:I87"/>
    <mergeCell ref="J86:J87"/>
    <mergeCell ref="E88:E89"/>
    <mergeCell ref="F88:F89"/>
    <mergeCell ref="G88:G89"/>
    <mergeCell ref="H88:H89"/>
    <mergeCell ref="I88:I89"/>
    <mergeCell ref="J88:J89"/>
    <mergeCell ref="E90:E91"/>
    <mergeCell ref="F90:F91"/>
    <mergeCell ref="G90:G91"/>
    <mergeCell ref="H90:H91"/>
    <mergeCell ref="I90:I91"/>
    <mergeCell ref="J90:J91"/>
    <mergeCell ref="E92:E93"/>
    <mergeCell ref="F92:F93"/>
    <mergeCell ref="G92:G93"/>
    <mergeCell ref="H92:H93"/>
    <mergeCell ref="I92:I93"/>
    <mergeCell ref="J92:J93"/>
    <mergeCell ref="E94:E95"/>
    <mergeCell ref="F94:F95"/>
    <mergeCell ref="G94:G95"/>
    <mergeCell ref="H94:H95"/>
    <mergeCell ref="I94:I95"/>
    <mergeCell ref="J94:J95"/>
    <mergeCell ref="E96:E97"/>
    <mergeCell ref="F96:F97"/>
    <mergeCell ref="G96:G97"/>
    <mergeCell ref="H96:H97"/>
    <mergeCell ref="I96:I97"/>
    <mergeCell ref="J96:J97"/>
    <mergeCell ref="E98:E99"/>
    <mergeCell ref="F98:F99"/>
    <mergeCell ref="G98:G99"/>
    <mergeCell ref="H98:H99"/>
    <mergeCell ref="I98:I99"/>
    <mergeCell ref="J98:J99"/>
    <mergeCell ref="E100:E101"/>
    <mergeCell ref="F100:F101"/>
    <mergeCell ref="G100:G101"/>
    <mergeCell ref="H100:H101"/>
    <mergeCell ref="I100:I101"/>
    <mergeCell ref="J100:J101"/>
    <mergeCell ref="E102:E103"/>
    <mergeCell ref="F102:F103"/>
    <mergeCell ref="G102:G103"/>
    <mergeCell ref="H102:H103"/>
    <mergeCell ref="I102:I103"/>
    <mergeCell ref="J102:J103"/>
    <mergeCell ref="E104:E105"/>
    <mergeCell ref="F104:F105"/>
    <mergeCell ref="G104:G105"/>
    <mergeCell ref="H104:H105"/>
    <mergeCell ref="I104:I105"/>
    <mergeCell ref="J104:J105"/>
    <mergeCell ref="E106:E107"/>
    <mergeCell ref="F106:F107"/>
    <mergeCell ref="G106:G107"/>
    <mergeCell ref="H106:H107"/>
    <mergeCell ref="I106:I107"/>
    <mergeCell ref="J106:J107"/>
    <mergeCell ref="E108:E109"/>
    <mergeCell ref="F108:F109"/>
    <mergeCell ref="G108:G109"/>
    <mergeCell ref="H108:H109"/>
    <mergeCell ref="I108:I109"/>
    <mergeCell ref="J108:J109"/>
  </mergeCells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showGridLines="0" topLeftCell="B1" workbookViewId="0">
      <selection activeCell="B7" sqref="B7:B9"/>
    </sheetView>
  </sheetViews>
  <sheetFormatPr baseColWidth="10" defaultRowHeight="14.5" x14ac:dyDescent="0.35"/>
  <cols>
    <col min="1" max="1" width="43.6328125" hidden="1" customWidth="1"/>
    <col min="2" max="2" width="35.453125" customWidth="1"/>
    <col min="3" max="3" width="42.1796875" customWidth="1"/>
    <col min="4" max="4" width="7.26953125" customWidth="1"/>
    <col min="5" max="5" width="10.54296875" customWidth="1"/>
    <col min="6" max="6" width="19.453125" customWidth="1"/>
    <col min="7" max="7" width="20.54296875" customWidth="1"/>
    <col min="8" max="8" width="16.26953125" customWidth="1"/>
    <col min="9" max="9" width="10.08984375" customWidth="1"/>
    <col min="10" max="10" width="11.7265625" bestFit="1" customWidth="1"/>
    <col min="11" max="11" width="11.81640625" bestFit="1" customWidth="1"/>
    <col min="12" max="12" width="13.36328125" bestFit="1" customWidth="1"/>
    <col min="13" max="13" width="12.6328125" bestFit="1" customWidth="1"/>
    <col min="14" max="14" width="13.36328125" bestFit="1" customWidth="1"/>
    <col min="15" max="15" width="11.7265625" bestFit="1" customWidth="1"/>
    <col min="16" max="16" width="13.36328125" bestFit="1" customWidth="1"/>
    <col min="17" max="17" width="12.54296875" bestFit="1" customWidth="1"/>
  </cols>
  <sheetData>
    <row r="2" spans="1:17" x14ac:dyDescent="0.35">
      <c r="B2" s="26" t="s">
        <v>102</v>
      </c>
      <c r="C2" s="418">
        <v>2022000070012</v>
      </c>
      <c r="D2" s="419"/>
      <c r="E2" s="419"/>
      <c r="F2" s="419"/>
      <c r="G2" s="419"/>
      <c r="H2" s="419"/>
      <c r="I2" s="420"/>
    </row>
    <row r="3" spans="1:17" ht="49" customHeight="1" x14ac:dyDescent="0.35">
      <c r="B3" s="26" t="s">
        <v>103</v>
      </c>
      <c r="C3" s="421" t="s">
        <v>359</v>
      </c>
      <c r="D3" s="422"/>
      <c r="E3" s="422"/>
      <c r="F3" s="422"/>
      <c r="G3" s="422"/>
      <c r="H3" s="422"/>
      <c r="I3" s="423"/>
    </row>
    <row r="4" spans="1:17" x14ac:dyDescent="0.35">
      <c r="B4" s="26" t="s">
        <v>106</v>
      </c>
      <c r="C4" s="506">
        <v>743348332</v>
      </c>
      <c r="D4" s="507"/>
      <c r="E4" s="508"/>
      <c r="F4" s="27" t="s">
        <v>107</v>
      </c>
      <c r="G4" s="506">
        <v>743348332</v>
      </c>
      <c r="H4" s="507"/>
      <c r="I4" s="508"/>
    </row>
    <row r="5" spans="1:17" x14ac:dyDescent="0.35">
      <c r="B5" s="26" t="s">
        <v>109</v>
      </c>
      <c r="C5" s="436" t="s">
        <v>364</v>
      </c>
      <c r="D5" s="437"/>
      <c r="E5" s="438"/>
      <c r="F5" s="27" t="s">
        <v>108</v>
      </c>
      <c r="G5" s="436" t="s">
        <v>365</v>
      </c>
      <c r="H5" s="437"/>
      <c r="I5" s="438"/>
    </row>
    <row r="6" spans="1:17" x14ac:dyDescent="0.35">
      <c r="B6" s="26" t="s">
        <v>110</v>
      </c>
      <c r="C6" s="433">
        <v>0</v>
      </c>
      <c r="D6" s="568"/>
      <c r="E6" s="569"/>
      <c r="F6" s="26" t="s">
        <v>111</v>
      </c>
      <c r="G6" s="433">
        <v>0</v>
      </c>
      <c r="H6" s="568"/>
      <c r="I6" s="569"/>
    </row>
    <row r="7" spans="1:17" ht="36.5" customHeight="1" x14ac:dyDescent="0.35">
      <c r="B7" s="414" t="s">
        <v>117</v>
      </c>
      <c r="C7" s="427" t="s">
        <v>113</v>
      </c>
      <c r="D7" s="428"/>
      <c r="E7" s="429"/>
      <c r="F7" s="427" t="s">
        <v>361</v>
      </c>
      <c r="G7" s="428"/>
      <c r="H7" s="428"/>
      <c r="I7" s="429"/>
    </row>
    <row r="8" spans="1:17" ht="123" customHeight="1" x14ac:dyDescent="0.35">
      <c r="B8" s="415"/>
      <c r="C8" s="427" t="s">
        <v>360</v>
      </c>
      <c r="D8" s="428"/>
      <c r="E8" s="429"/>
      <c r="F8" s="427" t="s">
        <v>362</v>
      </c>
      <c r="G8" s="428"/>
      <c r="H8" s="428"/>
      <c r="I8" s="429"/>
    </row>
    <row r="9" spans="1:17" ht="133" customHeight="1" x14ac:dyDescent="0.35">
      <c r="B9" s="416"/>
      <c r="C9" s="430" t="s">
        <v>121</v>
      </c>
      <c r="D9" s="431"/>
      <c r="E9" s="432"/>
      <c r="F9" s="427" t="s">
        <v>363</v>
      </c>
      <c r="G9" s="428"/>
      <c r="H9" s="428"/>
      <c r="I9" s="429"/>
    </row>
    <row r="10" spans="1:17" x14ac:dyDescent="0.35">
      <c r="B10" s="1"/>
      <c r="C10" s="1"/>
      <c r="D10" s="319"/>
      <c r="E10" s="319"/>
      <c r="F10" s="319"/>
      <c r="G10" s="319"/>
      <c r="H10" s="319"/>
      <c r="I10" s="319"/>
    </row>
    <row r="11" spans="1:17" ht="15" thickBot="1" x14ac:dyDescent="0.4"/>
    <row r="12" spans="1:17" ht="14.5" customHeight="1" thickBot="1" x14ac:dyDescent="0.4">
      <c r="B12" s="320" t="s">
        <v>382</v>
      </c>
      <c r="C12" s="321"/>
      <c r="D12" s="321"/>
      <c r="E12" s="321"/>
      <c r="F12" s="321"/>
      <c r="G12" s="321"/>
      <c r="H12" s="321"/>
      <c r="I12" s="322"/>
      <c r="J12" s="377" t="s">
        <v>366</v>
      </c>
      <c r="K12" s="378"/>
      <c r="L12" s="378"/>
      <c r="M12" s="378"/>
      <c r="N12" s="378"/>
      <c r="O12" s="378"/>
      <c r="P12" s="378"/>
      <c r="Q12" s="379"/>
    </row>
    <row r="13" spans="1:17" s="3" customFormat="1" ht="26.5" thickBot="1" x14ac:dyDescent="0.35">
      <c r="A13" s="2" t="s">
        <v>0</v>
      </c>
      <c r="B13" s="21" t="s">
        <v>1</v>
      </c>
      <c r="C13" s="22" t="s">
        <v>2</v>
      </c>
      <c r="D13" s="22" t="s">
        <v>3</v>
      </c>
      <c r="E13" s="22" t="s">
        <v>4</v>
      </c>
      <c r="F13" s="22" t="s">
        <v>5</v>
      </c>
      <c r="G13" s="22" t="s">
        <v>6</v>
      </c>
      <c r="H13" s="22" t="s">
        <v>7</v>
      </c>
      <c r="I13" s="23" t="s">
        <v>9</v>
      </c>
      <c r="J13" s="43">
        <v>45047</v>
      </c>
      <c r="K13" s="43">
        <v>45078</v>
      </c>
      <c r="L13" s="43">
        <v>45108</v>
      </c>
      <c r="M13" s="43">
        <v>45139</v>
      </c>
      <c r="N13" s="43">
        <v>45170</v>
      </c>
      <c r="O13" s="43">
        <v>45200</v>
      </c>
      <c r="P13" s="43">
        <v>45231</v>
      </c>
      <c r="Q13" s="63">
        <v>45261</v>
      </c>
    </row>
    <row r="14" spans="1:17" s="32" customFormat="1" ht="52" x14ac:dyDescent="0.35">
      <c r="A14" s="30" t="s">
        <v>94</v>
      </c>
      <c r="B14" s="298" t="s">
        <v>369</v>
      </c>
      <c r="C14" s="71" t="s">
        <v>369</v>
      </c>
      <c r="D14" s="193" t="s">
        <v>96</v>
      </c>
      <c r="E14" s="194">
        <v>45061</v>
      </c>
      <c r="F14" s="194">
        <v>45273</v>
      </c>
      <c r="G14" s="93">
        <v>675771211</v>
      </c>
      <c r="H14" s="93">
        <v>675771211</v>
      </c>
      <c r="I14" s="189" t="s">
        <v>97</v>
      </c>
      <c r="J14" s="289"/>
      <c r="K14" s="75"/>
      <c r="L14" s="75">
        <v>202731363.30000001</v>
      </c>
      <c r="M14" s="75"/>
      <c r="N14" s="75">
        <v>202731363.30000001</v>
      </c>
      <c r="O14" s="75"/>
      <c r="P14" s="75">
        <v>202731363.30000001</v>
      </c>
      <c r="Q14" s="90">
        <v>67577121.099999994</v>
      </c>
    </row>
    <row r="15" spans="1:17" s="32" customFormat="1" ht="65.5" thickBot="1" x14ac:dyDescent="0.4">
      <c r="A15" s="33"/>
      <c r="B15" s="299" t="s">
        <v>370</v>
      </c>
      <c r="C15" s="92" t="s">
        <v>370</v>
      </c>
      <c r="D15" s="191" t="s">
        <v>96</v>
      </c>
      <c r="E15" s="192">
        <v>45061</v>
      </c>
      <c r="F15" s="192">
        <v>45273</v>
      </c>
      <c r="G15" s="94">
        <v>67577121</v>
      </c>
      <c r="H15" s="94">
        <v>67577121</v>
      </c>
      <c r="I15" s="188" t="s">
        <v>97</v>
      </c>
      <c r="J15" s="297">
        <v>4826937</v>
      </c>
      <c r="K15" s="91">
        <v>9653874</v>
      </c>
      <c r="L15" s="91">
        <v>9653874</v>
      </c>
      <c r="M15" s="91">
        <v>9653874</v>
      </c>
      <c r="N15" s="91">
        <v>9653874</v>
      </c>
      <c r="O15" s="91">
        <v>9653874</v>
      </c>
      <c r="P15" s="91">
        <v>9653874</v>
      </c>
      <c r="Q15" s="102">
        <v>4826940</v>
      </c>
    </row>
    <row r="16" spans="1:17" ht="27" thickBot="1" x14ac:dyDescent="0.4">
      <c r="B16" s="145" t="s">
        <v>472</v>
      </c>
    </row>
    <row r="17" spans="2:2" x14ac:dyDescent="0.35">
      <c r="B17" s="14" t="s">
        <v>101</v>
      </c>
    </row>
    <row r="18" spans="2:2" ht="15" thickBot="1" x14ac:dyDescent="0.4">
      <c r="B18" s="15" t="s">
        <v>100</v>
      </c>
    </row>
  </sheetData>
  <sheetProtection algorithmName="SHA-512" hashValue="swTv0mkAgXlgTCXgw0nvnNysyGvjed9xcGZCrWjVkNK13hKdQ3Yn4cJjzY4rl4OMxN+kE+ayWsM6eLSv+UXmtg==" saltValue="K9BwpEwnVMryX9jEq00YMg==" spinCount="100000" sheet="1" objects="1" scenarios="1"/>
  <mergeCells count="19">
    <mergeCell ref="C2:I2"/>
    <mergeCell ref="C3:I3"/>
    <mergeCell ref="G4:I4"/>
    <mergeCell ref="C5:E5"/>
    <mergeCell ref="G5:I5"/>
    <mergeCell ref="C4:E4"/>
    <mergeCell ref="C6:E6"/>
    <mergeCell ref="G6:I6"/>
    <mergeCell ref="C7:E7"/>
    <mergeCell ref="C8:E8"/>
    <mergeCell ref="C9:E9"/>
    <mergeCell ref="F7:I7"/>
    <mergeCell ref="F8:I8"/>
    <mergeCell ref="F9:I9"/>
    <mergeCell ref="D10:F10"/>
    <mergeCell ref="G10:I10"/>
    <mergeCell ref="B12:I12"/>
    <mergeCell ref="J12:Q12"/>
    <mergeCell ref="B7:B9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2017000100107</vt:lpstr>
      <vt:lpstr>2019000100044</vt:lpstr>
      <vt:lpstr>2019000100057</vt:lpstr>
      <vt:lpstr>2019000100060</vt:lpstr>
      <vt:lpstr>2020000100115</vt:lpstr>
      <vt:lpstr>2021000100001</vt:lpstr>
      <vt:lpstr>2021000100100</vt:lpstr>
      <vt:lpstr>2021000100384</vt:lpstr>
      <vt:lpstr>202000070012</vt:lpstr>
      <vt:lpstr>2022005500023</vt:lpstr>
      <vt:lpstr>2022005500054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Paola Diaz Vacca</dc:creator>
  <cp:lastModifiedBy>Yuly Paola Diaz Vacca</cp:lastModifiedBy>
  <dcterms:created xsi:type="dcterms:W3CDTF">2023-05-23T15:46:22Z</dcterms:created>
  <dcterms:modified xsi:type="dcterms:W3CDTF">2023-06-14T23:41:55Z</dcterms:modified>
</cp:coreProperties>
</file>